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" sheetId="1" r:id="rId1"/>
  </sheets>
  <definedNames>
    <definedName name="_xlnm.Print_Titles" localSheetId="0">'表'!$3:$3</definedName>
  </definedNames>
  <calcPr fullCalcOnLoad="1"/>
</workbook>
</file>

<file path=xl/sharedStrings.xml><?xml version="1.0" encoding="utf-8"?>
<sst xmlns="http://schemas.openxmlformats.org/spreadsheetml/2006/main" count="1239" uniqueCount="651">
  <si>
    <t>附件</t>
  </si>
  <si>
    <t>五指山市2023年面向社会公开招聘五指山市中医医院员额人员
资格初审合格并进入笔试人员名单</t>
  </si>
  <si>
    <t>序号</t>
  </si>
  <si>
    <t>报考号</t>
  </si>
  <si>
    <t>姓名</t>
  </si>
  <si>
    <t>性别</t>
  </si>
  <si>
    <t>身份证号码</t>
  </si>
  <si>
    <t>备注</t>
  </si>
  <si>
    <t>411**********973</t>
  </si>
  <si>
    <t>460**********273</t>
  </si>
  <si>
    <t>450**********786</t>
  </si>
  <si>
    <t>460**********759</t>
  </si>
  <si>
    <t>460**********066</t>
  </si>
  <si>
    <t>460**********024</t>
  </si>
  <si>
    <t>460**********741</t>
  </si>
  <si>
    <t>460**********313</t>
  </si>
  <si>
    <t>460**********515</t>
  </si>
  <si>
    <t>460**********81X</t>
  </si>
  <si>
    <t>232**********238</t>
  </si>
  <si>
    <t>460**********722</t>
  </si>
  <si>
    <t>460**********140</t>
  </si>
  <si>
    <t>460**********920</t>
  </si>
  <si>
    <t>460**********525</t>
  </si>
  <si>
    <t>460**********833</t>
  </si>
  <si>
    <t>441**********043</t>
  </si>
  <si>
    <t>440**********89X</t>
  </si>
  <si>
    <t>371**********41X</t>
  </si>
  <si>
    <t>460**********875</t>
  </si>
  <si>
    <t>342**********69X</t>
  </si>
  <si>
    <t>210**********028</t>
  </si>
  <si>
    <t>460**********919</t>
  </si>
  <si>
    <t>460**********634</t>
  </si>
  <si>
    <t>460**********221</t>
  </si>
  <si>
    <t>460**********384</t>
  </si>
  <si>
    <t>460**********622</t>
  </si>
  <si>
    <t>460**********124</t>
  </si>
  <si>
    <t>460**********42X</t>
  </si>
  <si>
    <t>220**********822</t>
  </si>
  <si>
    <t>460**********887</t>
  </si>
  <si>
    <t>460**********031</t>
  </si>
  <si>
    <t>460**********922</t>
  </si>
  <si>
    <t>460**********448</t>
  </si>
  <si>
    <t>142**********224</t>
  </si>
  <si>
    <t>469**********427</t>
  </si>
  <si>
    <t>460**********014</t>
  </si>
  <si>
    <t>460**********942</t>
  </si>
  <si>
    <t>460**********151</t>
  </si>
  <si>
    <t>460**********219</t>
  </si>
  <si>
    <t>460**********828</t>
  </si>
  <si>
    <t>460**********966</t>
  </si>
  <si>
    <t>460**********72X</t>
  </si>
  <si>
    <t>460**********827</t>
  </si>
  <si>
    <t>460**********284</t>
  </si>
  <si>
    <t>460**********312</t>
  </si>
  <si>
    <t>460**********107</t>
  </si>
  <si>
    <t>460**********811</t>
  </si>
  <si>
    <t>460**********882</t>
  </si>
  <si>
    <t>460**********890</t>
  </si>
  <si>
    <t>460**********528</t>
  </si>
  <si>
    <t>460**********680</t>
  </si>
  <si>
    <t>460**********628</t>
  </si>
  <si>
    <t>352**********015</t>
  </si>
  <si>
    <t>460**********822</t>
  </si>
  <si>
    <t>460**********029</t>
  </si>
  <si>
    <t>460**********023</t>
  </si>
  <si>
    <t>460**********681</t>
  </si>
  <si>
    <t>460**********019</t>
  </si>
  <si>
    <t>460**********629</t>
  </si>
  <si>
    <t>460**********625</t>
  </si>
  <si>
    <t>460**********321</t>
  </si>
  <si>
    <t>460**********616</t>
  </si>
  <si>
    <t>460**********226</t>
  </si>
  <si>
    <t>460**********165</t>
  </si>
  <si>
    <t>460**********823</t>
  </si>
  <si>
    <t>469**********766</t>
  </si>
  <si>
    <t>469**********782</t>
  </si>
  <si>
    <t>460**********235</t>
  </si>
  <si>
    <t>460**********027</t>
  </si>
  <si>
    <t>460**********271</t>
  </si>
  <si>
    <t>469**********785</t>
  </si>
  <si>
    <t>460**********438</t>
  </si>
  <si>
    <t>460**********617</t>
  </si>
  <si>
    <t>460**********824</t>
  </si>
  <si>
    <t>460**********214</t>
  </si>
  <si>
    <t>460**********211</t>
  </si>
  <si>
    <t>460**********361</t>
  </si>
  <si>
    <t>460**********026</t>
  </si>
  <si>
    <t>469**********741</t>
  </si>
  <si>
    <t>460**********620</t>
  </si>
  <si>
    <t>460**********519</t>
  </si>
  <si>
    <t>460**********216</t>
  </si>
  <si>
    <t>460**********470</t>
  </si>
  <si>
    <t>460**********285</t>
  </si>
  <si>
    <t>460**********929</t>
  </si>
  <si>
    <t>460**********420</t>
  </si>
  <si>
    <t>460**********222</t>
  </si>
  <si>
    <t>460**********626</t>
  </si>
  <si>
    <t>460**********429</t>
  </si>
  <si>
    <t>460**********063</t>
  </si>
  <si>
    <t>460**********340</t>
  </si>
  <si>
    <t>460**********666</t>
  </si>
  <si>
    <t>460**********820</t>
  </si>
  <si>
    <t>452**********641</t>
  </si>
  <si>
    <t>460**********763</t>
  </si>
  <si>
    <t>460**********644</t>
  </si>
  <si>
    <t>460**********724</t>
  </si>
  <si>
    <t>460**********224</t>
  </si>
  <si>
    <t>469**********42X</t>
  </si>
  <si>
    <t>460**********225</t>
  </si>
  <si>
    <t>460**********212</t>
  </si>
  <si>
    <t>460**********916</t>
  </si>
  <si>
    <t>460**********220</t>
  </si>
  <si>
    <t>460**********884</t>
  </si>
  <si>
    <t>460**********508</t>
  </si>
  <si>
    <t>460**********223</t>
  </si>
  <si>
    <t>460**********32X</t>
  </si>
  <si>
    <t>460**********286</t>
  </si>
  <si>
    <t>460**********262</t>
  </si>
  <si>
    <t>460**********228</t>
  </si>
  <si>
    <t>460**********025</t>
  </si>
  <si>
    <t>460**********777</t>
  </si>
  <si>
    <t>469**********008</t>
  </si>
  <si>
    <t>460**********065</t>
  </si>
  <si>
    <t>513**********724</t>
  </si>
  <si>
    <t>460**********526</t>
  </si>
  <si>
    <t>232**********220</t>
  </si>
  <si>
    <t>460**********585</t>
  </si>
  <si>
    <t>460**********481</t>
  </si>
  <si>
    <t>469**********186</t>
  </si>
  <si>
    <t>460**********623</t>
  </si>
  <si>
    <t>460**********66X</t>
  </si>
  <si>
    <t>460**********12X</t>
  </si>
  <si>
    <t>460**********046</t>
  </si>
  <si>
    <t>460**********421</t>
  </si>
  <si>
    <t>469**********322</t>
  </si>
  <si>
    <t>460**********181</t>
  </si>
  <si>
    <t>460**********502</t>
  </si>
  <si>
    <t>469**********506</t>
  </si>
  <si>
    <t>230**********925</t>
  </si>
  <si>
    <t>460**********88X</t>
  </si>
  <si>
    <t>460**********780</t>
  </si>
  <si>
    <t>460**********442</t>
  </si>
  <si>
    <t>460**********62X</t>
  </si>
  <si>
    <t>460**********529</t>
  </si>
  <si>
    <t>460**********327</t>
  </si>
  <si>
    <t>460**********343</t>
  </si>
  <si>
    <t>469**********566</t>
  </si>
  <si>
    <t>460**********865</t>
  </si>
  <si>
    <t>469**********781</t>
  </si>
  <si>
    <t>460**********126</t>
  </si>
  <si>
    <t>460**********648</t>
  </si>
  <si>
    <t>460**********229</t>
  </si>
  <si>
    <t>430**********127</t>
  </si>
  <si>
    <t>460**********801</t>
  </si>
  <si>
    <t>469**********605</t>
  </si>
  <si>
    <t>460**********28X</t>
  </si>
  <si>
    <t>460**********02X</t>
  </si>
  <si>
    <t>460**********125</t>
  </si>
  <si>
    <t>460**********227</t>
  </si>
  <si>
    <t>460**********927</t>
  </si>
  <si>
    <t>469**********471</t>
  </si>
  <si>
    <t>460**********784</t>
  </si>
  <si>
    <t>460**********663</t>
  </si>
  <si>
    <t>469**********811</t>
  </si>
  <si>
    <t>460**********883</t>
  </si>
  <si>
    <t>460**********329</t>
  </si>
  <si>
    <t>460**********669</t>
  </si>
  <si>
    <t>452**********648</t>
  </si>
  <si>
    <t>469**********823</t>
  </si>
  <si>
    <t>460**********52X</t>
  </si>
  <si>
    <t>460**********988</t>
  </si>
  <si>
    <t>460**********089</t>
  </si>
  <si>
    <t>460**********422</t>
  </si>
  <si>
    <t>460**********514</t>
  </si>
  <si>
    <t>460**********782</t>
  </si>
  <si>
    <t>460**********800</t>
  </si>
  <si>
    <t>469**********027</t>
  </si>
  <si>
    <t>460**********081</t>
  </si>
  <si>
    <t>460**********881</t>
  </si>
  <si>
    <t>460**********322</t>
  </si>
  <si>
    <t>469**********120</t>
  </si>
  <si>
    <t>460**********14X</t>
  </si>
  <si>
    <t>460**********021</t>
  </si>
  <si>
    <t>460**********588</t>
  </si>
  <si>
    <t>460**********787</t>
  </si>
  <si>
    <t>460**********761</t>
  </si>
  <si>
    <t>460**********841</t>
  </si>
  <si>
    <t>460**********829</t>
  </si>
  <si>
    <t>469**********344</t>
  </si>
  <si>
    <t>469**********320</t>
  </si>
  <si>
    <t>469**********029</t>
  </si>
  <si>
    <t>460**********241</t>
  </si>
  <si>
    <t>460**********324</t>
  </si>
  <si>
    <t>460**********01X</t>
  </si>
  <si>
    <t>460**********727</t>
  </si>
  <si>
    <t>469**********16X</t>
  </si>
  <si>
    <t>460**********245</t>
  </si>
  <si>
    <t>460**********022</t>
  </si>
  <si>
    <t>460**********426</t>
  </si>
  <si>
    <t>460**********923</t>
  </si>
  <si>
    <t>460**********627</t>
  </si>
  <si>
    <t>460**********687</t>
  </si>
  <si>
    <t>469**********226</t>
  </si>
  <si>
    <t>460**********36X</t>
  </si>
  <si>
    <t>469**********720</t>
  </si>
  <si>
    <t>460**********428</t>
  </si>
  <si>
    <t>460**********825</t>
  </si>
  <si>
    <t>469**********36X</t>
  </si>
  <si>
    <t>460**********862</t>
  </si>
  <si>
    <t>张美珍</t>
  </si>
  <si>
    <t>460**********921</t>
  </si>
  <si>
    <t>460**********427</t>
  </si>
  <si>
    <t>460**********298</t>
  </si>
  <si>
    <t>460**********145</t>
  </si>
  <si>
    <t>460**********020</t>
  </si>
  <si>
    <t>460**********320</t>
  </si>
  <si>
    <t>460**********346</t>
  </si>
  <si>
    <t>460**********522</t>
  </si>
  <si>
    <t>460**********417</t>
  </si>
  <si>
    <t>441**********262</t>
  </si>
  <si>
    <t>460**********684</t>
  </si>
  <si>
    <t>440**********923</t>
  </si>
  <si>
    <t>469**********682</t>
  </si>
  <si>
    <t>440**********921</t>
  </si>
  <si>
    <t>460**********614</t>
  </si>
  <si>
    <t>469**********037</t>
  </si>
  <si>
    <t>460**********785</t>
  </si>
  <si>
    <t>460**********009</t>
  </si>
  <si>
    <t>460**********362</t>
  </si>
  <si>
    <t>460**********509</t>
  </si>
  <si>
    <t>460**********729</t>
  </si>
  <si>
    <t>469**********103</t>
  </si>
  <si>
    <t>469**********928</t>
  </si>
  <si>
    <t>469**********52X</t>
  </si>
  <si>
    <t>469**********428</t>
  </si>
  <si>
    <t>460**********003</t>
  </si>
  <si>
    <t>460**********217</t>
  </si>
  <si>
    <t>469**********32X</t>
  </si>
  <si>
    <t>150**********619</t>
  </si>
  <si>
    <t>460**********187</t>
  </si>
  <si>
    <t>469**********128</t>
  </si>
  <si>
    <t>460**********604</t>
  </si>
  <si>
    <t>460**********100</t>
  </si>
  <si>
    <t>460**********360</t>
  </si>
  <si>
    <t>469**********020</t>
  </si>
  <si>
    <t>469**********778</t>
  </si>
  <si>
    <t>469**********623</t>
  </si>
  <si>
    <t>460**********524</t>
  </si>
  <si>
    <t>440**********622</t>
  </si>
  <si>
    <t>460**********924</t>
  </si>
  <si>
    <t>460**********244</t>
  </si>
  <si>
    <t>460**********802</t>
  </si>
  <si>
    <t>460**********748</t>
  </si>
  <si>
    <t>460**********162</t>
  </si>
  <si>
    <t>460**********319</t>
  </si>
  <si>
    <t>460**********326</t>
  </si>
  <si>
    <t>469**********164</t>
  </si>
  <si>
    <t>460**********48X</t>
  </si>
  <si>
    <t>460**********24X</t>
  </si>
  <si>
    <t>460**********182</t>
  </si>
  <si>
    <t>469**********791</t>
  </si>
  <si>
    <t>469**********343</t>
  </si>
  <si>
    <t>460**********889</t>
  </si>
  <si>
    <t>460**********965</t>
  </si>
  <si>
    <t>142**********024</t>
  </si>
  <si>
    <t>460**********728</t>
  </si>
  <si>
    <t>460**********668</t>
  </si>
  <si>
    <t>460**********269</t>
  </si>
  <si>
    <t>460**********423</t>
  </si>
  <si>
    <t>460**********842</t>
  </si>
  <si>
    <t>460**********885</t>
  </si>
  <si>
    <t>460**********726</t>
  </si>
  <si>
    <t>460**********267</t>
  </si>
  <si>
    <t>460**********424</t>
  </si>
  <si>
    <t>410**********84X</t>
  </si>
  <si>
    <t>460**********123</t>
  </si>
  <si>
    <t>460**********044</t>
  </si>
  <si>
    <t>460**********243</t>
  </si>
  <si>
    <t>460**********18X</t>
  </si>
  <si>
    <t>460**********482</t>
  </si>
  <si>
    <t>460**********581</t>
  </si>
  <si>
    <t>460**********068</t>
  </si>
  <si>
    <t>460**********985</t>
  </si>
  <si>
    <t>440**********103</t>
  </si>
  <si>
    <t>460**********185</t>
  </si>
  <si>
    <t>460**********328</t>
  </si>
  <si>
    <t>460**********210</t>
  </si>
  <si>
    <t>450**********108</t>
  </si>
  <si>
    <t>469**********028</t>
  </si>
  <si>
    <t>469**********826</t>
  </si>
  <si>
    <t>460**********664</t>
  </si>
  <si>
    <t>460**********682</t>
  </si>
  <si>
    <t>460**********683</t>
  </si>
  <si>
    <t>469**********280</t>
  </si>
  <si>
    <t>460**********483</t>
  </si>
  <si>
    <t>440**********844</t>
  </si>
  <si>
    <t>469**********926</t>
  </si>
  <si>
    <t>460**********41X</t>
  </si>
  <si>
    <t>421**********521</t>
  </si>
  <si>
    <t>460**********573</t>
  </si>
  <si>
    <t>460**********042</t>
  </si>
  <si>
    <t>460**********416</t>
  </si>
  <si>
    <t>460**********925</t>
  </si>
  <si>
    <t>460**********323</t>
  </si>
  <si>
    <t>210**********122</t>
  </si>
  <si>
    <t>370**********030</t>
  </si>
  <si>
    <t>460**********812</t>
  </si>
  <si>
    <t>460**********731</t>
  </si>
  <si>
    <t>460**********826</t>
  </si>
  <si>
    <t>460**********040</t>
  </si>
  <si>
    <t>522**********804</t>
  </si>
  <si>
    <t>460**********119</t>
  </si>
  <si>
    <t>460**********316</t>
  </si>
  <si>
    <t>460**********506</t>
  </si>
  <si>
    <t>140**********210</t>
  </si>
  <si>
    <t>460**********138</t>
  </si>
  <si>
    <t>469**********609</t>
  </si>
  <si>
    <t>460**********21X</t>
  </si>
  <si>
    <t>460**********769</t>
  </si>
  <si>
    <t>469**********799</t>
  </si>
  <si>
    <t>460**********129</t>
  </si>
  <si>
    <t>460**********928</t>
  </si>
  <si>
    <t>460**********045</t>
  </si>
  <si>
    <t>460**********380</t>
  </si>
  <si>
    <t>411**********769</t>
  </si>
  <si>
    <t>460**********87X</t>
  </si>
  <si>
    <t>460**********839</t>
  </si>
  <si>
    <t>469**********520</t>
  </si>
  <si>
    <t>460**********237</t>
  </si>
  <si>
    <t>440**********01X</t>
  </si>
  <si>
    <t>460**********992</t>
  </si>
  <si>
    <t>230**********137</t>
  </si>
  <si>
    <t>460**********057</t>
  </si>
  <si>
    <t>460**********657</t>
  </si>
  <si>
    <t>469**********825</t>
  </si>
  <si>
    <t>460**********033</t>
  </si>
  <si>
    <t>370**********014</t>
  </si>
  <si>
    <t>460**********723</t>
  </si>
  <si>
    <t>469**********61X</t>
  </si>
  <si>
    <t>152**********715</t>
  </si>
  <si>
    <t>460**********038</t>
  </si>
  <si>
    <t>500**********856</t>
  </si>
  <si>
    <t>469**********426</t>
  </si>
  <si>
    <t>500**********546</t>
  </si>
  <si>
    <t>460**********661</t>
  </si>
  <si>
    <t>460**********451</t>
  </si>
  <si>
    <t>370**********023</t>
  </si>
  <si>
    <t>460**********289</t>
  </si>
  <si>
    <t>460**********814</t>
  </si>
  <si>
    <t>469**********123</t>
  </si>
  <si>
    <t>142**********345</t>
  </si>
  <si>
    <t>469**********121</t>
  </si>
  <si>
    <t>460**********786</t>
  </si>
  <si>
    <t>460**********128</t>
  </si>
  <si>
    <t>460**********732</t>
  </si>
  <si>
    <t>460**********744</t>
  </si>
  <si>
    <t>460**********120</t>
  </si>
  <si>
    <t>460**********847</t>
  </si>
  <si>
    <t>460**********818</t>
  </si>
  <si>
    <t>460**********713</t>
  </si>
  <si>
    <t>460**********513</t>
  </si>
  <si>
    <t>460**********411</t>
  </si>
  <si>
    <t>460**********113</t>
  </si>
  <si>
    <t>230**********622</t>
  </si>
  <si>
    <t>460**********410</t>
  </si>
  <si>
    <t>410**********048</t>
  </si>
  <si>
    <t>460**********111</t>
  </si>
  <si>
    <t>460**********770</t>
  </si>
  <si>
    <t>341**********19X</t>
  </si>
  <si>
    <t>460**********017</t>
  </si>
  <si>
    <t>460**********010</t>
  </si>
  <si>
    <t>460**********131</t>
  </si>
  <si>
    <t>460**********840</t>
  </si>
  <si>
    <t>460**********035</t>
  </si>
  <si>
    <t>460**********037</t>
  </si>
  <si>
    <t>460**********624</t>
  </si>
  <si>
    <t>440**********112</t>
  </si>
  <si>
    <t>460**********821</t>
  </si>
  <si>
    <t>460**********676</t>
  </si>
  <si>
    <t>460**********912</t>
  </si>
  <si>
    <t>460**********016</t>
  </si>
  <si>
    <t>362**********210</t>
  </si>
  <si>
    <t>460**********242</t>
  </si>
  <si>
    <t>460**********698</t>
  </si>
  <si>
    <t>460**********013</t>
  </si>
  <si>
    <t>460**********716</t>
  </si>
  <si>
    <t>460**********610</t>
  </si>
  <si>
    <t>460**********906</t>
  </si>
  <si>
    <t>460**********721</t>
  </si>
  <si>
    <t>460**********747</t>
  </si>
  <si>
    <t>460**********641</t>
  </si>
  <si>
    <t>460**********71X</t>
  </si>
  <si>
    <t>460**********832</t>
  </si>
  <si>
    <t>460**********163</t>
  </si>
  <si>
    <t>460**********018</t>
  </si>
  <si>
    <t>460**********412</t>
  </si>
  <si>
    <t>460**********418</t>
  </si>
  <si>
    <t>460**********586</t>
  </si>
  <si>
    <t>460**********931</t>
  </si>
  <si>
    <t>460**********11X</t>
  </si>
  <si>
    <t>460**********92X</t>
  </si>
  <si>
    <t>460**********255</t>
  </si>
  <si>
    <t>460**********613</t>
  </si>
  <si>
    <t>460**********762</t>
  </si>
  <si>
    <t>469**********053</t>
  </si>
  <si>
    <t>340**********360</t>
  </si>
  <si>
    <t>460**********425</t>
  </si>
  <si>
    <t>460**********248</t>
  </si>
  <si>
    <t>460**********611</t>
  </si>
  <si>
    <t>460**********542</t>
  </si>
  <si>
    <t>460**********032</t>
  </si>
  <si>
    <t>460**********893</t>
  </si>
  <si>
    <t>460**********712</t>
  </si>
  <si>
    <t>460**********030</t>
  </si>
  <si>
    <t>460**********635</t>
  </si>
  <si>
    <t>460**********82X</t>
  </si>
  <si>
    <t>460**********097</t>
  </si>
  <si>
    <t>460**********715</t>
  </si>
  <si>
    <t>469**********627</t>
  </si>
  <si>
    <t>460**********911</t>
  </si>
  <si>
    <t>460**********720</t>
  </si>
  <si>
    <t>460**********22X</t>
  </si>
  <si>
    <t>460**********85X</t>
  </si>
  <si>
    <t>460**********116</t>
  </si>
  <si>
    <t>460**********742</t>
  </si>
  <si>
    <t>460**********069</t>
  </si>
  <si>
    <t>460**********444</t>
  </si>
  <si>
    <t>460**********653</t>
  </si>
  <si>
    <t>460**********933</t>
  </si>
  <si>
    <t>460**********414</t>
  </si>
  <si>
    <t>460**********311</t>
  </si>
  <si>
    <t>362**********829</t>
  </si>
  <si>
    <t>469**********273</t>
  </si>
  <si>
    <t>460**********844</t>
  </si>
  <si>
    <t>460**********719</t>
  </si>
  <si>
    <t>460**********630</t>
  </si>
  <si>
    <t>460**********909</t>
  </si>
  <si>
    <t>460**********838</t>
  </si>
  <si>
    <t>460**********854</t>
  </si>
  <si>
    <t>460**********011</t>
  </si>
  <si>
    <t>460**********527</t>
  </si>
  <si>
    <t>469**********422</t>
  </si>
  <si>
    <t>460**********251</t>
  </si>
  <si>
    <t>430**********815</t>
  </si>
  <si>
    <t>460**********415</t>
  </si>
  <si>
    <t>460**********015</t>
  </si>
  <si>
    <t>460**********498</t>
  </si>
  <si>
    <t>460**********234</t>
  </si>
  <si>
    <t>460**********261</t>
  </si>
  <si>
    <t>460**********972</t>
  </si>
  <si>
    <t>460**********670</t>
  </si>
  <si>
    <t>460**********852</t>
  </si>
  <si>
    <t>230**********412</t>
  </si>
  <si>
    <t>460**********615</t>
  </si>
  <si>
    <t>460**********650</t>
  </si>
  <si>
    <t>460**********711</t>
  </si>
  <si>
    <t>460**********589</t>
  </si>
  <si>
    <t>469**********024</t>
  </si>
  <si>
    <t>622**********011</t>
  </si>
  <si>
    <t>460**********837</t>
  </si>
  <si>
    <t>460**********963</t>
  </si>
  <si>
    <t>152**********627</t>
  </si>
  <si>
    <t>460**********621</t>
  </si>
  <si>
    <t>460**********521</t>
  </si>
  <si>
    <t>460**********495</t>
  </si>
  <si>
    <t>460**********946</t>
  </si>
  <si>
    <t>460**********736</t>
  </si>
  <si>
    <t>460**********325</t>
  </si>
  <si>
    <t>362**********010</t>
  </si>
  <si>
    <t>469**********905</t>
  </si>
  <si>
    <t>460**********725</t>
  </si>
  <si>
    <t>460**********365</t>
  </si>
  <si>
    <t>460**********703</t>
  </si>
  <si>
    <t>500**********886</t>
  </si>
  <si>
    <t>460**********516</t>
  </si>
  <si>
    <t>460**********549</t>
  </si>
  <si>
    <t>460**********148</t>
  </si>
  <si>
    <t>460**********836</t>
  </si>
  <si>
    <t>130**********918</t>
  </si>
  <si>
    <t>411**********42X</t>
  </si>
  <si>
    <t>232**********366</t>
  </si>
  <si>
    <t>460**********318</t>
  </si>
  <si>
    <t>452**********915</t>
  </si>
  <si>
    <t>460**********430</t>
  </si>
  <si>
    <t>460**********730</t>
  </si>
  <si>
    <t>460**********710</t>
  </si>
  <si>
    <t>460**********651</t>
  </si>
  <si>
    <t>460**********034</t>
  </si>
  <si>
    <t>469**********624</t>
  </si>
  <si>
    <t>460**********717</t>
  </si>
  <si>
    <t>469**********996</t>
  </si>
  <si>
    <t>460**********34X</t>
  </si>
  <si>
    <t>152**********023</t>
  </si>
  <si>
    <t>460**********03X</t>
  </si>
  <si>
    <t>460**********63X</t>
  </si>
  <si>
    <t>460**********986</t>
  </si>
  <si>
    <t>469**********846</t>
  </si>
  <si>
    <t>460**********433</t>
  </si>
  <si>
    <t>469**********110</t>
  </si>
  <si>
    <t>230**********029</t>
  </si>
  <si>
    <t>460**********990</t>
  </si>
  <si>
    <t>460**********645</t>
  </si>
  <si>
    <t>460**********743</t>
  </si>
  <si>
    <t>140**********022</t>
  </si>
  <si>
    <t>460**********218</t>
  </si>
  <si>
    <t>460**********152</t>
  </si>
  <si>
    <t>532**********025</t>
  </si>
  <si>
    <t>460**********435</t>
  </si>
  <si>
    <t>460**********154</t>
  </si>
  <si>
    <t>460**********518</t>
  </si>
  <si>
    <t>460**********918</t>
  </si>
  <si>
    <t>460**********197</t>
  </si>
  <si>
    <t>460**********926</t>
  </si>
  <si>
    <t>412**********449</t>
  </si>
  <si>
    <t>460**********484</t>
  </si>
  <si>
    <t>460**********779</t>
  </si>
  <si>
    <t>460**********714</t>
  </si>
  <si>
    <t>460**********75X</t>
  </si>
  <si>
    <t>450**********090</t>
  </si>
  <si>
    <t>440**********727</t>
  </si>
  <si>
    <t>469**********745</t>
  </si>
  <si>
    <t>469**********26X</t>
  </si>
  <si>
    <t>460**********478</t>
  </si>
  <si>
    <t>460**********174</t>
  </si>
  <si>
    <t>460**********314</t>
  </si>
  <si>
    <t>469**********625</t>
  </si>
  <si>
    <t>460**********512</t>
  </si>
  <si>
    <t>460**********767</t>
  </si>
  <si>
    <t>370**********82X</t>
  </si>
  <si>
    <t>469**********924</t>
  </si>
  <si>
    <t>469**********220</t>
  </si>
  <si>
    <t>460**********012</t>
  </si>
  <si>
    <t>469**********621</t>
  </si>
  <si>
    <t>532**********730</t>
  </si>
  <si>
    <t>460**********239</t>
  </si>
  <si>
    <t>460**********917</t>
  </si>
  <si>
    <t>411**********930</t>
  </si>
  <si>
    <t>460**********817</t>
  </si>
  <si>
    <t>469**********026</t>
  </si>
  <si>
    <t>460**********643</t>
  </si>
  <si>
    <t>460**********349</t>
  </si>
  <si>
    <t>440**********63X</t>
  </si>
  <si>
    <t>460**********772</t>
  </si>
  <si>
    <t>440**********618</t>
  </si>
  <si>
    <t>460**********756</t>
  </si>
  <si>
    <t>460**********347</t>
  </si>
  <si>
    <t>511**********613</t>
  </si>
  <si>
    <t>612**********222</t>
  </si>
  <si>
    <t>460**********339</t>
  </si>
  <si>
    <t>460**********572</t>
  </si>
  <si>
    <t>440**********640</t>
  </si>
  <si>
    <t>460**********520</t>
  </si>
  <si>
    <t>460**********491</t>
  </si>
  <si>
    <t>460**********658</t>
  </si>
  <si>
    <t>460**********51X</t>
  </si>
  <si>
    <t>652**********024</t>
  </si>
  <si>
    <t>460**********980</t>
  </si>
  <si>
    <t>460**********07X</t>
  </si>
  <si>
    <t>460**********332</t>
  </si>
  <si>
    <t>460**********348</t>
  </si>
  <si>
    <t>460**********718</t>
  </si>
  <si>
    <t>460**********039</t>
  </si>
  <si>
    <t>460**********052</t>
  </si>
  <si>
    <t>230**********565</t>
  </si>
  <si>
    <t>460**********143</t>
  </si>
  <si>
    <t>460**********640</t>
  </si>
  <si>
    <t>460**********537</t>
  </si>
  <si>
    <t>412**********188</t>
  </si>
  <si>
    <t>460**********028</t>
  </si>
  <si>
    <t>460**********804</t>
  </si>
  <si>
    <t>469**********243</t>
  </si>
  <si>
    <t>460**********240</t>
  </si>
  <si>
    <t>460**********08X</t>
  </si>
  <si>
    <t>460**********041</t>
  </si>
  <si>
    <t>460**********146</t>
  </si>
  <si>
    <t>460**********688</t>
  </si>
  <si>
    <t>460**********213</t>
  </si>
  <si>
    <t>460**********646</t>
  </si>
  <si>
    <t>460**********569</t>
  </si>
  <si>
    <t>460**********487</t>
  </si>
  <si>
    <t>460**********541</t>
  </si>
  <si>
    <t>460**********345</t>
  </si>
  <si>
    <t>450**********44X</t>
  </si>
  <si>
    <t>460**********851</t>
  </si>
  <si>
    <t>469**********923</t>
  </si>
  <si>
    <t>469**********486</t>
  </si>
  <si>
    <t>362**********718</t>
  </si>
  <si>
    <t>460**********56X</t>
  </si>
  <si>
    <t>522**********428</t>
  </si>
  <si>
    <t>440**********760</t>
  </si>
  <si>
    <t>460**********499</t>
  </si>
  <si>
    <t>460**********96X</t>
  </si>
  <si>
    <t>460**********636</t>
  </si>
  <si>
    <t>460**********446</t>
  </si>
  <si>
    <t>370**********129</t>
  </si>
  <si>
    <t>460**********936</t>
  </si>
  <si>
    <t>460**********886</t>
  </si>
  <si>
    <t>460**********91X</t>
  </si>
  <si>
    <t>460**********341</t>
  </si>
  <si>
    <t>469**********216</t>
  </si>
  <si>
    <t>231**********931</t>
  </si>
  <si>
    <t>460**********04X</t>
  </si>
  <si>
    <t>430**********926</t>
  </si>
  <si>
    <t>469**********722</t>
  </si>
  <si>
    <t>445**********789</t>
  </si>
  <si>
    <t>460**********50X</t>
  </si>
  <si>
    <t>460**********372</t>
  </si>
  <si>
    <t>152**********121</t>
  </si>
  <si>
    <t>231**********529</t>
  </si>
  <si>
    <t>469**********74X</t>
  </si>
  <si>
    <t>460**********850</t>
  </si>
  <si>
    <t>460**********639</t>
  </si>
  <si>
    <t>460**********136</t>
  </si>
  <si>
    <t>460**********903</t>
  </si>
  <si>
    <t>460**********523</t>
  </si>
  <si>
    <t>511**********167</t>
  </si>
  <si>
    <t>452**********044</t>
  </si>
  <si>
    <t>460**********872</t>
  </si>
  <si>
    <t>362**********619</t>
  </si>
  <si>
    <t>421**********117</t>
  </si>
  <si>
    <t>460**********419</t>
  </si>
  <si>
    <t>150**********010</t>
  </si>
  <si>
    <t>360**********837</t>
  </si>
  <si>
    <t>469**********316</t>
  </si>
  <si>
    <t>622**********418</t>
  </si>
  <si>
    <t>469**********713</t>
  </si>
  <si>
    <t>445**********01X</t>
  </si>
  <si>
    <t>460**********431</t>
  </si>
  <si>
    <t>460**********464</t>
  </si>
  <si>
    <t>440**********510</t>
  </si>
  <si>
    <t>460**********336</t>
  </si>
  <si>
    <t>460**********186</t>
  </si>
  <si>
    <t>469**********91X</t>
  </si>
  <si>
    <t>460**********31X</t>
  </si>
  <si>
    <t>460**********816</t>
  </si>
  <si>
    <t>460**********61X</t>
  </si>
  <si>
    <t>622**********471</t>
  </si>
  <si>
    <t>460**********256</t>
  </si>
  <si>
    <t>460**********064</t>
  </si>
  <si>
    <t>460**********437</t>
  </si>
  <si>
    <t>460**********215</t>
  </si>
  <si>
    <t>460**********272</t>
  </si>
  <si>
    <t>460**********547</t>
  </si>
  <si>
    <t>460**********265</t>
  </si>
  <si>
    <t>460**********130</t>
  </si>
  <si>
    <t>460**********342</t>
  </si>
  <si>
    <t>460**********511</t>
  </si>
  <si>
    <t>460**********849</t>
  </si>
  <si>
    <t>469**********327</t>
  </si>
  <si>
    <t>460**********127</t>
  </si>
  <si>
    <t>460**********467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</si>
</sst>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3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34.5" customHeight="1"/>
  <cols>
    <col min="1" max="1" width="9.00390625" style="4" customWidth="1"/>
    <col min="2" max="2" width="27.8515625" style="5" customWidth="1"/>
    <col min="3" max="3" width="11.7109375" style="5" customWidth="1"/>
    <col min="4" max="4" width="11.8515625" style="5" customWidth="1"/>
    <col min="5" max="5" width="20.28125" style="5" customWidth="1"/>
    <col min="6" max="16384" width="9.00390625" style="4" customWidth="1"/>
  </cols>
  <sheetData>
    <row r="1" spans="1:6" ht="34.5" customHeight="1">
      <c r="A1" s="6" t="s">
        <v>0</v>
      </c>
      <c r="B1" s="7"/>
      <c r="C1" s="8"/>
      <c r="D1" s="8"/>
      <c r="E1" s="8"/>
      <c r="F1" s="9"/>
    </row>
    <row r="2" spans="1:6" s="1" customFormat="1" ht="75" customHeight="1">
      <c r="A2" s="10" t="s">
        <v>1</v>
      </c>
      <c r="B2" s="10"/>
      <c r="C2" s="10"/>
      <c r="D2" s="10"/>
      <c r="E2" s="10"/>
      <c r="F2" s="10"/>
    </row>
    <row r="3" spans="1:6" s="2" customFormat="1" ht="34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</row>
    <row r="4" spans="1:6" ht="34.5" customHeight="1">
      <c r="A4" s="13">
        <v>1</v>
      </c>
      <c r="B4" s="14" t="str">
        <f>"60252023122015571637187"</f>
        <v>60252023122015571637187</v>
      </c>
      <c r="C4" s="15" t="str">
        <f>"孙永帅"</f>
        <v>孙永帅</v>
      </c>
      <c r="D4" s="15" t="str">
        <f>"男"</f>
        <v>男</v>
      </c>
      <c r="E4" s="16" t="s">
        <v>8</v>
      </c>
      <c r="F4" s="13"/>
    </row>
    <row r="5" spans="1:6" ht="34.5" customHeight="1">
      <c r="A5" s="13">
        <v>2</v>
      </c>
      <c r="B5" s="14" t="str">
        <f>"60252023122020503237379"</f>
        <v>60252023122020503237379</v>
      </c>
      <c r="C5" s="15" t="str">
        <f>"符士颖"</f>
        <v>符士颖</v>
      </c>
      <c r="D5" s="15" t="str">
        <f>"男"</f>
        <v>男</v>
      </c>
      <c r="E5" s="16" t="s">
        <v>9</v>
      </c>
      <c r="F5" s="13"/>
    </row>
    <row r="6" spans="1:6" ht="34.5" customHeight="1">
      <c r="A6" s="13">
        <v>3</v>
      </c>
      <c r="B6" s="14" t="str">
        <f>"60252023122020570237383"</f>
        <v>60252023122020570237383</v>
      </c>
      <c r="C6" s="15" t="str">
        <f>"罗吉平"</f>
        <v>罗吉平</v>
      </c>
      <c r="D6" s="15" t="str">
        <f>"女"</f>
        <v>女</v>
      </c>
      <c r="E6" s="16" t="s">
        <v>10</v>
      </c>
      <c r="F6" s="13"/>
    </row>
    <row r="7" spans="1:6" ht="34.5" customHeight="1">
      <c r="A7" s="13">
        <v>4</v>
      </c>
      <c r="B7" s="14" t="str">
        <f>"60252023122422082341347"</f>
        <v>60252023122422082341347</v>
      </c>
      <c r="C7" s="15" t="str">
        <f>"冯柏阳"</f>
        <v>冯柏阳</v>
      </c>
      <c r="D7" s="15" t="str">
        <f>"男"</f>
        <v>男</v>
      </c>
      <c r="E7" s="16" t="s">
        <v>11</v>
      </c>
      <c r="F7" s="13"/>
    </row>
    <row r="8" spans="1:6" ht="34.5" customHeight="1">
      <c r="A8" s="13">
        <v>5</v>
      </c>
      <c r="B8" s="14" t="str">
        <f>"60252023122509040641533"</f>
        <v>60252023122509040641533</v>
      </c>
      <c r="C8" s="15" t="str">
        <f>"吴芳"</f>
        <v>吴芳</v>
      </c>
      <c r="D8" s="15" t="str">
        <f>"女"</f>
        <v>女</v>
      </c>
      <c r="E8" s="16" t="s">
        <v>12</v>
      </c>
      <c r="F8" s="13"/>
    </row>
    <row r="9" spans="1:6" ht="34.5" customHeight="1">
      <c r="A9" s="13">
        <v>6</v>
      </c>
      <c r="B9" s="14" t="str">
        <f>"60252023122513230642259"</f>
        <v>60252023122513230642259</v>
      </c>
      <c r="C9" s="15" t="str">
        <f>"陈思宏"</f>
        <v>陈思宏</v>
      </c>
      <c r="D9" s="15" t="str">
        <f>"女"</f>
        <v>女</v>
      </c>
      <c r="E9" s="16" t="s">
        <v>13</v>
      </c>
      <c r="F9" s="13"/>
    </row>
    <row r="10" spans="1:6" s="3" customFormat="1" ht="34.5" customHeight="1">
      <c r="A10" s="13">
        <v>7</v>
      </c>
      <c r="B10" s="14" t="str">
        <f>"60252023122513561742317"</f>
        <v>60252023122513561742317</v>
      </c>
      <c r="C10" s="15" t="str">
        <f>"文一惠"</f>
        <v>文一惠</v>
      </c>
      <c r="D10" s="15" t="str">
        <f>"女"</f>
        <v>女</v>
      </c>
      <c r="E10" s="16" t="s">
        <v>14</v>
      </c>
      <c r="F10" s="13"/>
    </row>
    <row r="11" spans="1:6" ht="34.5" customHeight="1">
      <c r="A11" s="13">
        <v>8</v>
      </c>
      <c r="B11" s="14" t="str">
        <f>"60252023122518032742801"</f>
        <v>60252023122518032742801</v>
      </c>
      <c r="C11" s="15" t="str">
        <f>"符剑华"</f>
        <v>符剑华</v>
      </c>
      <c r="D11" s="15" t="str">
        <f>"男"</f>
        <v>男</v>
      </c>
      <c r="E11" s="16" t="s">
        <v>15</v>
      </c>
      <c r="F11" s="13"/>
    </row>
    <row r="12" spans="1:6" ht="34.5" customHeight="1">
      <c r="A12" s="13">
        <v>9</v>
      </c>
      <c r="B12" s="14" t="str">
        <f>"60252023121820572228847"</f>
        <v>60252023121820572228847</v>
      </c>
      <c r="C12" s="15" t="str">
        <f>"陈成"</f>
        <v>陈成</v>
      </c>
      <c r="D12" s="15" t="str">
        <f>"男"</f>
        <v>男</v>
      </c>
      <c r="E12" s="16" t="s">
        <v>16</v>
      </c>
      <c r="F12" s="13"/>
    </row>
    <row r="13" spans="1:6" ht="34.5" customHeight="1">
      <c r="A13" s="13">
        <v>10</v>
      </c>
      <c r="B13" s="14" t="str">
        <f>"60252023121910380730348"</f>
        <v>60252023121910380730348</v>
      </c>
      <c r="C13" s="15" t="str">
        <f>"张海平"</f>
        <v>张海平</v>
      </c>
      <c r="D13" s="15" t="str">
        <f>"男"</f>
        <v>男</v>
      </c>
      <c r="E13" s="16" t="s">
        <v>17</v>
      </c>
      <c r="F13" s="13"/>
    </row>
    <row r="14" spans="1:6" ht="34.5" customHeight="1">
      <c r="A14" s="13">
        <v>11</v>
      </c>
      <c r="B14" s="14" t="str">
        <f>"60252023121818101828173"</f>
        <v>60252023121818101828173</v>
      </c>
      <c r="C14" s="15" t="str">
        <f>"曹志远"</f>
        <v>曹志远</v>
      </c>
      <c r="D14" s="15" t="str">
        <f>"男"</f>
        <v>男</v>
      </c>
      <c r="E14" s="16" t="s">
        <v>18</v>
      </c>
      <c r="F14" s="13"/>
    </row>
    <row r="15" spans="1:6" ht="34.5" customHeight="1">
      <c r="A15" s="13">
        <v>12</v>
      </c>
      <c r="B15" s="14" t="str">
        <f>"60252023122216563538390"</f>
        <v>60252023122216563538390</v>
      </c>
      <c r="C15" s="15" t="str">
        <f>"胡小慧"</f>
        <v>胡小慧</v>
      </c>
      <c r="D15" s="15" t="str">
        <f>"女"</f>
        <v>女</v>
      </c>
      <c r="E15" s="16" t="s">
        <v>19</v>
      </c>
      <c r="F15" s="13"/>
    </row>
    <row r="16" spans="1:6" ht="34.5" customHeight="1">
      <c r="A16" s="13">
        <v>13</v>
      </c>
      <c r="B16" s="14" t="str">
        <f>"60252023122515212442491"</f>
        <v>60252023122515212442491</v>
      </c>
      <c r="C16" s="15" t="str">
        <f>"邢菊妹"</f>
        <v>邢菊妹</v>
      </c>
      <c r="D16" s="15" t="str">
        <f>"女"</f>
        <v>女</v>
      </c>
      <c r="E16" s="16" t="s">
        <v>20</v>
      </c>
      <c r="F16" s="13"/>
    </row>
    <row r="17" spans="1:6" ht="34.5" customHeight="1">
      <c r="A17" s="13">
        <v>14</v>
      </c>
      <c r="B17" s="14" t="str">
        <f>"60252023122515280142507"</f>
        <v>60252023122515280142507</v>
      </c>
      <c r="C17" s="15" t="str">
        <f>"马美燕"</f>
        <v>马美燕</v>
      </c>
      <c r="D17" s="15" t="str">
        <f>"女"</f>
        <v>女</v>
      </c>
      <c r="E17" s="16" t="s">
        <v>21</v>
      </c>
      <c r="F17" s="13"/>
    </row>
    <row r="18" spans="1:6" ht="34.5" customHeight="1">
      <c r="A18" s="13">
        <v>15</v>
      </c>
      <c r="B18" s="14" t="str">
        <f>"60252023122516025042583"</f>
        <v>60252023122516025042583</v>
      </c>
      <c r="C18" s="15" t="str">
        <f>"林柴紫"</f>
        <v>林柴紫</v>
      </c>
      <c r="D18" s="15" t="str">
        <f>"女"</f>
        <v>女</v>
      </c>
      <c r="E18" s="16" t="s">
        <v>22</v>
      </c>
      <c r="F18" s="13"/>
    </row>
    <row r="19" spans="1:6" ht="34.5" customHeight="1">
      <c r="A19" s="13">
        <v>16</v>
      </c>
      <c r="B19" s="14" t="str">
        <f>"60252023122614391543992"</f>
        <v>60252023122614391543992</v>
      </c>
      <c r="C19" s="15" t="str">
        <f>"李思文"</f>
        <v>李思文</v>
      </c>
      <c r="D19" s="15" t="str">
        <f>"男"</f>
        <v>男</v>
      </c>
      <c r="E19" s="16" t="s">
        <v>23</v>
      </c>
      <c r="F19" s="13"/>
    </row>
    <row r="20" spans="1:6" ht="34.5" customHeight="1">
      <c r="A20" s="13">
        <v>17</v>
      </c>
      <c r="B20" s="14" t="str">
        <f>"60252023122615491044131"</f>
        <v>60252023122615491044131</v>
      </c>
      <c r="C20" s="15" t="str">
        <f>"黄颖"</f>
        <v>黄颖</v>
      </c>
      <c r="D20" s="15" t="str">
        <f>"女"</f>
        <v>女</v>
      </c>
      <c r="E20" s="16" t="s">
        <v>24</v>
      </c>
      <c r="F20" s="13"/>
    </row>
    <row r="21" spans="1:6" ht="34.5" customHeight="1">
      <c r="A21" s="13">
        <v>18</v>
      </c>
      <c r="B21" s="14" t="str">
        <f>"60252023122617405644294"</f>
        <v>60252023122617405644294</v>
      </c>
      <c r="C21" s="15" t="str">
        <f>"梁祝裕"</f>
        <v>梁祝裕</v>
      </c>
      <c r="D21" s="15" t="str">
        <f>"男"</f>
        <v>男</v>
      </c>
      <c r="E21" s="16" t="s">
        <v>25</v>
      </c>
      <c r="F21" s="13"/>
    </row>
    <row r="22" spans="1:6" ht="34.5" customHeight="1">
      <c r="A22" s="13">
        <v>19</v>
      </c>
      <c r="B22" s="14" t="str">
        <f>"60252023121909580230112"</f>
        <v>60252023121909580230112</v>
      </c>
      <c r="C22" s="15" t="str">
        <f>"于德海"</f>
        <v>于德海</v>
      </c>
      <c r="D22" s="15" t="str">
        <f>"男"</f>
        <v>男</v>
      </c>
      <c r="E22" s="16" t="s">
        <v>26</v>
      </c>
      <c r="F22" s="13"/>
    </row>
    <row r="23" spans="1:6" ht="34.5" customHeight="1">
      <c r="A23" s="13">
        <v>20</v>
      </c>
      <c r="B23" s="14" t="str">
        <f>"60252023121910564330463"</f>
        <v>60252023121910564330463</v>
      </c>
      <c r="C23" s="15" t="str">
        <f>"黄心琚"</f>
        <v>黄心琚</v>
      </c>
      <c r="D23" s="15" t="str">
        <f>"男"</f>
        <v>男</v>
      </c>
      <c r="E23" s="16" t="s">
        <v>27</v>
      </c>
      <c r="F23" s="13"/>
    </row>
    <row r="24" spans="1:6" ht="34.5" customHeight="1">
      <c r="A24" s="13">
        <v>21</v>
      </c>
      <c r="B24" s="14" t="str">
        <f>"60252023122608550543359"</f>
        <v>60252023122608550543359</v>
      </c>
      <c r="C24" s="15" t="str">
        <f>"刘摞"</f>
        <v>刘摞</v>
      </c>
      <c r="D24" s="15" t="str">
        <f>"男"</f>
        <v>男</v>
      </c>
      <c r="E24" s="16" t="s">
        <v>28</v>
      </c>
      <c r="F24" s="13"/>
    </row>
    <row r="25" spans="1:6" ht="34.5" customHeight="1">
      <c r="A25" s="13">
        <v>22</v>
      </c>
      <c r="B25" s="14" t="str">
        <f>"60252023122616192244181"</f>
        <v>60252023122616192244181</v>
      </c>
      <c r="C25" s="15" t="str">
        <f>"毕建瑛"</f>
        <v>毕建瑛</v>
      </c>
      <c r="D25" s="15" t="str">
        <f>"女"</f>
        <v>女</v>
      </c>
      <c r="E25" s="16" t="s">
        <v>29</v>
      </c>
      <c r="F25" s="13"/>
    </row>
    <row r="26" spans="1:6" ht="34.5" customHeight="1">
      <c r="A26" s="13">
        <v>23</v>
      </c>
      <c r="B26" s="14" t="str">
        <f>"60252023121921161633221"</f>
        <v>60252023121921161633221</v>
      </c>
      <c r="C26" s="15" t="str">
        <f>"梁邦琪"</f>
        <v>梁邦琪</v>
      </c>
      <c r="D26" s="15" t="str">
        <f>"男"</f>
        <v>男</v>
      </c>
      <c r="E26" s="16" t="s">
        <v>30</v>
      </c>
      <c r="F26" s="13"/>
    </row>
    <row r="27" spans="1:6" ht="34.5" customHeight="1">
      <c r="A27" s="13">
        <v>24</v>
      </c>
      <c r="B27" s="14" t="str">
        <f>"60252023122421390841320"</f>
        <v>60252023122421390841320</v>
      </c>
      <c r="C27" s="15" t="str">
        <f>"钟国安"</f>
        <v>钟国安</v>
      </c>
      <c r="D27" s="15" t="str">
        <f>"男"</f>
        <v>男</v>
      </c>
      <c r="E27" s="16" t="s">
        <v>31</v>
      </c>
      <c r="F27" s="13"/>
    </row>
    <row r="28" spans="1:6" ht="34.5" customHeight="1">
      <c r="A28" s="13">
        <v>25</v>
      </c>
      <c r="B28" s="14" t="str">
        <f>"60252023122511483042072"</f>
        <v>60252023122511483042072</v>
      </c>
      <c r="C28" s="15" t="str">
        <f>"梁海燕"</f>
        <v>梁海燕</v>
      </c>
      <c r="D28" s="15" t="str">
        <f>"女"</f>
        <v>女</v>
      </c>
      <c r="E28" s="16" t="s">
        <v>32</v>
      </c>
      <c r="F28" s="13"/>
    </row>
    <row r="29" spans="1:6" ht="34.5" customHeight="1">
      <c r="A29" s="13">
        <v>26</v>
      </c>
      <c r="B29" s="14" t="str">
        <f>"60252023122016492337222"</f>
        <v>60252023122016492337222</v>
      </c>
      <c r="C29" s="15" t="str">
        <f>"黄随君"</f>
        <v>黄随君</v>
      </c>
      <c r="D29" s="15" t="str">
        <f aca="true" t="shared" si="0" ref="D29:D34">"女"</f>
        <v>女</v>
      </c>
      <c r="E29" s="16" t="s">
        <v>33</v>
      </c>
      <c r="F29" s="13"/>
    </row>
    <row r="30" spans="1:6" ht="34.5" customHeight="1">
      <c r="A30" s="13">
        <v>27</v>
      </c>
      <c r="B30" s="14" t="str">
        <f>"60252023122511505342079"</f>
        <v>60252023122511505342079</v>
      </c>
      <c r="C30" s="15" t="str">
        <f>"黄香波"</f>
        <v>黄香波</v>
      </c>
      <c r="D30" s="15" t="str">
        <f t="shared" si="0"/>
        <v>女</v>
      </c>
      <c r="E30" s="16" t="s">
        <v>34</v>
      </c>
      <c r="F30" s="13"/>
    </row>
    <row r="31" spans="1:6" ht="34.5" customHeight="1">
      <c r="A31" s="13">
        <v>28</v>
      </c>
      <c r="B31" s="14" t="str">
        <f>"60252023122509553341735"</f>
        <v>60252023122509553341735</v>
      </c>
      <c r="C31" s="15" t="str">
        <f>"蔡小媚"</f>
        <v>蔡小媚</v>
      </c>
      <c r="D31" s="15" t="str">
        <f t="shared" si="0"/>
        <v>女</v>
      </c>
      <c r="E31" s="16" t="s">
        <v>35</v>
      </c>
      <c r="F31" s="13"/>
    </row>
    <row r="32" spans="1:6" ht="34.5" customHeight="1">
      <c r="A32" s="13">
        <v>29</v>
      </c>
      <c r="B32" s="14" t="str">
        <f>"60252023121814473826932"</f>
        <v>60252023121814473826932</v>
      </c>
      <c r="C32" s="15" t="str">
        <f>"郑毛玩"</f>
        <v>郑毛玩</v>
      </c>
      <c r="D32" s="15" t="str">
        <f t="shared" si="0"/>
        <v>女</v>
      </c>
      <c r="E32" s="16" t="s">
        <v>36</v>
      </c>
      <c r="F32" s="13"/>
    </row>
    <row r="33" spans="1:6" ht="34.5" customHeight="1">
      <c r="A33" s="13">
        <v>30</v>
      </c>
      <c r="B33" s="14" t="str">
        <f>"60252023121915505731648"</f>
        <v>60252023121915505731648</v>
      </c>
      <c r="C33" s="15" t="str">
        <f>"王淼"</f>
        <v>王淼</v>
      </c>
      <c r="D33" s="15" t="str">
        <f t="shared" si="0"/>
        <v>女</v>
      </c>
      <c r="E33" s="16" t="s">
        <v>37</v>
      </c>
      <c r="F33" s="13"/>
    </row>
    <row r="34" spans="1:6" ht="34.5" customHeight="1">
      <c r="A34" s="13">
        <v>31</v>
      </c>
      <c r="B34" s="14" t="str">
        <f>"60252023121916541631996"</f>
        <v>60252023121916541631996</v>
      </c>
      <c r="C34" s="15" t="str">
        <f>"潘垂婉"</f>
        <v>潘垂婉</v>
      </c>
      <c r="D34" s="15" t="str">
        <f t="shared" si="0"/>
        <v>女</v>
      </c>
      <c r="E34" s="16" t="s">
        <v>38</v>
      </c>
      <c r="F34" s="13"/>
    </row>
    <row r="35" spans="1:6" ht="34.5" customHeight="1">
      <c r="A35" s="13">
        <v>32</v>
      </c>
      <c r="B35" s="14" t="str">
        <f>"60252023122119451137914"</f>
        <v>60252023122119451137914</v>
      </c>
      <c r="C35" s="15" t="str">
        <f>"蓝永富"</f>
        <v>蓝永富</v>
      </c>
      <c r="D35" s="15" t="str">
        <f>"男"</f>
        <v>男</v>
      </c>
      <c r="E35" s="16" t="s">
        <v>39</v>
      </c>
      <c r="F35" s="13"/>
    </row>
    <row r="36" spans="1:6" ht="34.5" customHeight="1">
      <c r="A36" s="13">
        <v>33</v>
      </c>
      <c r="B36" s="14" t="str">
        <f>"60252023122419051341176"</f>
        <v>60252023122419051341176</v>
      </c>
      <c r="C36" s="15" t="str">
        <f>"谭小敏"</f>
        <v>谭小敏</v>
      </c>
      <c r="D36" s="15" t="str">
        <f>"女"</f>
        <v>女</v>
      </c>
      <c r="E36" s="16" t="s">
        <v>40</v>
      </c>
      <c r="F36" s="13"/>
    </row>
    <row r="37" spans="1:6" ht="34.5" customHeight="1">
      <c r="A37" s="13">
        <v>34</v>
      </c>
      <c r="B37" s="14" t="str">
        <f>"60252023122521423643135"</f>
        <v>60252023122521423643135</v>
      </c>
      <c r="C37" s="15" t="str">
        <f>"陈玉金"</f>
        <v>陈玉金</v>
      </c>
      <c r="D37" s="15" t="str">
        <f>"女"</f>
        <v>女</v>
      </c>
      <c r="E37" s="16" t="s">
        <v>41</v>
      </c>
      <c r="F37" s="13"/>
    </row>
    <row r="38" spans="1:6" ht="34.5" customHeight="1">
      <c r="A38" s="13">
        <v>35</v>
      </c>
      <c r="B38" s="14" t="str">
        <f>"60252023122618305844341"</f>
        <v>60252023122618305844341</v>
      </c>
      <c r="C38" s="15" t="str">
        <f>"常慧敏"</f>
        <v>常慧敏</v>
      </c>
      <c r="D38" s="15" t="str">
        <f>"女"</f>
        <v>女</v>
      </c>
      <c r="E38" s="16" t="s">
        <v>42</v>
      </c>
      <c r="F38" s="13"/>
    </row>
    <row r="39" spans="1:6" ht="34.5" customHeight="1">
      <c r="A39" s="13">
        <v>36</v>
      </c>
      <c r="B39" s="14" t="str">
        <f>"60252023122620350544472"</f>
        <v>60252023122620350544472</v>
      </c>
      <c r="C39" s="15" t="str">
        <f>"叶桥娜"</f>
        <v>叶桥娜</v>
      </c>
      <c r="D39" s="15" t="str">
        <f>"女"</f>
        <v>女</v>
      </c>
      <c r="E39" s="16" t="s">
        <v>43</v>
      </c>
      <c r="F39" s="13"/>
    </row>
    <row r="40" spans="1:6" ht="34.5" customHeight="1">
      <c r="A40" s="13">
        <v>37</v>
      </c>
      <c r="B40" s="14" t="str">
        <f>"60252023122620292144467"</f>
        <v>60252023122620292144467</v>
      </c>
      <c r="C40" s="15" t="str">
        <f>"叶赋冶"</f>
        <v>叶赋冶</v>
      </c>
      <c r="D40" s="15" t="str">
        <f>"男"</f>
        <v>男</v>
      </c>
      <c r="E40" s="16" t="s">
        <v>44</v>
      </c>
      <c r="F40" s="13"/>
    </row>
    <row r="41" spans="1:6" ht="34.5" customHeight="1">
      <c r="A41" s="13">
        <v>38</v>
      </c>
      <c r="B41" s="14" t="str">
        <f>"60252023121812035326046"</f>
        <v>60252023121812035326046</v>
      </c>
      <c r="C41" s="15" t="str">
        <f>"曾卫行"</f>
        <v>曾卫行</v>
      </c>
      <c r="D41" s="15" t="str">
        <f>"女"</f>
        <v>女</v>
      </c>
      <c r="E41" s="16" t="s">
        <v>33</v>
      </c>
      <c r="F41" s="13"/>
    </row>
    <row r="42" spans="1:6" ht="34.5" customHeight="1">
      <c r="A42" s="13">
        <v>39</v>
      </c>
      <c r="B42" s="14" t="str">
        <f>"60252023121813212726436"</f>
        <v>60252023121813212726436</v>
      </c>
      <c r="C42" s="15" t="str">
        <f>"陈苗梅"</f>
        <v>陈苗梅</v>
      </c>
      <c r="D42" s="15" t="str">
        <f>"女"</f>
        <v>女</v>
      </c>
      <c r="E42" s="16" t="s">
        <v>45</v>
      </c>
      <c r="F42" s="13"/>
    </row>
    <row r="43" spans="1:6" ht="34.5" customHeight="1">
      <c r="A43" s="13">
        <v>40</v>
      </c>
      <c r="B43" s="14" t="str">
        <f>"60252023121817524428103"</f>
        <v>60252023121817524428103</v>
      </c>
      <c r="C43" s="15" t="str">
        <f>"林道风"</f>
        <v>林道风</v>
      </c>
      <c r="D43" s="15" t="str">
        <f>"男"</f>
        <v>男</v>
      </c>
      <c r="E43" s="16" t="s">
        <v>46</v>
      </c>
      <c r="F43" s="13"/>
    </row>
    <row r="44" spans="1:6" ht="34.5" customHeight="1">
      <c r="A44" s="13">
        <v>41</v>
      </c>
      <c r="B44" s="14" t="str">
        <f>"60252023121818470028291"</f>
        <v>60252023121818470028291</v>
      </c>
      <c r="C44" s="15" t="str">
        <f>"冯裕康"</f>
        <v>冯裕康</v>
      </c>
      <c r="D44" s="15" t="str">
        <f>"男"</f>
        <v>男</v>
      </c>
      <c r="E44" s="16" t="s">
        <v>47</v>
      </c>
      <c r="F44" s="13"/>
    </row>
    <row r="45" spans="1:6" ht="34.5" customHeight="1">
      <c r="A45" s="13">
        <v>42</v>
      </c>
      <c r="B45" s="14" t="str">
        <f>"60252023121822411029267"</f>
        <v>60252023121822411029267</v>
      </c>
      <c r="C45" s="15" t="str">
        <f>"郑同丹"</f>
        <v>郑同丹</v>
      </c>
      <c r="D45" s="15" t="str">
        <f>"女"</f>
        <v>女</v>
      </c>
      <c r="E45" s="16" t="s">
        <v>48</v>
      </c>
      <c r="F45" s="13"/>
    </row>
    <row r="46" spans="1:6" ht="34.5" customHeight="1">
      <c r="A46" s="13">
        <v>43</v>
      </c>
      <c r="B46" s="14" t="str">
        <f>"60252023121912452730873"</f>
        <v>60252023121912452730873</v>
      </c>
      <c r="C46" s="15" t="str">
        <f>"文倩"</f>
        <v>文倩</v>
      </c>
      <c r="D46" s="15" t="str">
        <f>"女"</f>
        <v>女</v>
      </c>
      <c r="E46" s="16" t="s">
        <v>49</v>
      </c>
      <c r="F46" s="13"/>
    </row>
    <row r="47" spans="1:6" ht="34.5" customHeight="1">
      <c r="A47" s="13">
        <v>44</v>
      </c>
      <c r="B47" s="14" t="str">
        <f>"60252023122019265337328"</f>
        <v>60252023122019265337328</v>
      </c>
      <c r="C47" s="15" t="str">
        <f>"黄聪斐"</f>
        <v>黄聪斐</v>
      </c>
      <c r="D47" s="15" t="str">
        <f>"女"</f>
        <v>女</v>
      </c>
      <c r="E47" s="16" t="s">
        <v>50</v>
      </c>
      <c r="F47" s="13"/>
    </row>
    <row r="48" spans="1:6" ht="34.5" customHeight="1">
      <c r="A48" s="13">
        <v>45</v>
      </c>
      <c r="B48" s="14" t="str">
        <f>"60252023122111340737621"</f>
        <v>60252023122111340737621</v>
      </c>
      <c r="C48" s="15" t="str">
        <f>"邓梅香"</f>
        <v>邓梅香</v>
      </c>
      <c r="D48" s="15" t="str">
        <f>"女"</f>
        <v>女</v>
      </c>
      <c r="E48" s="16" t="s">
        <v>51</v>
      </c>
      <c r="F48" s="13"/>
    </row>
    <row r="49" spans="1:6" ht="34.5" customHeight="1">
      <c r="A49" s="13">
        <v>46</v>
      </c>
      <c r="B49" s="14" t="str">
        <f>"60252023122209591138076"</f>
        <v>60252023122209591138076</v>
      </c>
      <c r="C49" s="15" t="str">
        <f>"符惠珍"</f>
        <v>符惠珍</v>
      </c>
      <c r="D49" s="15" t="str">
        <f>"女"</f>
        <v>女</v>
      </c>
      <c r="E49" s="16" t="s">
        <v>52</v>
      </c>
      <c r="F49" s="13"/>
    </row>
    <row r="50" spans="1:6" ht="34.5" customHeight="1">
      <c r="A50" s="13">
        <v>47</v>
      </c>
      <c r="B50" s="14" t="str">
        <f>"60252023122210444938121"</f>
        <v>60252023122210444938121</v>
      </c>
      <c r="C50" s="15" t="str">
        <f>"王绥良"</f>
        <v>王绥良</v>
      </c>
      <c r="D50" s="15" t="str">
        <f>"男"</f>
        <v>男</v>
      </c>
      <c r="E50" s="16" t="s">
        <v>53</v>
      </c>
      <c r="F50" s="13"/>
    </row>
    <row r="51" spans="1:6" ht="34.5" customHeight="1">
      <c r="A51" s="13">
        <v>48</v>
      </c>
      <c r="B51" s="14" t="str">
        <f>"60252023122216111138348"</f>
        <v>60252023122216111138348</v>
      </c>
      <c r="C51" s="15" t="str">
        <f>"陈日丽"</f>
        <v>陈日丽</v>
      </c>
      <c r="D51" s="15" t="str">
        <f>"女"</f>
        <v>女</v>
      </c>
      <c r="E51" s="16" t="s">
        <v>54</v>
      </c>
      <c r="F51" s="13"/>
    </row>
    <row r="52" spans="1:6" ht="34.5" customHeight="1">
      <c r="A52" s="13">
        <v>49</v>
      </c>
      <c r="B52" s="14" t="str">
        <f>"60252023122218264038451"</f>
        <v>60252023122218264038451</v>
      </c>
      <c r="C52" s="15" t="str">
        <f>"唐志明"</f>
        <v>唐志明</v>
      </c>
      <c r="D52" s="15" t="str">
        <f>"男"</f>
        <v>男</v>
      </c>
      <c r="E52" s="16" t="s">
        <v>55</v>
      </c>
      <c r="F52" s="13"/>
    </row>
    <row r="53" spans="1:6" ht="34.5" customHeight="1">
      <c r="A53" s="13">
        <v>50</v>
      </c>
      <c r="B53" s="14" t="str">
        <f>"60252023122212082338198"</f>
        <v>60252023122212082338198</v>
      </c>
      <c r="C53" s="15" t="str">
        <f>"林欢"</f>
        <v>林欢</v>
      </c>
      <c r="D53" s="15" t="str">
        <f>"女"</f>
        <v>女</v>
      </c>
      <c r="E53" s="16" t="s">
        <v>56</v>
      </c>
      <c r="F53" s="13"/>
    </row>
    <row r="54" spans="1:6" ht="34.5" customHeight="1">
      <c r="A54" s="13">
        <v>51</v>
      </c>
      <c r="B54" s="14" t="str">
        <f>"60252023122317141840084"</f>
        <v>60252023122317141840084</v>
      </c>
      <c r="C54" s="15" t="str">
        <f>"黎品金"</f>
        <v>黎品金</v>
      </c>
      <c r="D54" s="15" t="str">
        <f>"男"</f>
        <v>男</v>
      </c>
      <c r="E54" s="16" t="s">
        <v>57</v>
      </c>
      <c r="F54" s="13"/>
    </row>
    <row r="55" spans="1:6" ht="34.5" customHeight="1">
      <c r="A55" s="13">
        <v>52</v>
      </c>
      <c r="B55" s="14" t="str">
        <f>"60252023122321175240445"</f>
        <v>60252023122321175240445</v>
      </c>
      <c r="C55" s="15" t="str">
        <f>"郑丽慧"</f>
        <v>郑丽慧</v>
      </c>
      <c r="D55" s="15" t="str">
        <f>"女"</f>
        <v>女</v>
      </c>
      <c r="E55" s="16" t="s">
        <v>58</v>
      </c>
      <c r="F55" s="13"/>
    </row>
    <row r="56" spans="1:6" ht="34.5" customHeight="1">
      <c r="A56" s="13">
        <v>53</v>
      </c>
      <c r="B56" s="14" t="str">
        <f>"60252023122410204640725"</f>
        <v>60252023122410204640725</v>
      </c>
      <c r="C56" s="15" t="str">
        <f>"刘嘉佳"</f>
        <v>刘嘉佳</v>
      </c>
      <c r="D56" s="15" t="str">
        <f>"女"</f>
        <v>女</v>
      </c>
      <c r="E56" s="16" t="s">
        <v>59</v>
      </c>
      <c r="F56" s="13"/>
    </row>
    <row r="57" spans="1:6" ht="34.5" customHeight="1">
      <c r="A57" s="13">
        <v>54</v>
      </c>
      <c r="B57" s="14" t="str">
        <f>"60252023122317120740080"</f>
        <v>60252023122317120740080</v>
      </c>
      <c r="C57" s="15" t="str">
        <f>"吴儒坤"</f>
        <v>吴儒坤</v>
      </c>
      <c r="D57" s="15" t="str">
        <f>"女"</f>
        <v>女</v>
      </c>
      <c r="E57" s="16" t="s">
        <v>60</v>
      </c>
      <c r="F57" s="13"/>
    </row>
    <row r="58" spans="1:6" ht="34.5" customHeight="1">
      <c r="A58" s="13">
        <v>55</v>
      </c>
      <c r="B58" s="14" t="str">
        <f>"60252023122417403441109"</f>
        <v>60252023122417403441109</v>
      </c>
      <c r="C58" s="15" t="str">
        <f>"陈奕奋"</f>
        <v>陈奕奋</v>
      </c>
      <c r="D58" s="15" t="str">
        <f>"男"</f>
        <v>男</v>
      </c>
      <c r="E58" s="16" t="s">
        <v>16</v>
      </c>
      <c r="F58" s="13"/>
    </row>
    <row r="59" spans="1:6" ht="34.5" customHeight="1">
      <c r="A59" s="13">
        <v>56</v>
      </c>
      <c r="B59" s="14" t="str">
        <f>"60252023122120261837930"</f>
        <v>60252023122120261837930</v>
      </c>
      <c r="C59" s="15" t="str">
        <f>"金高伟"</f>
        <v>金高伟</v>
      </c>
      <c r="D59" s="15" t="str">
        <f>"男"</f>
        <v>男</v>
      </c>
      <c r="E59" s="16" t="s">
        <v>61</v>
      </c>
      <c r="F59" s="13"/>
    </row>
    <row r="60" spans="1:6" ht="34.5" customHeight="1">
      <c r="A60" s="13">
        <v>57</v>
      </c>
      <c r="B60" s="14" t="str">
        <f>"60252023122511090241979"</f>
        <v>60252023122511090241979</v>
      </c>
      <c r="C60" s="15" t="str">
        <f>"朱红月"</f>
        <v>朱红月</v>
      </c>
      <c r="D60" s="15" t="str">
        <f>"女"</f>
        <v>女</v>
      </c>
      <c r="E60" s="16" t="s">
        <v>62</v>
      </c>
      <c r="F60" s="13"/>
    </row>
    <row r="61" spans="1:6" ht="34.5" customHeight="1">
      <c r="A61" s="13">
        <v>58</v>
      </c>
      <c r="B61" s="14" t="str">
        <f>"60252023122516103442602"</f>
        <v>60252023122516103442602</v>
      </c>
      <c r="C61" s="15" t="str">
        <f>"彭小花"</f>
        <v>彭小花</v>
      </c>
      <c r="D61" s="15" t="str">
        <f>"女"</f>
        <v>女</v>
      </c>
      <c r="E61" s="16" t="s">
        <v>63</v>
      </c>
      <c r="F61" s="13"/>
    </row>
    <row r="62" spans="1:6" ht="34.5" customHeight="1">
      <c r="A62" s="13">
        <v>59</v>
      </c>
      <c r="B62" s="14" t="str">
        <f>"60252023122422260341361"</f>
        <v>60252023122422260341361</v>
      </c>
      <c r="C62" s="15" t="str">
        <f>"李金艳"</f>
        <v>李金艳</v>
      </c>
      <c r="D62" s="15" t="str">
        <f>"女"</f>
        <v>女</v>
      </c>
      <c r="E62" s="16" t="s">
        <v>64</v>
      </c>
      <c r="F62" s="13"/>
    </row>
    <row r="63" spans="1:6" ht="34.5" customHeight="1">
      <c r="A63" s="13">
        <v>60</v>
      </c>
      <c r="B63" s="14" t="str">
        <f>"60252023122516503742690"</f>
        <v>60252023122516503742690</v>
      </c>
      <c r="C63" s="15" t="str">
        <f>"郭素琴"</f>
        <v>郭素琴</v>
      </c>
      <c r="D63" s="15" t="str">
        <f>"女"</f>
        <v>女</v>
      </c>
      <c r="E63" s="16" t="s">
        <v>65</v>
      </c>
      <c r="F63" s="13"/>
    </row>
    <row r="64" spans="1:6" ht="34.5" customHeight="1">
      <c r="A64" s="13">
        <v>61</v>
      </c>
      <c r="B64" s="14" t="str">
        <f>"60252023122522224743203"</f>
        <v>60252023122522224743203</v>
      </c>
      <c r="C64" s="15" t="str">
        <f>"吴亨嘉"</f>
        <v>吴亨嘉</v>
      </c>
      <c r="D64" s="15" t="str">
        <f>"男"</f>
        <v>男</v>
      </c>
      <c r="E64" s="16" t="s">
        <v>66</v>
      </c>
      <c r="F64" s="13"/>
    </row>
    <row r="65" spans="1:6" ht="34.5" customHeight="1">
      <c r="A65" s="13">
        <v>62</v>
      </c>
      <c r="B65" s="14" t="str">
        <f>"60252023122315335239915"</f>
        <v>60252023122315335239915</v>
      </c>
      <c r="C65" s="15" t="str">
        <f>"文丹"</f>
        <v>文丹</v>
      </c>
      <c r="D65" s="15" t="str">
        <f>"女"</f>
        <v>女</v>
      </c>
      <c r="E65" s="16" t="s">
        <v>67</v>
      </c>
      <c r="F65" s="13"/>
    </row>
    <row r="66" spans="1:6" ht="34.5" customHeight="1">
      <c r="A66" s="13">
        <v>63</v>
      </c>
      <c r="B66" s="14" t="str">
        <f>"60252023122620464744482"</f>
        <v>60252023122620464744482</v>
      </c>
      <c r="C66" s="15" t="str">
        <f>"符珍祥"</f>
        <v>符珍祥</v>
      </c>
      <c r="D66" s="15" t="str">
        <f>"女"</f>
        <v>女</v>
      </c>
      <c r="E66" s="16" t="s">
        <v>68</v>
      </c>
      <c r="F66" s="13"/>
    </row>
    <row r="67" spans="1:6" ht="34.5" customHeight="1">
      <c r="A67" s="13">
        <v>64</v>
      </c>
      <c r="B67" s="14" t="str">
        <f>"60252023122615191844068"</f>
        <v>60252023122615191844068</v>
      </c>
      <c r="C67" s="15" t="str">
        <f>"高海莹"</f>
        <v>高海莹</v>
      </c>
      <c r="D67" s="15" t="str">
        <f>"女"</f>
        <v>女</v>
      </c>
      <c r="E67" s="16" t="s">
        <v>69</v>
      </c>
      <c r="F67" s="13"/>
    </row>
    <row r="68" spans="1:6" ht="34.5" customHeight="1">
      <c r="A68" s="13">
        <v>65</v>
      </c>
      <c r="B68" s="14" t="str">
        <f>"60252023122412493940867"</f>
        <v>60252023122412493940867</v>
      </c>
      <c r="C68" s="15" t="str">
        <f>"徐文政"</f>
        <v>徐文政</v>
      </c>
      <c r="D68" s="15" t="str">
        <f>"男"</f>
        <v>男</v>
      </c>
      <c r="E68" s="16" t="s">
        <v>70</v>
      </c>
      <c r="F68" s="13"/>
    </row>
    <row r="69" spans="1:6" ht="34.5" customHeight="1">
      <c r="A69" s="13">
        <v>66</v>
      </c>
      <c r="B69" s="14" t="str">
        <f>"60252023121811054125614"</f>
        <v>60252023121811054125614</v>
      </c>
      <c r="C69" s="15" t="str">
        <f>"王井德"</f>
        <v>王井德</v>
      </c>
      <c r="D69" s="15" t="str">
        <f aca="true" t="shared" si="1" ref="D69:D75">"女"</f>
        <v>女</v>
      </c>
      <c r="E69" s="16" t="s">
        <v>71</v>
      </c>
      <c r="F69" s="13"/>
    </row>
    <row r="70" spans="1:6" ht="34.5" customHeight="1">
      <c r="A70" s="13">
        <v>67</v>
      </c>
      <c r="B70" s="14" t="str">
        <f>"60252023121816205627628"</f>
        <v>60252023121816205627628</v>
      </c>
      <c r="C70" s="15" t="str">
        <f>"钱凡凡"</f>
        <v>钱凡凡</v>
      </c>
      <c r="D70" s="15" t="str">
        <f t="shared" si="1"/>
        <v>女</v>
      </c>
      <c r="E70" s="16" t="s">
        <v>72</v>
      </c>
      <c r="F70" s="13"/>
    </row>
    <row r="71" spans="1:6" ht="34.5" customHeight="1">
      <c r="A71" s="13">
        <v>68</v>
      </c>
      <c r="B71" s="14" t="str">
        <f>"60252023121822170329187"</f>
        <v>60252023121822170329187</v>
      </c>
      <c r="C71" s="15" t="str">
        <f>"林雨洁"</f>
        <v>林雨洁</v>
      </c>
      <c r="D71" s="15" t="str">
        <f t="shared" si="1"/>
        <v>女</v>
      </c>
      <c r="E71" s="16" t="s">
        <v>73</v>
      </c>
      <c r="F71" s="13"/>
    </row>
    <row r="72" spans="1:6" ht="34.5" customHeight="1">
      <c r="A72" s="13">
        <v>69</v>
      </c>
      <c r="B72" s="14" t="str">
        <f>"60252023121812451726259"</f>
        <v>60252023121812451726259</v>
      </c>
      <c r="C72" s="15" t="str">
        <f>"黄烛欣"</f>
        <v>黄烛欣</v>
      </c>
      <c r="D72" s="15" t="str">
        <f t="shared" si="1"/>
        <v>女</v>
      </c>
      <c r="E72" s="16" t="s">
        <v>22</v>
      </c>
      <c r="F72" s="13"/>
    </row>
    <row r="73" spans="1:6" ht="34.5" customHeight="1">
      <c r="A73" s="13">
        <v>70</v>
      </c>
      <c r="B73" s="14" t="str">
        <f>"60252023121915555431674"</f>
        <v>60252023121915555431674</v>
      </c>
      <c r="C73" s="15" t="str">
        <f>"杨育英"</f>
        <v>杨育英</v>
      </c>
      <c r="D73" s="15" t="str">
        <f t="shared" si="1"/>
        <v>女</v>
      </c>
      <c r="E73" s="16" t="s">
        <v>74</v>
      </c>
      <c r="F73" s="13"/>
    </row>
    <row r="74" spans="1:6" ht="34.5" customHeight="1">
      <c r="A74" s="13">
        <v>71</v>
      </c>
      <c r="B74" s="14" t="str">
        <f>"60252023121812163126114"</f>
        <v>60252023121812163126114</v>
      </c>
      <c r="C74" s="15" t="str">
        <f>"孟云星"</f>
        <v>孟云星</v>
      </c>
      <c r="D74" s="15" t="str">
        <f t="shared" si="1"/>
        <v>女</v>
      </c>
      <c r="E74" s="16" t="s">
        <v>75</v>
      </c>
      <c r="F74" s="13"/>
    </row>
    <row r="75" spans="1:6" ht="34.5" customHeight="1">
      <c r="A75" s="13">
        <v>72</v>
      </c>
      <c r="B75" s="14" t="str">
        <f>"60252023122008515334352"</f>
        <v>60252023122008515334352</v>
      </c>
      <c r="C75" s="15" t="str">
        <f>"陈欢"</f>
        <v>陈欢</v>
      </c>
      <c r="D75" s="15" t="str">
        <f t="shared" si="1"/>
        <v>女</v>
      </c>
      <c r="E75" s="16" t="s">
        <v>32</v>
      </c>
      <c r="F75" s="13"/>
    </row>
    <row r="76" spans="1:6" ht="34.5" customHeight="1">
      <c r="A76" s="13">
        <v>73</v>
      </c>
      <c r="B76" s="14" t="str">
        <f>"60252023122116015337795"</f>
        <v>60252023122116015337795</v>
      </c>
      <c r="C76" s="15" t="str">
        <f>"林道平"</f>
        <v>林道平</v>
      </c>
      <c r="D76" s="15" t="str">
        <f>"男"</f>
        <v>男</v>
      </c>
      <c r="E76" s="16" t="s">
        <v>76</v>
      </c>
      <c r="F76" s="13"/>
    </row>
    <row r="77" spans="1:6" ht="34.5" customHeight="1">
      <c r="A77" s="13">
        <v>74</v>
      </c>
      <c r="B77" s="14" t="str">
        <f>"60252023122119211637908"</f>
        <v>60252023122119211637908</v>
      </c>
      <c r="C77" s="15" t="str">
        <f>"林玉"</f>
        <v>林玉</v>
      </c>
      <c r="D77" s="15" t="str">
        <f>"女"</f>
        <v>女</v>
      </c>
      <c r="E77" s="16" t="s">
        <v>77</v>
      </c>
      <c r="F77" s="13"/>
    </row>
    <row r="78" spans="1:6" ht="34.5" customHeight="1">
      <c r="A78" s="13">
        <v>75</v>
      </c>
      <c r="B78" s="14" t="str">
        <f>"60252023122209000838021"</f>
        <v>60252023122209000838021</v>
      </c>
      <c r="C78" s="15" t="str">
        <f>"杨梦晶"</f>
        <v>杨梦晶</v>
      </c>
      <c r="D78" s="15" t="str">
        <f>"女"</f>
        <v>女</v>
      </c>
      <c r="E78" s="16" t="s">
        <v>64</v>
      </c>
      <c r="F78" s="13"/>
    </row>
    <row r="79" spans="1:6" ht="34.5" customHeight="1">
      <c r="A79" s="13">
        <v>76</v>
      </c>
      <c r="B79" s="14" t="str">
        <f>"60252023122409504540693"</f>
        <v>60252023122409504540693</v>
      </c>
      <c r="C79" s="15" t="str">
        <f>"李廷鸿"</f>
        <v>李廷鸿</v>
      </c>
      <c r="D79" s="15" t="str">
        <f>"男"</f>
        <v>男</v>
      </c>
      <c r="E79" s="16" t="s">
        <v>78</v>
      </c>
      <c r="F79" s="13"/>
    </row>
    <row r="80" spans="1:6" ht="34.5" customHeight="1">
      <c r="A80" s="13">
        <v>77</v>
      </c>
      <c r="B80" s="14" t="str">
        <f>"60252023122421365041317"</f>
        <v>60252023122421365041317</v>
      </c>
      <c r="C80" s="15" t="str">
        <f>"吴英曼"</f>
        <v>吴英曼</v>
      </c>
      <c r="D80" s="15" t="str">
        <f>"女"</f>
        <v>女</v>
      </c>
      <c r="E80" s="16" t="s">
        <v>79</v>
      </c>
      <c r="F80" s="13"/>
    </row>
    <row r="81" spans="1:6" ht="34.5" customHeight="1">
      <c r="A81" s="13">
        <v>78</v>
      </c>
      <c r="B81" s="14" t="str">
        <f>"60252023121811211925766"</f>
        <v>60252023121811211925766</v>
      </c>
      <c r="C81" s="15" t="str">
        <f>"陈玺"</f>
        <v>陈玺</v>
      </c>
      <c r="D81" s="15" t="str">
        <f>"男"</f>
        <v>男</v>
      </c>
      <c r="E81" s="16" t="s">
        <v>80</v>
      </c>
      <c r="F81" s="13"/>
    </row>
    <row r="82" spans="1:6" ht="34.5" customHeight="1">
      <c r="A82" s="13">
        <v>79</v>
      </c>
      <c r="B82" s="14" t="str">
        <f>"60252023122516080342591"</f>
        <v>60252023122516080342591</v>
      </c>
      <c r="C82" s="15" t="str">
        <f>"李晓康"</f>
        <v>李晓康</v>
      </c>
      <c r="D82" s="15" t="str">
        <f>"男"</f>
        <v>男</v>
      </c>
      <c r="E82" s="16" t="s">
        <v>81</v>
      </c>
      <c r="F82" s="13"/>
    </row>
    <row r="83" spans="1:6" ht="34.5" customHeight="1">
      <c r="A83" s="13">
        <v>80</v>
      </c>
      <c r="B83" s="14" t="str">
        <f>"60252023122521550643154"</f>
        <v>60252023122521550643154</v>
      </c>
      <c r="C83" s="15" t="str">
        <f>"马宏就"</f>
        <v>马宏就</v>
      </c>
      <c r="D83" s="15" t="str">
        <f>"女"</f>
        <v>女</v>
      </c>
      <c r="E83" s="16" t="s">
        <v>82</v>
      </c>
      <c r="F83" s="13"/>
    </row>
    <row r="84" spans="1:6" ht="34.5" customHeight="1">
      <c r="A84" s="13">
        <v>81</v>
      </c>
      <c r="B84" s="14" t="str">
        <f>"60252023122618284944337"</f>
        <v>60252023122618284944337</v>
      </c>
      <c r="C84" s="15" t="str">
        <f>"陈江威"</f>
        <v>陈江威</v>
      </c>
      <c r="D84" s="15" t="str">
        <f>"男"</f>
        <v>男</v>
      </c>
      <c r="E84" s="16" t="s">
        <v>83</v>
      </c>
      <c r="F84" s="13"/>
    </row>
    <row r="85" spans="1:6" ht="34.5" customHeight="1">
      <c r="A85" s="13">
        <v>82</v>
      </c>
      <c r="B85" s="14" t="str">
        <f>"60252023122621020344511"</f>
        <v>60252023122621020344511</v>
      </c>
      <c r="C85" s="15" t="str">
        <f>"郑发炜"</f>
        <v>郑发炜</v>
      </c>
      <c r="D85" s="15" t="str">
        <f>"男"</f>
        <v>男</v>
      </c>
      <c r="E85" s="16" t="s">
        <v>84</v>
      </c>
      <c r="F85" s="13"/>
    </row>
    <row r="86" spans="1:6" ht="34.5" customHeight="1">
      <c r="A86" s="13">
        <v>83</v>
      </c>
      <c r="B86" s="14" t="str">
        <f>"60252023122621394144562"</f>
        <v>60252023122621394144562</v>
      </c>
      <c r="C86" s="15" t="str">
        <f>"杨彩蝶"</f>
        <v>杨彩蝶</v>
      </c>
      <c r="D86" s="15" t="str">
        <f>"女"</f>
        <v>女</v>
      </c>
      <c r="E86" s="16" t="s">
        <v>48</v>
      </c>
      <c r="F86" s="13"/>
    </row>
    <row r="87" spans="1:6" ht="34.5" customHeight="1">
      <c r="A87" s="13">
        <v>84</v>
      </c>
      <c r="B87" s="14" t="str">
        <f>"60252023121810245225179"</f>
        <v>60252023121810245225179</v>
      </c>
      <c r="C87" s="15" t="str">
        <f>"哈洛雅"</f>
        <v>哈洛雅</v>
      </c>
      <c r="D87" s="15" t="str">
        <f>"女"</f>
        <v>女</v>
      </c>
      <c r="E87" s="16" t="s">
        <v>85</v>
      </c>
      <c r="F87" s="13"/>
    </row>
    <row r="88" spans="1:6" ht="34.5" customHeight="1">
      <c r="A88" s="13">
        <v>85</v>
      </c>
      <c r="B88" s="14" t="str">
        <f>"60252023121822580729326"</f>
        <v>60252023121822580729326</v>
      </c>
      <c r="C88" s="15" t="str">
        <f>"梁琼丹"</f>
        <v>梁琼丹</v>
      </c>
      <c r="D88" s="15" t="str">
        <f>"女"</f>
        <v>女</v>
      </c>
      <c r="E88" s="16" t="s">
        <v>86</v>
      </c>
      <c r="F88" s="13"/>
    </row>
    <row r="89" spans="1:6" ht="34.5" customHeight="1">
      <c r="A89" s="13">
        <v>86</v>
      </c>
      <c r="B89" s="14" t="str">
        <f>"60252023121913381831035"</f>
        <v>60252023121913381831035</v>
      </c>
      <c r="C89" s="15" t="str">
        <f>"赵国翠"</f>
        <v>赵国翠</v>
      </c>
      <c r="D89" s="15" t="str">
        <f>"女"</f>
        <v>女</v>
      </c>
      <c r="E89" s="16" t="s">
        <v>87</v>
      </c>
      <c r="F89" s="13"/>
    </row>
    <row r="90" spans="1:6" ht="34.5" customHeight="1">
      <c r="A90" s="13">
        <v>87</v>
      </c>
      <c r="B90" s="14" t="str">
        <f>"60252023122220260238517"</f>
        <v>60252023122220260238517</v>
      </c>
      <c r="C90" s="15" t="str">
        <f>"符永柳"</f>
        <v>符永柳</v>
      </c>
      <c r="D90" s="15" t="str">
        <f>"女"</f>
        <v>女</v>
      </c>
      <c r="E90" s="16" t="s">
        <v>88</v>
      </c>
      <c r="F90" s="13"/>
    </row>
    <row r="91" spans="1:6" ht="34.5" customHeight="1">
      <c r="A91" s="13">
        <v>88</v>
      </c>
      <c r="B91" s="14" t="str">
        <f>"60252023122121331437961"</f>
        <v>60252023122121331437961</v>
      </c>
      <c r="C91" s="15" t="str">
        <f>"吴海波"</f>
        <v>吴海波</v>
      </c>
      <c r="D91" s="15" t="str">
        <f>"男"</f>
        <v>男</v>
      </c>
      <c r="E91" s="16" t="s">
        <v>89</v>
      </c>
      <c r="F91" s="13"/>
    </row>
    <row r="92" spans="1:6" ht="34.5" customHeight="1">
      <c r="A92" s="13">
        <v>89</v>
      </c>
      <c r="B92" s="14" t="str">
        <f>"60252023122314354039820"</f>
        <v>60252023122314354039820</v>
      </c>
      <c r="C92" s="15" t="str">
        <f>"郑炳位"</f>
        <v>郑炳位</v>
      </c>
      <c r="D92" s="15" t="str">
        <f>"男"</f>
        <v>男</v>
      </c>
      <c r="E92" s="16" t="s">
        <v>90</v>
      </c>
      <c r="F92" s="13"/>
    </row>
    <row r="93" spans="1:6" ht="34.5" customHeight="1">
      <c r="A93" s="13">
        <v>90</v>
      </c>
      <c r="B93" s="14" t="str">
        <f>"60252023122619234644396"</f>
        <v>60252023122619234644396</v>
      </c>
      <c r="C93" s="15" t="str">
        <f>"李启信"</f>
        <v>李启信</v>
      </c>
      <c r="D93" s="15" t="str">
        <f>"男"</f>
        <v>男</v>
      </c>
      <c r="E93" s="16" t="s">
        <v>91</v>
      </c>
      <c r="F93" s="13"/>
    </row>
    <row r="94" spans="1:6" ht="34.5" customHeight="1">
      <c r="A94" s="13">
        <v>91</v>
      </c>
      <c r="B94" s="14" t="str">
        <f>"60252023122022034537412"</f>
        <v>60252023122022034537412</v>
      </c>
      <c r="C94" s="15" t="str">
        <f>"陈积燕"</f>
        <v>陈积燕</v>
      </c>
      <c r="D94" s="15" t="str">
        <f aca="true" t="shared" si="2" ref="D94:D111">"女"</f>
        <v>女</v>
      </c>
      <c r="E94" s="16" t="s">
        <v>92</v>
      </c>
      <c r="F94" s="13"/>
    </row>
    <row r="95" spans="1:6" ht="34.5" customHeight="1">
      <c r="A95" s="13">
        <v>92</v>
      </c>
      <c r="B95" s="14" t="str">
        <f>"60252023122100310737444"</f>
        <v>60252023122100310737444</v>
      </c>
      <c r="C95" s="15" t="str">
        <f>"符小玲"</f>
        <v>符小玲</v>
      </c>
      <c r="D95" s="15" t="str">
        <f t="shared" si="2"/>
        <v>女</v>
      </c>
      <c r="E95" s="16" t="s">
        <v>93</v>
      </c>
      <c r="F95" s="13"/>
    </row>
    <row r="96" spans="1:6" ht="34.5" customHeight="1">
      <c r="A96" s="13">
        <v>93</v>
      </c>
      <c r="B96" s="14" t="str">
        <f>"60252023122122482537981"</f>
        <v>60252023122122482537981</v>
      </c>
      <c r="C96" s="15" t="str">
        <f>"吴曼嫚"</f>
        <v>吴曼嫚</v>
      </c>
      <c r="D96" s="15" t="str">
        <f t="shared" si="2"/>
        <v>女</v>
      </c>
      <c r="E96" s="16" t="s">
        <v>94</v>
      </c>
      <c r="F96" s="13"/>
    </row>
    <row r="97" spans="1:6" ht="34.5" customHeight="1">
      <c r="A97" s="13">
        <v>94</v>
      </c>
      <c r="B97" s="14" t="str">
        <f>"60252023122611111543662"</f>
        <v>60252023122611111543662</v>
      </c>
      <c r="C97" s="15" t="str">
        <f>"黎香妃"</f>
        <v>黎香妃</v>
      </c>
      <c r="D97" s="15" t="str">
        <f t="shared" si="2"/>
        <v>女</v>
      </c>
      <c r="E97" s="16" t="s">
        <v>95</v>
      </c>
      <c r="F97" s="13"/>
    </row>
    <row r="98" spans="1:6" ht="34.5" customHeight="1">
      <c r="A98" s="13">
        <v>95</v>
      </c>
      <c r="B98" s="14" t="str">
        <f>"60252023121809141224322"</f>
        <v>60252023121809141224322</v>
      </c>
      <c r="C98" s="15" t="str">
        <f>"叶珍"</f>
        <v>叶珍</v>
      </c>
      <c r="D98" s="15" t="str">
        <f t="shared" si="2"/>
        <v>女</v>
      </c>
      <c r="E98" s="16" t="s">
        <v>96</v>
      </c>
      <c r="F98" s="13"/>
    </row>
    <row r="99" spans="1:6" ht="34.5" customHeight="1">
      <c r="A99" s="13">
        <v>96</v>
      </c>
      <c r="B99" s="14" t="str">
        <f>"60252023121809134324318"</f>
        <v>60252023121809134324318</v>
      </c>
      <c r="C99" s="15" t="str">
        <f>"陈慧"</f>
        <v>陈慧</v>
      </c>
      <c r="D99" s="15" t="str">
        <f t="shared" si="2"/>
        <v>女</v>
      </c>
      <c r="E99" s="16" t="s">
        <v>97</v>
      </c>
      <c r="F99" s="13"/>
    </row>
    <row r="100" spans="1:6" ht="34.5" customHeight="1">
      <c r="A100" s="13">
        <v>97</v>
      </c>
      <c r="B100" s="14" t="str">
        <f>"60252023121809091624249"</f>
        <v>60252023121809091624249</v>
      </c>
      <c r="C100" s="15" t="str">
        <f>"王冬雪"</f>
        <v>王冬雪</v>
      </c>
      <c r="D100" s="15" t="str">
        <f t="shared" si="2"/>
        <v>女</v>
      </c>
      <c r="E100" s="16" t="s">
        <v>98</v>
      </c>
      <c r="F100" s="13"/>
    </row>
    <row r="101" spans="1:6" ht="34.5" customHeight="1">
      <c r="A101" s="13">
        <v>98</v>
      </c>
      <c r="B101" s="14" t="str">
        <f>"60252023121809121924296"</f>
        <v>60252023121809121924296</v>
      </c>
      <c r="C101" s="15" t="str">
        <f>"董娴"</f>
        <v>董娴</v>
      </c>
      <c r="D101" s="15" t="str">
        <f t="shared" si="2"/>
        <v>女</v>
      </c>
      <c r="E101" s="16" t="s">
        <v>99</v>
      </c>
      <c r="F101" s="13"/>
    </row>
    <row r="102" spans="1:6" ht="34.5" customHeight="1">
      <c r="A102" s="13">
        <v>99</v>
      </c>
      <c r="B102" s="14" t="str">
        <f>"60252023121809492524744"</f>
        <v>60252023121809492524744</v>
      </c>
      <c r="C102" s="15" t="str">
        <f>"廖思怡"</f>
        <v>廖思怡</v>
      </c>
      <c r="D102" s="15" t="str">
        <f t="shared" si="2"/>
        <v>女</v>
      </c>
      <c r="E102" s="16" t="s">
        <v>100</v>
      </c>
      <c r="F102" s="13"/>
    </row>
    <row r="103" spans="1:6" ht="34.5" customHeight="1">
      <c r="A103" s="13">
        <v>100</v>
      </c>
      <c r="B103" s="14" t="str">
        <f>"60252023121809520224776"</f>
        <v>60252023121809520224776</v>
      </c>
      <c r="C103" s="15" t="str">
        <f>"杜秀强"</f>
        <v>杜秀强</v>
      </c>
      <c r="D103" s="15" t="str">
        <f t="shared" si="2"/>
        <v>女</v>
      </c>
      <c r="E103" s="16" t="s">
        <v>69</v>
      </c>
      <c r="F103" s="13"/>
    </row>
    <row r="104" spans="1:6" ht="34.5" customHeight="1">
      <c r="A104" s="13">
        <v>101</v>
      </c>
      <c r="B104" s="14" t="str">
        <f>"60252023121809254324464"</f>
        <v>60252023121809254324464</v>
      </c>
      <c r="C104" s="15" t="str">
        <f>"邢慧敏"</f>
        <v>邢慧敏</v>
      </c>
      <c r="D104" s="15" t="str">
        <f t="shared" si="2"/>
        <v>女</v>
      </c>
      <c r="E104" s="16" t="s">
        <v>101</v>
      </c>
      <c r="F104" s="13"/>
    </row>
    <row r="105" spans="1:6" ht="34.5" customHeight="1">
      <c r="A105" s="13">
        <v>102</v>
      </c>
      <c r="B105" s="14" t="str">
        <f>"60252023121809515324772"</f>
        <v>60252023121809515324772</v>
      </c>
      <c r="C105" s="15" t="str">
        <f>"岑小妮"</f>
        <v>岑小妮</v>
      </c>
      <c r="D105" s="15" t="str">
        <f t="shared" si="2"/>
        <v>女</v>
      </c>
      <c r="E105" s="16" t="s">
        <v>102</v>
      </c>
      <c r="F105" s="13"/>
    </row>
    <row r="106" spans="1:6" ht="34.5" customHeight="1">
      <c r="A106" s="13">
        <v>103</v>
      </c>
      <c r="B106" s="14" t="str">
        <f>"60252023121810054824950"</f>
        <v>60252023121810054824950</v>
      </c>
      <c r="C106" s="15" t="str">
        <f>"揭英瑛"</f>
        <v>揭英瑛</v>
      </c>
      <c r="D106" s="15" t="str">
        <f t="shared" si="2"/>
        <v>女</v>
      </c>
      <c r="E106" s="16" t="s">
        <v>103</v>
      </c>
      <c r="F106" s="13"/>
    </row>
    <row r="107" spans="1:6" ht="34.5" customHeight="1">
      <c r="A107" s="13">
        <v>104</v>
      </c>
      <c r="B107" s="14" t="str">
        <f>"60252023121810494525442"</f>
        <v>60252023121810494525442</v>
      </c>
      <c r="C107" s="15" t="str">
        <f>"王神爱"</f>
        <v>王神爱</v>
      </c>
      <c r="D107" s="15" t="str">
        <f t="shared" si="2"/>
        <v>女</v>
      </c>
      <c r="E107" s="16" t="s">
        <v>104</v>
      </c>
      <c r="F107" s="13"/>
    </row>
    <row r="108" spans="1:6" ht="34.5" customHeight="1">
      <c r="A108" s="13">
        <v>105</v>
      </c>
      <c r="B108" s="14" t="str">
        <f>"60252023121810491925436"</f>
        <v>60252023121810491925436</v>
      </c>
      <c r="C108" s="15" t="str">
        <f>"王舒倩"</f>
        <v>王舒倩</v>
      </c>
      <c r="D108" s="15" t="str">
        <f t="shared" si="2"/>
        <v>女</v>
      </c>
      <c r="E108" s="16" t="s">
        <v>105</v>
      </c>
      <c r="F108" s="13"/>
    </row>
    <row r="109" spans="1:6" ht="34.5" customHeight="1">
      <c r="A109" s="13">
        <v>106</v>
      </c>
      <c r="B109" s="14" t="str">
        <f>"60252023121809304224522"</f>
        <v>60252023121809304224522</v>
      </c>
      <c r="C109" s="15" t="str">
        <f>"陈芳妹"</f>
        <v>陈芳妹</v>
      </c>
      <c r="D109" s="15" t="str">
        <f t="shared" si="2"/>
        <v>女</v>
      </c>
      <c r="E109" s="16" t="s">
        <v>106</v>
      </c>
      <c r="F109" s="13"/>
    </row>
    <row r="110" spans="1:6" ht="34.5" customHeight="1">
      <c r="A110" s="13">
        <v>107</v>
      </c>
      <c r="B110" s="14" t="str">
        <f>"60252023121811004025553"</f>
        <v>60252023121811004025553</v>
      </c>
      <c r="C110" s="15" t="str">
        <f>"李霞"</f>
        <v>李霞</v>
      </c>
      <c r="D110" s="15" t="str">
        <f t="shared" si="2"/>
        <v>女</v>
      </c>
      <c r="E110" s="16" t="s">
        <v>107</v>
      </c>
      <c r="F110" s="13"/>
    </row>
    <row r="111" spans="1:6" ht="34.5" customHeight="1">
      <c r="A111" s="13">
        <v>108</v>
      </c>
      <c r="B111" s="14" t="str">
        <f>"60252023121811220625773"</f>
        <v>60252023121811220625773</v>
      </c>
      <c r="C111" s="15" t="str">
        <f>"王欣欣"</f>
        <v>王欣欣</v>
      </c>
      <c r="D111" s="15" t="str">
        <f t="shared" si="2"/>
        <v>女</v>
      </c>
      <c r="E111" s="16" t="s">
        <v>108</v>
      </c>
      <c r="F111" s="13"/>
    </row>
    <row r="112" spans="1:6" ht="34.5" customHeight="1">
      <c r="A112" s="13">
        <v>109</v>
      </c>
      <c r="B112" s="14" t="str">
        <f>"60252023121811503425986"</f>
        <v>60252023121811503425986</v>
      </c>
      <c r="C112" s="15" t="str">
        <f>"林秋"</f>
        <v>林秋</v>
      </c>
      <c r="D112" s="15" t="str">
        <f>"男"</f>
        <v>男</v>
      </c>
      <c r="E112" s="16" t="s">
        <v>109</v>
      </c>
      <c r="F112" s="13"/>
    </row>
    <row r="113" spans="1:6" ht="34.5" customHeight="1">
      <c r="A113" s="13">
        <v>110</v>
      </c>
      <c r="B113" s="14" t="str">
        <f>"60252023121810041724932"</f>
        <v>60252023121810041724932</v>
      </c>
      <c r="C113" s="15" t="str">
        <f>"王隆文"</f>
        <v>王隆文</v>
      </c>
      <c r="D113" s="15" t="str">
        <f>"男"</f>
        <v>男</v>
      </c>
      <c r="E113" s="16" t="s">
        <v>110</v>
      </c>
      <c r="F113" s="13"/>
    </row>
    <row r="114" spans="1:6" ht="34.5" customHeight="1">
      <c r="A114" s="13">
        <v>111</v>
      </c>
      <c r="B114" s="14" t="str">
        <f>"60252023121811580426022"</f>
        <v>60252023121811580426022</v>
      </c>
      <c r="C114" s="15" t="str">
        <f>"林苗"</f>
        <v>林苗</v>
      </c>
      <c r="D114" s="15" t="str">
        <f aca="true" t="shared" si="3" ref="D114:D125">"女"</f>
        <v>女</v>
      </c>
      <c r="E114" s="16" t="s">
        <v>68</v>
      </c>
      <c r="F114" s="13"/>
    </row>
    <row r="115" spans="1:6" ht="34.5" customHeight="1">
      <c r="A115" s="13">
        <v>112</v>
      </c>
      <c r="B115" s="14" t="str">
        <f>"60252023121812223426142"</f>
        <v>60252023121812223426142</v>
      </c>
      <c r="C115" s="15" t="str">
        <f>"王英香"</f>
        <v>王英香</v>
      </c>
      <c r="D115" s="15" t="str">
        <f t="shared" si="3"/>
        <v>女</v>
      </c>
      <c r="E115" s="16" t="s">
        <v>111</v>
      </c>
      <c r="F115" s="13"/>
    </row>
    <row r="116" spans="1:6" ht="34.5" customHeight="1">
      <c r="A116" s="13">
        <v>113</v>
      </c>
      <c r="B116" s="14" t="str">
        <f>"60252023121812061826057"</f>
        <v>60252023121812061826057</v>
      </c>
      <c r="C116" s="15" t="str">
        <f>"吴为美"</f>
        <v>吴为美</v>
      </c>
      <c r="D116" s="15" t="str">
        <f t="shared" si="3"/>
        <v>女</v>
      </c>
      <c r="E116" s="16" t="s">
        <v>112</v>
      </c>
      <c r="F116" s="13"/>
    </row>
    <row r="117" spans="1:6" ht="34.5" customHeight="1">
      <c r="A117" s="13">
        <v>114</v>
      </c>
      <c r="B117" s="14" t="str">
        <f>"60252023121811400425913"</f>
        <v>60252023121811400425913</v>
      </c>
      <c r="C117" s="15" t="str">
        <f>"朱荷袖"</f>
        <v>朱荷袖</v>
      </c>
      <c r="D117" s="15" t="str">
        <f t="shared" si="3"/>
        <v>女</v>
      </c>
      <c r="E117" s="16" t="s">
        <v>60</v>
      </c>
      <c r="F117" s="13"/>
    </row>
    <row r="118" spans="1:6" ht="34.5" customHeight="1">
      <c r="A118" s="13">
        <v>115</v>
      </c>
      <c r="B118" s="14" t="str">
        <f>"60252023121812062026058"</f>
        <v>60252023121812062026058</v>
      </c>
      <c r="C118" s="15" t="str">
        <f>"陈少月"</f>
        <v>陈少月</v>
      </c>
      <c r="D118" s="15" t="str">
        <f t="shared" si="3"/>
        <v>女</v>
      </c>
      <c r="E118" s="16" t="s">
        <v>113</v>
      </c>
      <c r="F118" s="13"/>
    </row>
    <row r="119" spans="1:6" ht="34.5" customHeight="1">
      <c r="A119" s="13">
        <v>116</v>
      </c>
      <c r="B119" s="14" t="str">
        <f>"60252023121812470826275"</f>
        <v>60252023121812470826275</v>
      </c>
      <c r="C119" s="15" t="str">
        <f>"胡清叶"</f>
        <v>胡清叶</v>
      </c>
      <c r="D119" s="15" t="str">
        <f t="shared" si="3"/>
        <v>女</v>
      </c>
      <c r="E119" s="16" t="s">
        <v>114</v>
      </c>
      <c r="F119" s="13"/>
    </row>
    <row r="120" spans="1:6" ht="34.5" customHeight="1">
      <c r="A120" s="13">
        <v>117</v>
      </c>
      <c r="B120" s="14" t="str">
        <f>"60252023121811142425705"</f>
        <v>60252023121811142425705</v>
      </c>
      <c r="C120" s="15" t="str">
        <f>"雷黎懿"</f>
        <v>雷黎懿</v>
      </c>
      <c r="D120" s="15" t="str">
        <f t="shared" si="3"/>
        <v>女</v>
      </c>
      <c r="E120" s="16" t="s">
        <v>115</v>
      </c>
      <c r="F120" s="13"/>
    </row>
    <row r="121" spans="1:6" ht="34.5" customHeight="1">
      <c r="A121" s="13">
        <v>118</v>
      </c>
      <c r="B121" s="14" t="str">
        <f>"60252023121812554026320"</f>
        <v>60252023121812554026320</v>
      </c>
      <c r="C121" s="15" t="str">
        <f>"王小晶"</f>
        <v>王小晶</v>
      </c>
      <c r="D121" s="15" t="str">
        <f t="shared" si="3"/>
        <v>女</v>
      </c>
      <c r="E121" s="16" t="s">
        <v>116</v>
      </c>
      <c r="F121" s="13"/>
    </row>
    <row r="122" spans="1:6" ht="34.5" customHeight="1">
      <c r="A122" s="13">
        <v>119</v>
      </c>
      <c r="B122" s="14" t="str">
        <f>"60252023121815041927074"</f>
        <v>60252023121815041927074</v>
      </c>
      <c r="C122" s="15" t="str">
        <f>"李水蓉"</f>
        <v>李水蓉</v>
      </c>
      <c r="D122" s="15" t="str">
        <f t="shared" si="3"/>
        <v>女</v>
      </c>
      <c r="E122" s="16" t="s">
        <v>117</v>
      </c>
      <c r="F122" s="13"/>
    </row>
    <row r="123" spans="1:6" ht="34.5" customHeight="1">
      <c r="A123" s="13">
        <v>120</v>
      </c>
      <c r="B123" s="14" t="str">
        <f>"60252023121814522126977"</f>
        <v>60252023121814522126977</v>
      </c>
      <c r="C123" s="15" t="str">
        <f>"陈丕环"</f>
        <v>陈丕环</v>
      </c>
      <c r="D123" s="15" t="str">
        <f t="shared" si="3"/>
        <v>女</v>
      </c>
      <c r="E123" s="16" t="s">
        <v>71</v>
      </c>
      <c r="F123" s="13"/>
    </row>
    <row r="124" spans="1:6" ht="34.5" customHeight="1">
      <c r="A124" s="13">
        <v>121</v>
      </c>
      <c r="B124" s="14" t="str">
        <f>"60252023121815484527412"</f>
        <v>60252023121815484527412</v>
      </c>
      <c r="C124" s="15" t="str">
        <f>"陈海娇"</f>
        <v>陈海娇</v>
      </c>
      <c r="D124" s="15" t="str">
        <f t="shared" si="3"/>
        <v>女</v>
      </c>
      <c r="E124" s="16" t="s">
        <v>118</v>
      </c>
      <c r="F124" s="13"/>
    </row>
    <row r="125" spans="1:6" ht="34.5" customHeight="1">
      <c r="A125" s="13">
        <v>122</v>
      </c>
      <c r="B125" s="14" t="str">
        <f>"60252023121815320927272"</f>
        <v>60252023121815320927272</v>
      </c>
      <c r="C125" s="15" t="str">
        <f>"吴丽琼"</f>
        <v>吴丽琼</v>
      </c>
      <c r="D125" s="15" t="str">
        <f t="shared" si="3"/>
        <v>女</v>
      </c>
      <c r="E125" s="16" t="s">
        <v>119</v>
      </c>
      <c r="F125" s="13"/>
    </row>
    <row r="126" spans="1:6" ht="34.5" customHeight="1">
      <c r="A126" s="13">
        <v>123</v>
      </c>
      <c r="B126" s="14" t="str">
        <f>"60252023121814510226968"</f>
        <v>60252023121814510226968</v>
      </c>
      <c r="C126" s="15" t="str">
        <f>"苏涛"</f>
        <v>苏涛</v>
      </c>
      <c r="D126" s="15" t="str">
        <f>"男"</f>
        <v>男</v>
      </c>
      <c r="E126" s="16" t="s">
        <v>120</v>
      </c>
      <c r="F126" s="13"/>
    </row>
    <row r="127" spans="1:6" ht="34.5" customHeight="1">
      <c r="A127" s="13">
        <v>124</v>
      </c>
      <c r="B127" s="14" t="str">
        <f>"60252023121811071025626"</f>
        <v>60252023121811071025626</v>
      </c>
      <c r="C127" s="15" t="str">
        <f>"李基珍"</f>
        <v>李基珍</v>
      </c>
      <c r="D127" s="15" t="str">
        <f aca="true" t="shared" si="4" ref="D127:D158">"女"</f>
        <v>女</v>
      </c>
      <c r="E127" s="16" t="s">
        <v>118</v>
      </c>
      <c r="F127" s="13"/>
    </row>
    <row r="128" spans="1:6" ht="34.5" customHeight="1">
      <c r="A128" s="13">
        <v>125</v>
      </c>
      <c r="B128" s="14" t="str">
        <f>"60252023121810242325173"</f>
        <v>60252023121810242325173</v>
      </c>
      <c r="C128" s="15" t="str">
        <f>"吉璐璐"</f>
        <v>吉璐璐</v>
      </c>
      <c r="D128" s="15" t="str">
        <f t="shared" si="4"/>
        <v>女</v>
      </c>
      <c r="E128" s="16" t="s">
        <v>121</v>
      </c>
      <c r="F128" s="13"/>
    </row>
    <row r="129" spans="1:6" ht="34.5" customHeight="1">
      <c r="A129" s="13">
        <v>126</v>
      </c>
      <c r="B129" s="14" t="str">
        <f>"60252023121815482627405"</f>
        <v>60252023121815482627405</v>
      </c>
      <c r="C129" s="15" t="str">
        <f>"符小莉"</f>
        <v>符小莉</v>
      </c>
      <c r="D129" s="15" t="str">
        <f t="shared" si="4"/>
        <v>女</v>
      </c>
      <c r="E129" s="16" t="s">
        <v>34</v>
      </c>
      <c r="F129" s="13"/>
    </row>
    <row r="130" spans="1:6" ht="34.5" customHeight="1">
      <c r="A130" s="13">
        <v>127</v>
      </c>
      <c r="B130" s="14" t="str">
        <f>"60252023121815270227241"</f>
        <v>60252023121815270227241</v>
      </c>
      <c r="C130" s="15" t="str">
        <f>"王顺玲"</f>
        <v>王顺玲</v>
      </c>
      <c r="D130" s="15" t="str">
        <f t="shared" si="4"/>
        <v>女</v>
      </c>
      <c r="E130" s="16" t="s">
        <v>108</v>
      </c>
      <c r="F130" s="13"/>
    </row>
    <row r="131" spans="1:6" ht="34.5" customHeight="1">
      <c r="A131" s="13">
        <v>128</v>
      </c>
      <c r="B131" s="14" t="str">
        <f>"60252023121816221927641"</f>
        <v>60252023121816221927641</v>
      </c>
      <c r="C131" s="15" t="str">
        <f>"王梅女"</f>
        <v>王梅女</v>
      </c>
      <c r="D131" s="15" t="str">
        <f t="shared" si="4"/>
        <v>女</v>
      </c>
      <c r="E131" s="16" t="s">
        <v>122</v>
      </c>
      <c r="F131" s="13"/>
    </row>
    <row r="132" spans="1:6" ht="34.5" customHeight="1">
      <c r="A132" s="13">
        <v>129</v>
      </c>
      <c r="B132" s="14" t="str">
        <f>"60252023121816254027663"</f>
        <v>60252023121816254027663</v>
      </c>
      <c r="C132" s="15" t="str">
        <f>"谢菲"</f>
        <v>谢菲</v>
      </c>
      <c r="D132" s="15" t="str">
        <f t="shared" si="4"/>
        <v>女</v>
      </c>
      <c r="E132" s="16" t="s">
        <v>13</v>
      </c>
      <c r="F132" s="13"/>
    </row>
    <row r="133" spans="1:6" ht="34.5" customHeight="1">
      <c r="A133" s="13">
        <v>130</v>
      </c>
      <c r="B133" s="14" t="str">
        <f>"60252023121811085025642"</f>
        <v>60252023121811085025642</v>
      </c>
      <c r="C133" s="15" t="str">
        <f>"杨治慧"</f>
        <v>杨治慧</v>
      </c>
      <c r="D133" s="15" t="str">
        <f t="shared" si="4"/>
        <v>女</v>
      </c>
      <c r="E133" s="16" t="s">
        <v>123</v>
      </c>
      <c r="F133" s="13"/>
    </row>
    <row r="134" spans="1:6" ht="34.5" customHeight="1">
      <c r="A134" s="13">
        <v>131</v>
      </c>
      <c r="B134" s="14" t="str">
        <f>"60252023121817264628018"</f>
        <v>60252023121817264628018</v>
      </c>
      <c r="C134" s="15" t="str">
        <f>"郑语婕"</f>
        <v>郑语婕</v>
      </c>
      <c r="D134" s="15" t="str">
        <f t="shared" si="4"/>
        <v>女</v>
      </c>
      <c r="E134" s="16" t="s">
        <v>124</v>
      </c>
      <c r="F134" s="13"/>
    </row>
    <row r="135" spans="1:6" ht="34.5" customHeight="1">
      <c r="A135" s="13">
        <v>132</v>
      </c>
      <c r="B135" s="14" t="str">
        <f>"60252023121816435227778"</f>
        <v>60252023121816435227778</v>
      </c>
      <c r="C135" s="15" t="str">
        <f>"段淑航"</f>
        <v>段淑航</v>
      </c>
      <c r="D135" s="15" t="str">
        <f t="shared" si="4"/>
        <v>女</v>
      </c>
      <c r="E135" s="16" t="s">
        <v>125</v>
      </c>
      <c r="F135" s="13"/>
    </row>
    <row r="136" spans="1:6" ht="34.5" customHeight="1">
      <c r="A136" s="13">
        <v>133</v>
      </c>
      <c r="B136" s="14" t="str">
        <f>"60252023121816033827513"</f>
        <v>60252023121816033827513</v>
      </c>
      <c r="C136" s="15" t="str">
        <f>"何芳"</f>
        <v>何芳</v>
      </c>
      <c r="D136" s="15" t="str">
        <f t="shared" si="4"/>
        <v>女</v>
      </c>
      <c r="E136" s="16" t="s">
        <v>126</v>
      </c>
      <c r="F136" s="13"/>
    </row>
    <row r="137" spans="1:6" ht="34.5" customHeight="1">
      <c r="A137" s="13">
        <v>134</v>
      </c>
      <c r="B137" s="14" t="str">
        <f>"60252023121810482825423"</f>
        <v>60252023121810482825423</v>
      </c>
      <c r="C137" s="15" t="str">
        <f>"容亚愉"</f>
        <v>容亚愉</v>
      </c>
      <c r="D137" s="15" t="str">
        <f t="shared" si="4"/>
        <v>女</v>
      </c>
      <c r="E137" s="16" t="s">
        <v>127</v>
      </c>
      <c r="F137" s="13"/>
    </row>
    <row r="138" spans="1:6" ht="34.5" customHeight="1">
      <c r="A138" s="13">
        <v>135</v>
      </c>
      <c r="B138" s="14" t="str">
        <f>"60252023121810323825261"</f>
        <v>60252023121810323825261</v>
      </c>
      <c r="C138" s="15" t="str">
        <f>"洪淑娜"</f>
        <v>洪淑娜</v>
      </c>
      <c r="D138" s="15" t="str">
        <f t="shared" si="4"/>
        <v>女</v>
      </c>
      <c r="E138" s="16" t="s">
        <v>128</v>
      </c>
      <c r="F138" s="13"/>
    </row>
    <row r="139" spans="1:6" ht="34.5" customHeight="1">
      <c r="A139" s="13">
        <v>136</v>
      </c>
      <c r="B139" s="14" t="str">
        <f>"60252023121820062928624"</f>
        <v>60252023121820062928624</v>
      </c>
      <c r="C139" s="15" t="str">
        <f>"吴广梅"</f>
        <v>吴广梅</v>
      </c>
      <c r="D139" s="15" t="str">
        <f t="shared" si="4"/>
        <v>女</v>
      </c>
      <c r="E139" s="16" t="s">
        <v>129</v>
      </c>
      <c r="F139" s="13"/>
    </row>
    <row r="140" spans="1:6" ht="34.5" customHeight="1">
      <c r="A140" s="13">
        <v>137</v>
      </c>
      <c r="B140" s="14" t="str">
        <f>"60252023121821040228875"</f>
        <v>60252023121821040228875</v>
      </c>
      <c r="C140" s="15" t="str">
        <f>"文先玉"</f>
        <v>文先玉</v>
      </c>
      <c r="D140" s="15" t="str">
        <f t="shared" si="4"/>
        <v>女</v>
      </c>
      <c r="E140" s="16" t="s">
        <v>130</v>
      </c>
      <c r="F140" s="13"/>
    </row>
    <row r="141" spans="1:6" ht="34.5" customHeight="1">
      <c r="A141" s="13">
        <v>138</v>
      </c>
      <c r="B141" s="14" t="str">
        <f>"60252023121819072128363"</f>
        <v>60252023121819072128363</v>
      </c>
      <c r="C141" s="15" t="str">
        <f>"王颖"</f>
        <v>王颖</v>
      </c>
      <c r="D141" s="15" t="str">
        <f t="shared" si="4"/>
        <v>女</v>
      </c>
      <c r="E141" s="16" t="s">
        <v>131</v>
      </c>
      <c r="F141" s="13"/>
    </row>
    <row r="142" spans="1:6" ht="34.5" customHeight="1">
      <c r="A142" s="13">
        <v>139</v>
      </c>
      <c r="B142" s="14" t="str">
        <f>"60252023121823233329388"</f>
        <v>60252023121823233329388</v>
      </c>
      <c r="C142" s="15" t="str">
        <f>"王苏陵"</f>
        <v>王苏陵</v>
      </c>
      <c r="D142" s="15" t="str">
        <f t="shared" si="4"/>
        <v>女</v>
      </c>
      <c r="E142" s="16" t="s">
        <v>63</v>
      </c>
      <c r="F142" s="13"/>
    </row>
    <row r="143" spans="1:6" ht="34.5" customHeight="1">
      <c r="A143" s="13">
        <v>140</v>
      </c>
      <c r="B143" s="14" t="str">
        <f>"60252023121823312929404"</f>
        <v>60252023121823312929404</v>
      </c>
      <c r="C143" s="15" t="str">
        <f>"王榕秀"</f>
        <v>王榕秀</v>
      </c>
      <c r="D143" s="15" t="str">
        <f t="shared" si="4"/>
        <v>女</v>
      </c>
      <c r="E143" s="16" t="s">
        <v>132</v>
      </c>
      <c r="F143" s="13"/>
    </row>
    <row r="144" spans="1:6" ht="34.5" customHeight="1">
      <c r="A144" s="13">
        <v>141</v>
      </c>
      <c r="B144" s="14" t="str">
        <f>"60252023121908141329554"</f>
        <v>60252023121908141329554</v>
      </c>
      <c r="C144" s="15" t="str">
        <f>"高童"</f>
        <v>高童</v>
      </c>
      <c r="D144" s="15" t="str">
        <f t="shared" si="4"/>
        <v>女</v>
      </c>
      <c r="E144" s="16" t="s">
        <v>133</v>
      </c>
      <c r="F144" s="13"/>
    </row>
    <row r="145" spans="1:6" ht="34.5" customHeight="1">
      <c r="A145" s="13">
        <v>142</v>
      </c>
      <c r="B145" s="14" t="str">
        <f>"60252023121909415030018"</f>
        <v>60252023121909415030018</v>
      </c>
      <c r="C145" s="15" t="str">
        <f>"朱井善"</f>
        <v>朱井善</v>
      </c>
      <c r="D145" s="15" t="str">
        <f t="shared" si="4"/>
        <v>女</v>
      </c>
      <c r="E145" s="16" t="s">
        <v>134</v>
      </c>
      <c r="F145" s="13"/>
    </row>
    <row r="146" spans="1:6" ht="34.5" customHeight="1">
      <c r="A146" s="13">
        <v>143</v>
      </c>
      <c r="B146" s="14" t="str">
        <f>"60252023121909413730016"</f>
        <v>60252023121909413730016</v>
      </c>
      <c r="C146" s="15" t="str">
        <f>"陈雨"</f>
        <v>陈雨</v>
      </c>
      <c r="D146" s="15" t="str">
        <f t="shared" si="4"/>
        <v>女</v>
      </c>
      <c r="E146" s="16" t="s">
        <v>135</v>
      </c>
      <c r="F146" s="13"/>
    </row>
    <row r="147" spans="1:6" ht="34.5" customHeight="1">
      <c r="A147" s="13">
        <v>144</v>
      </c>
      <c r="B147" s="14" t="str">
        <f>"60252023121811182025744"</f>
        <v>60252023121811182025744</v>
      </c>
      <c r="C147" s="15" t="str">
        <f>"陈晓坤"</f>
        <v>陈晓坤</v>
      </c>
      <c r="D147" s="15" t="str">
        <f t="shared" si="4"/>
        <v>女</v>
      </c>
      <c r="E147" s="16" t="s">
        <v>136</v>
      </c>
      <c r="F147" s="13"/>
    </row>
    <row r="148" spans="1:6" ht="34.5" customHeight="1">
      <c r="A148" s="13">
        <v>145</v>
      </c>
      <c r="B148" s="14" t="str">
        <f>"60252023121909395730005"</f>
        <v>60252023121909395730005</v>
      </c>
      <c r="C148" s="15" t="str">
        <f>"黄淑颖"</f>
        <v>黄淑颖</v>
      </c>
      <c r="D148" s="15" t="str">
        <f t="shared" si="4"/>
        <v>女</v>
      </c>
      <c r="E148" s="16" t="s">
        <v>129</v>
      </c>
      <c r="F148" s="13"/>
    </row>
    <row r="149" spans="1:6" ht="34.5" customHeight="1">
      <c r="A149" s="13">
        <v>146</v>
      </c>
      <c r="B149" s="14" t="str">
        <f>"60252023121822471329282"</f>
        <v>60252023121822471329282</v>
      </c>
      <c r="C149" s="15" t="str">
        <f>"符喜儿"</f>
        <v>符喜儿</v>
      </c>
      <c r="D149" s="15" t="str">
        <f t="shared" si="4"/>
        <v>女</v>
      </c>
      <c r="E149" s="16" t="s">
        <v>62</v>
      </c>
      <c r="F149" s="13"/>
    </row>
    <row r="150" spans="1:6" ht="34.5" customHeight="1">
      <c r="A150" s="13">
        <v>147</v>
      </c>
      <c r="B150" s="14" t="str">
        <f>"60252023121908555829722"</f>
        <v>60252023121908555829722</v>
      </c>
      <c r="C150" s="15" t="str">
        <f>"王少芳"</f>
        <v>王少芳</v>
      </c>
      <c r="D150" s="15" t="str">
        <f t="shared" si="4"/>
        <v>女</v>
      </c>
      <c r="E150" s="16" t="s">
        <v>137</v>
      </c>
      <c r="F150" s="13"/>
    </row>
    <row r="151" spans="1:6" ht="34.5" customHeight="1">
      <c r="A151" s="13">
        <v>148</v>
      </c>
      <c r="B151" s="14" t="str">
        <f>"60252023121911331930649"</f>
        <v>60252023121911331930649</v>
      </c>
      <c r="C151" s="15" t="str">
        <f>"周启娜"</f>
        <v>周启娜</v>
      </c>
      <c r="D151" s="15" t="str">
        <f t="shared" si="4"/>
        <v>女</v>
      </c>
      <c r="E151" s="16" t="s">
        <v>136</v>
      </c>
      <c r="F151" s="13"/>
    </row>
    <row r="152" spans="1:6" ht="34.5" customHeight="1">
      <c r="A152" s="13">
        <v>149</v>
      </c>
      <c r="B152" s="14" t="str">
        <f>"60252023121911282730626"</f>
        <v>60252023121911282730626</v>
      </c>
      <c r="C152" s="15" t="str">
        <f>"吴梦娇"</f>
        <v>吴梦娇</v>
      </c>
      <c r="D152" s="15" t="str">
        <f t="shared" si="4"/>
        <v>女</v>
      </c>
      <c r="E152" s="16" t="s">
        <v>138</v>
      </c>
      <c r="F152" s="13"/>
    </row>
    <row r="153" spans="1:6" ht="34.5" customHeight="1">
      <c r="A153" s="13">
        <v>150</v>
      </c>
      <c r="B153" s="14" t="str">
        <f>"60252023121913390531036"</f>
        <v>60252023121913390531036</v>
      </c>
      <c r="C153" s="15" t="str">
        <f>"王槐萍"</f>
        <v>王槐萍</v>
      </c>
      <c r="D153" s="15" t="str">
        <f t="shared" si="4"/>
        <v>女</v>
      </c>
      <c r="E153" s="16" t="s">
        <v>139</v>
      </c>
      <c r="F153" s="13"/>
    </row>
    <row r="154" spans="1:6" ht="34.5" customHeight="1">
      <c r="A154" s="13">
        <v>151</v>
      </c>
      <c r="B154" s="14" t="str">
        <f>"60252023121913501931065"</f>
        <v>60252023121913501931065</v>
      </c>
      <c r="C154" s="15" t="str">
        <f>"杨玉连"</f>
        <v>杨玉连</v>
      </c>
      <c r="D154" s="15" t="str">
        <f t="shared" si="4"/>
        <v>女</v>
      </c>
      <c r="E154" s="16" t="s">
        <v>60</v>
      </c>
      <c r="F154" s="13"/>
    </row>
    <row r="155" spans="1:6" ht="34.5" customHeight="1">
      <c r="A155" s="13">
        <v>152</v>
      </c>
      <c r="B155" s="14" t="str">
        <f>"60252023121914074531128"</f>
        <v>60252023121914074531128</v>
      </c>
      <c r="C155" s="15" t="str">
        <f>"蔡水甜"</f>
        <v>蔡水甜</v>
      </c>
      <c r="D155" s="15" t="str">
        <f t="shared" si="4"/>
        <v>女</v>
      </c>
      <c r="E155" s="16" t="s">
        <v>140</v>
      </c>
      <c r="F155" s="13"/>
    </row>
    <row r="156" spans="1:6" ht="34.5" customHeight="1">
      <c r="A156" s="13">
        <v>153</v>
      </c>
      <c r="B156" s="14" t="str">
        <f>"60252023121914034731109"</f>
        <v>60252023121914034731109</v>
      </c>
      <c r="C156" s="15" t="str">
        <f>"吴家月"</f>
        <v>吴家月</v>
      </c>
      <c r="D156" s="15" t="str">
        <f t="shared" si="4"/>
        <v>女</v>
      </c>
      <c r="E156" s="16" t="s">
        <v>141</v>
      </c>
      <c r="F156" s="13"/>
    </row>
    <row r="157" spans="1:6" ht="34.5" customHeight="1">
      <c r="A157" s="13">
        <v>154</v>
      </c>
      <c r="B157" s="14" t="str">
        <f>"60252023121912433030868"</f>
        <v>60252023121912433030868</v>
      </c>
      <c r="C157" s="15" t="str">
        <f>"李树连"</f>
        <v>李树连</v>
      </c>
      <c r="D157" s="15" t="str">
        <f t="shared" si="4"/>
        <v>女</v>
      </c>
      <c r="E157" s="16" t="s">
        <v>142</v>
      </c>
      <c r="F157" s="13"/>
    </row>
    <row r="158" spans="1:6" ht="34.5" customHeight="1">
      <c r="A158" s="13">
        <v>155</v>
      </c>
      <c r="B158" s="14" t="str">
        <f>"60252023121915200631494"</f>
        <v>60252023121915200631494</v>
      </c>
      <c r="C158" s="15" t="str">
        <f>"王冬妍"</f>
        <v>王冬妍</v>
      </c>
      <c r="D158" s="15" t="str">
        <f t="shared" si="4"/>
        <v>女</v>
      </c>
      <c r="E158" s="16" t="s">
        <v>143</v>
      </c>
      <c r="F158" s="13"/>
    </row>
    <row r="159" spans="1:6" ht="34.5" customHeight="1">
      <c r="A159" s="13">
        <v>156</v>
      </c>
      <c r="B159" s="14" t="str">
        <f>"60252023121813504226563"</f>
        <v>60252023121813504226563</v>
      </c>
      <c r="C159" s="15" t="str">
        <f>"董柳花"</f>
        <v>董柳花</v>
      </c>
      <c r="D159" s="15" t="str">
        <f aca="true" t="shared" si="5" ref="D159:D180">"女"</f>
        <v>女</v>
      </c>
      <c r="E159" s="16" t="s">
        <v>144</v>
      </c>
      <c r="F159" s="13"/>
    </row>
    <row r="160" spans="1:6" ht="34.5" customHeight="1">
      <c r="A160" s="13">
        <v>157</v>
      </c>
      <c r="B160" s="14" t="str">
        <f>"60252023121915300831536"</f>
        <v>60252023121915300831536</v>
      </c>
      <c r="C160" s="15" t="str">
        <f>"许柳菊"</f>
        <v>许柳菊</v>
      </c>
      <c r="D160" s="15" t="str">
        <f t="shared" si="5"/>
        <v>女</v>
      </c>
      <c r="E160" s="16" t="s">
        <v>145</v>
      </c>
      <c r="F160" s="13"/>
    </row>
    <row r="161" spans="1:6" ht="34.5" customHeight="1">
      <c r="A161" s="13">
        <v>158</v>
      </c>
      <c r="B161" s="14" t="str">
        <f>"60252023121916032331709"</f>
        <v>60252023121916032331709</v>
      </c>
      <c r="C161" s="15" t="str">
        <f>"文海枫"</f>
        <v>文海枫</v>
      </c>
      <c r="D161" s="15" t="str">
        <f t="shared" si="5"/>
        <v>女</v>
      </c>
      <c r="E161" s="16" t="s">
        <v>146</v>
      </c>
      <c r="F161" s="13"/>
    </row>
    <row r="162" spans="1:6" ht="34.5" customHeight="1">
      <c r="A162" s="13">
        <v>159</v>
      </c>
      <c r="B162" s="14" t="str">
        <f>"60252023121916275031829"</f>
        <v>60252023121916275031829</v>
      </c>
      <c r="C162" s="15" t="str">
        <f>"黎秀菊"</f>
        <v>黎秀菊</v>
      </c>
      <c r="D162" s="15" t="str">
        <f t="shared" si="5"/>
        <v>女</v>
      </c>
      <c r="E162" s="16" t="s">
        <v>105</v>
      </c>
      <c r="F162" s="13"/>
    </row>
    <row r="163" spans="1:6" ht="34.5" customHeight="1">
      <c r="A163" s="13">
        <v>160</v>
      </c>
      <c r="B163" s="14" t="str">
        <f>"60252023121910163230237"</f>
        <v>60252023121910163230237</v>
      </c>
      <c r="C163" s="15" t="str">
        <f>"许春燕"</f>
        <v>许春燕</v>
      </c>
      <c r="D163" s="15" t="str">
        <f t="shared" si="5"/>
        <v>女</v>
      </c>
      <c r="E163" s="16" t="s">
        <v>147</v>
      </c>
      <c r="F163" s="13"/>
    </row>
    <row r="164" spans="1:6" ht="34.5" customHeight="1">
      <c r="A164" s="13">
        <v>161</v>
      </c>
      <c r="B164" s="14" t="str">
        <f>"60252023121911200030580"</f>
        <v>60252023121911200030580</v>
      </c>
      <c r="C164" s="15" t="str">
        <f>"陈坪"</f>
        <v>陈坪</v>
      </c>
      <c r="D164" s="15" t="str">
        <f t="shared" si="5"/>
        <v>女</v>
      </c>
      <c r="E164" s="16" t="s">
        <v>148</v>
      </c>
      <c r="F164" s="13"/>
    </row>
    <row r="165" spans="1:6" ht="34.5" customHeight="1">
      <c r="A165" s="13">
        <v>162</v>
      </c>
      <c r="B165" s="14" t="str">
        <f>"60252023121916580432019"</f>
        <v>60252023121916580432019</v>
      </c>
      <c r="C165" s="15" t="str">
        <f>"占兴娜"</f>
        <v>占兴娜</v>
      </c>
      <c r="D165" s="15" t="str">
        <f t="shared" si="5"/>
        <v>女</v>
      </c>
      <c r="E165" s="16" t="s">
        <v>149</v>
      </c>
      <c r="F165" s="13"/>
    </row>
    <row r="166" spans="1:6" ht="34.5" customHeight="1">
      <c r="A166" s="13">
        <v>163</v>
      </c>
      <c r="B166" s="14" t="str">
        <f>"60252023121917112532097"</f>
        <v>60252023121917112532097</v>
      </c>
      <c r="C166" s="15" t="str">
        <f>"陈燕"</f>
        <v>陈燕</v>
      </c>
      <c r="D166" s="15" t="str">
        <f t="shared" si="5"/>
        <v>女</v>
      </c>
      <c r="E166" s="16" t="s">
        <v>150</v>
      </c>
      <c r="F166" s="13"/>
    </row>
    <row r="167" spans="1:6" ht="34.5" customHeight="1">
      <c r="A167" s="13">
        <v>164</v>
      </c>
      <c r="B167" s="14" t="str">
        <f>"60252023121918080932335"</f>
        <v>60252023121918080932335</v>
      </c>
      <c r="C167" s="15" t="str">
        <f>"吴传柳"</f>
        <v>吴传柳</v>
      </c>
      <c r="D167" s="15" t="str">
        <f t="shared" si="5"/>
        <v>女</v>
      </c>
      <c r="E167" s="16" t="s">
        <v>60</v>
      </c>
      <c r="F167" s="13"/>
    </row>
    <row r="168" spans="1:6" ht="34.5" customHeight="1">
      <c r="A168" s="13">
        <v>165</v>
      </c>
      <c r="B168" s="14" t="str">
        <f>"60252023121918303132423"</f>
        <v>60252023121918303132423</v>
      </c>
      <c r="C168" s="15" t="str">
        <f>"王慧琼"</f>
        <v>王慧琼</v>
      </c>
      <c r="D168" s="15" t="str">
        <f t="shared" si="5"/>
        <v>女</v>
      </c>
      <c r="E168" s="16" t="s">
        <v>151</v>
      </c>
      <c r="F168" s="13"/>
    </row>
    <row r="169" spans="1:6" ht="34.5" customHeight="1">
      <c r="A169" s="13">
        <v>166</v>
      </c>
      <c r="B169" s="14" t="str">
        <f>"60252023121918251932401"</f>
        <v>60252023121918251932401</v>
      </c>
      <c r="C169" s="15" t="str">
        <f>"李芳"</f>
        <v>李芳</v>
      </c>
      <c r="D169" s="15" t="str">
        <f t="shared" si="5"/>
        <v>女</v>
      </c>
      <c r="E169" s="16" t="s">
        <v>152</v>
      </c>
      <c r="F169" s="13"/>
    </row>
    <row r="170" spans="1:6" ht="34.5" customHeight="1">
      <c r="A170" s="13">
        <v>167</v>
      </c>
      <c r="B170" s="14" t="str">
        <f>"60252023121912560230906"</f>
        <v>60252023121912560230906</v>
      </c>
      <c r="C170" s="15" t="str">
        <f>"王成珍"</f>
        <v>王成珍</v>
      </c>
      <c r="D170" s="15" t="str">
        <f t="shared" si="5"/>
        <v>女</v>
      </c>
      <c r="E170" s="16" t="s">
        <v>153</v>
      </c>
      <c r="F170" s="13"/>
    </row>
    <row r="171" spans="1:6" ht="34.5" customHeight="1">
      <c r="A171" s="13">
        <v>168</v>
      </c>
      <c r="B171" s="14" t="str">
        <f>"60252023121919512032761"</f>
        <v>60252023121919512032761</v>
      </c>
      <c r="C171" s="15" t="str">
        <f>"王源婷"</f>
        <v>王源婷</v>
      </c>
      <c r="D171" s="15" t="str">
        <f t="shared" si="5"/>
        <v>女</v>
      </c>
      <c r="E171" s="16" t="s">
        <v>154</v>
      </c>
      <c r="F171" s="13"/>
    </row>
    <row r="172" spans="1:6" ht="34.5" customHeight="1">
      <c r="A172" s="13">
        <v>169</v>
      </c>
      <c r="B172" s="14" t="str">
        <f>"60252023121909215029892"</f>
        <v>60252023121909215029892</v>
      </c>
      <c r="C172" s="15" t="str">
        <f>"吴建丽"</f>
        <v>吴建丽</v>
      </c>
      <c r="D172" s="15" t="str">
        <f t="shared" si="5"/>
        <v>女</v>
      </c>
      <c r="E172" s="16" t="s">
        <v>155</v>
      </c>
      <c r="F172" s="13"/>
    </row>
    <row r="173" spans="1:6" ht="34.5" customHeight="1">
      <c r="A173" s="13">
        <v>170</v>
      </c>
      <c r="B173" s="14" t="str">
        <f>"60252023121920463033051"</f>
        <v>60252023121920463033051</v>
      </c>
      <c r="C173" s="15" t="str">
        <f>"孙学青"</f>
        <v>孙学青</v>
      </c>
      <c r="D173" s="15" t="str">
        <f t="shared" si="5"/>
        <v>女</v>
      </c>
      <c r="E173" s="16" t="s">
        <v>142</v>
      </c>
      <c r="F173" s="13"/>
    </row>
    <row r="174" spans="1:6" ht="34.5" customHeight="1">
      <c r="A174" s="13">
        <v>171</v>
      </c>
      <c r="B174" s="14" t="str">
        <f>"60252023121912140330790"</f>
        <v>60252023121912140330790</v>
      </c>
      <c r="C174" s="15" t="str">
        <f>"黄诗"</f>
        <v>黄诗</v>
      </c>
      <c r="D174" s="15" t="str">
        <f t="shared" si="5"/>
        <v>女</v>
      </c>
      <c r="E174" s="16" t="s">
        <v>156</v>
      </c>
      <c r="F174" s="13"/>
    </row>
    <row r="175" spans="1:6" ht="34.5" customHeight="1">
      <c r="A175" s="13">
        <v>172</v>
      </c>
      <c r="B175" s="14" t="str">
        <f>"60252023121921021633139"</f>
        <v>60252023121921021633139</v>
      </c>
      <c r="C175" s="15" t="str">
        <f>"吴桂香"</f>
        <v>吴桂香</v>
      </c>
      <c r="D175" s="15" t="str">
        <f t="shared" si="5"/>
        <v>女</v>
      </c>
      <c r="E175" s="16" t="s">
        <v>97</v>
      </c>
      <c r="F175" s="13"/>
    </row>
    <row r="176" spans="1:6" ht="34.5" customHeight="1">
      <c r="A176" s="13">
        <v>173</v>
      </c>
      <c r="B176" s="14" t="str">
        <f>"60252023121811531326001"</f>
        <v>60252023121811531326001</v>
      </c>
      <c r="C176" s="15" t="str">
        <f>"胡丽芳"</f>
        <v>胡丽芳</v>
      </c>
      <c r="D176" s="15" t="str">
        <f t="shared" si="5"/>
        <v>女</v>
      </c>
      <c r="E176" s="16" t="s">
        <v>157</v>
      </c>
      <c r="F176" s="13"/>
    </row>
    <row r="177" spans="1:6" ht="34.5" customHeight="1">
      <c r="A177" s="13">
        <v>174</v>
      </c>
      <c r="B177" s="14" t="str">
        <f>"60252023121919112632581"</f>
        <v>60252023121919112632581</v>
      </c>
      <c r="C177" s="15" t="str">
        <f>"胡小妹"</f>
        <v>胡小妹</v>
      </c>
      <c r="D177" s="15" t="str">
        <f t="shared" si="5"/>
        <v>女</v>
      </c>
      <c r="E177" s="16" t="s">
        <v>158</v>
      </c>
      <c r="F177" s="13"/>
    </row>
    <row r="178" spans="1:6" ht="34.5" customHeight="1">
      <c r="A178" s="13">
        <v>175</v>
      </c>
      <c r="B178" s="14" t="str">
        <f>"60252023121920502033080"</f>
        <v>60252023121920502033080</v>
      </c>
      <c r="C178" s="15" t="str">
        <f>"黄萱萱"</f>
        <v>黄萱萱</v>
      </c>
      <c r="D178" s="15" t="str">
        <f t="shared" si="5"/>
        <v>女</v>
      </c>
      <c r="E178" s="16" t="s">
        <v>108</v>
      </c>
      <c r="F178" s="13"/>
    </row>
    <row r="179" spans="1:6" ht="34.5" customHeight="1">
      <c r="A179" s="13">
        <v>176</v>
      </c>
      <c r="B179" s="14" t="str">
        <f>"60252023121921535533466"</f>
        <v>60252023121921535533466</v>
      </c>
      <c r="C179" s="15" t="str">
        <f>"李小花"</f>
        <v>李小花</v>
      </c>
      <c r="D179" s="15" t="str">
        <f t="shared" si="5"/>
        <v>女</v>
      </c>
      <c r="E179" s="16" t="s">
        <v>159</v>
      </c>
      <c r="F179" s="13"/>
    </row>
    <row r="180" spans="1:6" ht="34.5" customHeight="1">
      <c r="A180" s="13">
        <v>177</v>
      </c>
      <c r="B180" s="14" t="str">
        <f>"60252023121920052732830"</f>
        <v>60252023121920052732830</v>
      </c>
      <c r="C180" s="15" t="str">
        <f>"李菊花"</f>
        <v>李菊花</v>
      </c>
      <c r="D180" s="15" t="str">
        <f t="shared" si="5"/>
        <v>女</v>
      </c>
      <c r="E180" s="16" t="s">
        <v>116</v>
      </c>
      <c r="F180" s="13"/>
    </row>
    <row r="181" spans="1:6" ht="34.5" customHeight="1">
      <c r="A181" s="13">
        <v>178</v>
      </c>
      <c r="B181" s="14" t="str">
        <f>"60252023121922340233677"</f>
        <v>60252023121922340233677</v>
      </c>
      <c r="C181" s="15" t="str">
        <f>"韦一定"</f>
        <v>韦一定</v>
      </c>
      <c r="D181" s="15" t="str">
        <f>"男"</f>
        <v>男</v>
      </c>
      <c r="E181" s="16" t="s">
        <v>160</v>
      </c>
      <c r="F181" s="13"/>
    </row>
    <row r="182" spans="1:6" ht="34.5" customHeight="1">
      <c r="A182" s="13">
        <v>179</v>
      </c>
      <c r="B182" s="14" t="str">
        <f>"60252023121923122833854"</f>
        <v>60252023121923122833854</v>
      </c>
      <c r="C182" s="15" t="str">
        <f>"林亨墁"</f>
        <v>林亨墁</v>
      </c>
      <c r="D182" s="15" t="str">
        <f>"女"</f>
        <v>女</v>
      </c>
      <c r="E182" s="16" t="s">
        <v>161</v>
      </c>
      <c r="F182" s="13"/>
    </row>
    <row r="183" spans="1:6" ht="34.5" customHeight="1">
      <c r="A183" s="13">
        <v>180</v>
      </c>
      <c r="B183" s="14" t="str">
        <f>"60252023121822023829137"</f>
        <v>60252023121822023829137</v>
      </c>
      <c r="C183" s="15" t="str">
        <f>"陈育婷"</f>
        <v>陈育婷</v>
      </c>
      <c r="D183" s="15" t="str">
        <f>"女"</f>
        <v>女</v>
      </c>
      <c r="E183" s="16" t="s">
        <v>162</v>
      </c>
      <c r="F183" s="13"/>
    </row>
    <row r="184" spans="1:6" ht="34.5" customHeight="1">
      <c r="A184" s="13">
        <v>181</v>
      </c>
      <c r="B184" s="14" t="str">
        <f>"60252023122010102734839"</f>
        <v>60252023122010102734839</v>
      </c>
      <c r="C184" s="15" t="str">
        <f>"陈不三"</f>
        <v>陈不三</v>
      </c>
      <c r="D184" s="15" t="str">
        <f>"男"</f>
        <v>男</v>
      </c>
      <c r="E184" s="16" t="s">
        <v>163</v>
      </c>
      <c r="F184" s="13"/>
    </row>
    <row r="185" spans="1:6" ht="34.5" customHeight="1">
      <c r="A185" s="13">
        <v>182</v>
      </c>
      <c r="B185" s="14" t="str">
        <f>"60252023121814315626795"</f>
        <v>60252023121814315626795</v>
      </c>
      <c r="C185" s="15" t="str">
        <f>"高香香"</f>
        <v>高香香</v>
      </c>
      <c r="D185" s="15" t="str">
        <f aca="true" t="shared" si="6" ref="D185:D201">"女"</f>
        <v>女</v>
      </c>
      <c r="E185" s="16" t="s">
        <v>164</v>
      </c>
      <c r="F185" s="13"/>
    </row>
    <row r="186" spans="1:6" ht="34.5" customHeight="1">
      <c r="A186" s="13">
        <v>183</v>
      </c>
      <c r="B186" s="14" t="str">
        <f>"60252023121812323826204"</f>
        <v>60252023121812323826204</v>
      </c>
      <c r="C186" s="15" t="str">
        <f>"黎春娟"</f>
        <v>黎春娟</v>
      </c>
      <c r="D186" s="15" t="str">
        <f t="shared" si="6"/>
        <v>女</v>
      </c>
      <c r="E186" s="16" t="s">
        <v>36</v>
      </c>
      <c r="F186" s="13"/>
    </row>
    <row r="187" spans="1:6" ht="34.5" customHeight="1">
      <c r="A187" s="13">
        <v>184</v>
      </c>
      <c r="B187" s="14" t="str">
        <f>"60252023122010265534936"</f>
        <v>60252023122010265534936</v>
      </c>
      <c r="C187" s="15" t="str">
        <f>"林倩倩"</f>
        <v>林倩倩</v>
      </c>
      <c r="D187" s="15" t="str">
        <f t="shared" si="6"/>
        <v>女</v>
      </c>
      <c r="E187" s="16" t="s">
        <v>114</v>
      </c>
      <c r="F187" s="13"/>
    </row>
    <row r="188" spans="1:6" ht="34.5" customHeight="1">
      <c r="A188" s="13">
        <v>185</v>
      </c>
      <c r="B188" s="14" t="str">
        <f>"60252023122010525735107"</f>
        <v>60252023122010525735107</v>
      </c>
      <c r="C188" s="15" t="str">
        <f>"史才米"</f>
        <v>史才米</v>
      </c>
      <c r="D188" s="15" t="str">
        <f t="shared" si="6"/>
        <v>女</v>
      </c>
      <c r="E188" s="16" t="s">
        <v>165</v>
      </c>
      <c r="F188" s="13"/>
    </row>
    <row r="189" spans="1:6" ht="34.5" customHeight="1">
      <c r="A189" s="13">
        <v>186</v>
      </c>
      <c r="B189" s="14" t="str">
        <f>"60252023122008044934179"</f>
        <v>60252023122008044934179</v>
      </c>
      <c r="C189" s="15" t="str">
        <f>"陈亚花"</f>
        <v>陈亚花</v>
      </c>
      <c r="D189" s="15" t="str">
        <f t="shared" si="6"/>
        <v>女</v>
      </c>
      <c r="E189" s="16" t="s">
        <v>63</v>
      </c>
      <c r="F189" s="13"/>
    </row>
    <row r="190" spans="1:6" ht="34.5" customHeight="1">
      <c r="A190" s="13">
        <v>187</v>
      </c>
      <c r="B190" s="14" t="str">
        <f>"60252023121921373033366"</f>
        <v>60252023121921373033366</v>
      </c>
      <c r="C190" s="15" t="str">
        <f>"陈丽花"</f>
        <v>陈丽花</v>
      </c>
      <c r="D190" s="15" t="str">
        <f t="shared" si="6"/>
        <v>女</v>
      </c>
      <c r="E190" s="16" t="s">
        <v>118</v>
      </c>
      <c r="F190" s="13"/>
    </row>
    <row r="191" spans="1:6" ht="34.5" customHeight="1">
      <c r="A191" s="13">
        <v>188</v>
      </c>
      <c r="B191" s="14" t="str">
        <f>"60252023122011172635281"</f>
        <v>60252023122011172635281</v>
      </c>
      <c r="C191" s="15" t="str">
        <f>"陈晓玲"</f>
        <v>陈晓玲</v>
      </c>
      <c r="D191" s="15" t="str">
        <f t="shared" si="6"/>
        <v>女</v>
      </c>
      <c r="E191" s="16" t="s">
        <v>166</v>
      </c>
      <c r="F191" s="13"/>
    </row>
    <row r="192" spans="1:6" ht="34.5" customHeight="1">
      <c r="A192" s="13">
        <v>189</v>
      </c>
      <c r="B192" s="14" t="str">
        <f>"60252023121923534833963"</f>
        <v>60252023121923534833963</v>
      </c>
      <c r="C192" s="15" t="str">
        <f>"韦惠红"</f>
        <v>韦惠红</v>
      </c>
      <c r="D192" s="15" t="str">
        <f t="shared" si="6"/>
        <v>女</v>
      </c>
      <c r="E192" s="16" t="s">
        <v>167</v>
      </c>
      <c r="F192" s="13"/>
    </row>
    <row r="193" spans="1:6" ht="34.5" customHeight="1">
      <c r="A193" s="13">
        <v>190</v>
      </c>
      <c r="B193" s="14" t="str">
        <f>"60252023121921525433459"</f>
        <v>60252023121921525433459</v>
      </c>
      <c r="C193" s="15" t="str">
        <f>"黄美灵"</f>
        <v>黄美灵</v>
      </c>
      <c r="D193" s="15" t="str">
        <f t="shared" si="6"/>
        <v>女</v>
      </c>
      <c r="E193" s="16" t="s">
        <v>168</v>
      </c>
      <c r="F193" s="13"/>
    </row>
    <row r="194" spans="1:6" ht="34.5" customHeight="1">
      <c r="A194" s="13">
        <v>191</v>
      </c>
      <c r="B194" s="14" t="str">
        <f>"60252023122012060835535"</f>
        <v>60252023122012060835535</v>
      </c>
      <c r="C194" s="15" t="str">
        <f>"郑丽萍"</f>
        <v>郑丽萍</v>
      </c>
      <c r="D194" s="15" t="str">
        <f t="shared" si="6"/>
        <v>女</v>
      </c>
      <c r="E194" s="16" t="s">
        <v>169</v>
      </c>
      <c r="F194" s="13"/>
    </row>
    <row r="195" spans="1:6" ht="34.5" customHeight="1">
      <c r="A195" s="13">
        <v>192</v>
      </c>
      <c r="B195" s="14" t="str">
        <f>"60252023122013182435960"</f>
        <v>60252023122013182435960</v>
      </c>
      <c r="C195" s="15" t="str">
        <f>"符初圈"</f>
        <v>符初圈</v>
      </c>
      <c r="D195" s="15" t="str">
        <f t="shared" si="6"/>
        <v>女</v>
      </c>
      <c r="E195" s="16" t="s">
        <v>170</v>
      </c>
      <c r="F195" s="13"/>
    </row>
    <row r="196" spans="1:6" ht="34.5" customHeight="1">
      <c r="A196" s="13">
        <v>193</v>
      </c>
      <c r="B196" s="14" t="str">
        <f>"60252023122013160935948"</f>
        <v>60252023122013160935948</v>
      </c>
      <c r="C196" s="15" t="str">
        <f>"曾平红"</f>
        <v>曾平红</v>
      </c>
      <c r="D196" s="15" t="str">
        <f t="shared" si="6"/>
        <v>女</v>
      </c>
      <c r="E196" s="16" t="s">
        <v>164</v>
      </c>
      <c r="F196" s="13"/>
    </row>
    <row r="197" spans="1:6" ht="34.5" customHeight="1">
      <c r="A197" s="13">
        <v>194</v>
      </c>
      <c r="B197" s="14" t="str">
        <f>"60252023122013384136067"</f>
        <v>60252023122013384136067</v>
      </c>
      <c r="C197" s="15" t="str">
        <f>"罗日渊"</f>
        <v>罗日渊</v>
      </c>
      <c r="D197" s="15" t="str">
        <f t="shared" si="6"/>
        <v>女</v>
      </c>
      <c r="E197" s="16" t="s">
        <v>171</v>
      </c>
      <c r="F197" s="13"/>
    </row>
    <row r="198" spans="1:6" ht="34.5" customHeight="1">
      <c r="A198" s="13">
        <v>195</v>
      </c>
      <c r="B198" s="14" t="str">
        <f>"60252023122013530136148"</f>
        <v>60252023122013530136148</v>
      </c>
      <c r="C198" s="15" t="str">
        <f>"陈妹"</f>
        <v>陈妹</v>
      </c>
      <c r="D198" s="15" t="str">
        <f t="shared" si="6"/>
        <v>女</v>
      </c>
      <c r="E198" s="16" t="s">
        <v>82</v>
      </c>
      <c r="F198" s="13"/>
    </row>
    <row r="199" spans="1:6" ht="34.5" customHeight="1">
      <c r="A199" s="13">
        <v>196</v>
      </c>
      <c r="B199" s="14" t="str">
        <f>"60252023122013252035992"</f>
        <v>60252023122013252035992</v>
      </c>
      <c r="C199" s="15" t="str">
        <f>"许金桃"</f>
        <v>许金桃</v>
      </c>
      <c r="D199" s="15" t="str">
        <f t="shared" si="6"/>
        <v>女</v>
      </c>
      <c r="E199" s="16" t="s">
        <v>36</v>
      </c>
      <c r="F199" s="13"/>
    </row>
    <row r="200" spans="1:6" ht="34.5" customHeight="1">
      <c r="A200" s="13">
        <v>197</v>
      </c>
      <c r="B200" s="14" t="str">
        <f>"60252023122013131535929"</f>
        <v>60252023122013131535929</v>
      </c>
      <c r="C200" s="15" t="str">
        <f>"王思婷"</f>
        <v>王思婷</v>
      </c>
      <c r="D200" s="15" t="str">
        <f t="shared" si="6"/>
        <v>女</v>
      </c>
      <c r="E200" s="16" t="s">
        <v>104</v>
      </c>
      <c r="F200" s="13"/>
    </row>
    <row r="201" spans="1:6" ht="34.5" customHeight="1">
      <c r="A201" s="13">
        <v>198</v>
      </c>
      <c r="B201" s="14" t="str">
        <f>"60252023122015050836711"</f>
        <v>60252023122015050836711</v>
      </c>
      <c r="C201" s="15" t="str">
        <f>"王海燕"</f>
        <v>王海燕</v>
      </c>
      <c r="D201" s="15" t="str">
        <f t="shared" si="6"/>
        <v>女</v>
      </c>
      <c r="E201" s="16" t="s">
        <v>172</v>
      </c>
      <c r="F201" s="13"/>
    </row>
    <row r="202" spans="1:6" ht="34.5" customHeight="1">
      <c r="A202" s="13">
        <v>199</v>
      </c>
      <c r="B202" s="14" t="str">
        <f>"60252023122013320336028"</f>
        <v>60252023122013320336028</v>
      </c>
      <c r="C202" s="15" t="str">
        <f>"田必豪"</f>
        <v>田必豪</v>
      </c>
      <c r="D202" s="15" t="str">
        <f>"男"</f>
        <v>男</v>
      </c>
      <c r="E202" s="16" t="s">
        <v>173</v>
      </c>
      <c r="F202" s="13"/>
    </row>
    <row r="203" spans="1:6" ht="34.5" customHeight="1">
      <c r="A203" s="13">
        <v>200</v>
      </c>
      <c r="B203" s="14" t="str">
        <f>"60252023121819560628574"</f>
        <v>60252023121819560628574</v>
      </c>
      <c r="C203" s="15" t="str">
        <f>"谢赛灵"</f>
        <v>谢赛灵</v>
      </c>
      <c r="D203" s="15" t="str">
        <f aca="true" t="shared" si="7" ref="D203:D232">"女"</f>
        <v>女</v>
      </c>
      <c r="E203" s="16" t="s">
        <v>158</v>
      </c>
      <c r="F203" s="13"/>
    </row>
    <row r="204" spans="1:6" ht="34.5" customHeight="1">
      <c r="A204" s="13">
        <v>201</v>
      </c>
      <c r="B204" s="14" t="str">
        <f>"60252023121915532131660"</f>
        <v>60252023121915532131660</v>
      </c>
      <c r="C204" s="15" t="str">
        <f>"吴丽和"</f>
        <v>吴丽和</v>
      </c>
      <c r="D204" s="15" t="str">
        <f t="shared" si="7"/>
        <v>女</v>
      </c>
      <c r="E204" s="16" t="s">
        <v>68</v>
      </c>
      <c r="F204" s="13"/>
    </row>
    <row r="205" spans="1:6" ht="34.5" customHeight="1">
      <c r="A205" s="13">
        <v>202</v>
      </c>
      <c r="B205" s="14" t="str">
        <f>"60252023122016253337211"</f>
        <v>60252023122016253337211</v>
      </c>
      <c r="C205" s="15" t="str">
        <f>"黄垂莉"</f>
        <v>黄垂莉</v>
      </c>
      <c r="D205" s="15" t="str">
        <f t="shared" si="7"/>
        <v>女</v>
      </c>
      <c r="E205" s="16" t="s">
        <v>174</v>
      </c>
      <c r="F205" s="13"/>
    </row>
    <row r="206" spans="1:6" ht="34.5" customHeight="1">
      <c r="A206" s="13">
        <v>203</v>
      </c>
      <c r="B206" s="14" t="str">
        <f>"60252023121918195732385"</f>
        <v>60252023121918195732385</v>
      </c>
      <c r="C206" s="15" t="str">
        <f>"郭教丛"</f>
        <v>郭教丛</v>
      </c>
      <c r="D206" s="15" t="str">
        <f t="shared" si="7"/>
        <v>女</v>
      </c>
      <c r="E206" s="16" t="s">
        <v>114</v>
      </c>
      <c r="F206" s="13"/>
    </row>
    <row r="207" spans="1:6" ht="34.5" customHeight="1">
      <c r="A207" s="13">
        <v>204</v>
      </c>
      <c r="B207" s="14" t="str">
        <f>"60252023122009553734741"</f>
        <v>60252023122009553734741</v>
      </c>
      <c r="C207" s="15" t="str">
        <f>"黄萌"</f>
        <v>黄萌</v>
      </c>
      <c r="D207" s="15" t="str">
        <f t="shared" si="7"/>
        <v>女</v>
      </c>
      <c r="E207" s="16" t="s">
        <v>99</v>
      </c>
      <c r="F207" s="13"/>
    </row>
    <row r="208" spans="1:6" ht="34.5" customHeight="1">
      <c r="A208" s="13">
        <v>205</v>
      </c>
      <c r="B208" s="14" t="str">
        <f>"60252023121819402428509"</f>
        <v>60252023121819402428509</v>
      </c>
      <c r="C208" s="15" t="str">
        <f>"苏高珍"</f>
        <v>苏高珍</v>
      </c>
      <c r="D208" s="15" t="str">
        <f t="shared" si="7"/>
        <v>女</v>
      </c>
      <c r="E208" s="16" t="s">
        <v>175</v>
      </c>
      <c r="F208" s="13"/>
    </row>
    <row r="209" spans="1:6" ht="34.5" customHeight="1">
      <c r="A209" s="13">
        <v>206</v>
      </c>
      <c r="B209" s="14" t="str">
        <f>"60252023122009555334745"</f>
        <v>60252023122009555334745</v>
      </c>
      <c r="C209" s="15" t="str">
        <f>"张秀妮"</f>
        <v>张秀妮</v>
      </c>
      <c r="D209" s="15" t="str">
        <f t="shared" si="7"/>
        <v>女</v>
      </c>
      <c r="E209" s="16" t="s">
        <v>77</v>
      </c>
      <c r="F209" s="13"/>
    </row>
    <row r="210" spans="1:6" ht="34.5" customHeight="1">
      <c r="A210" s="13">
        <v>207</v>
      </c>
      <c r="B210" s="14" t="str">
        <f>"60252023122019270737329"</f>
        <v>60252023122019270737329</v>
      </c>
      <c r="C210" s="15" t="str">
        <f>"盛静雯"</f>
        <v>盛静雯</v>
      </c>
      <c r="D210" s="15" t="str">
        <f t="shared" si="7"/>
        <v>女</v>
      </c>
      <c r="E210" s="16" t="s">
        <v>176</v>
      </c>
      <c r="F210" s="13"/>
    </row>
    <row r="211" spans="1:6" ht="34.5" customHeight="1">
      <c r="A211" s="13">
        <v>208</v>
      </c>
      <c r="B211" s="14" t="str">
        <f>"60252023122020042337348"</f>
        <v>60252023122020042337348</v>
      </c>
      <c r="C211" s="15" t="str">
        <f>"陈求娜"</f>
        <v>陈求娜</v>
      </c>
      <c r="D211" s="15" t="str">
        <f t="shared" si="7"/>
        <v>女</v>
      </c>
      <c r="E211" s="16" t="s">
        <v>177</v>
      </c>
      <c r="F211" s="13"/>
    </row>
    <row r="212" spans="1:6" ht="34.5" customHeight="1">
      <c r="A212" s="13">
        <v>209</v>
      </c>
      <c r="B212" s="14" t="str">
        <f>"60252023122020380237372"</f>
        <v>60252023122020380237372</v>
      </c>
      <c r="C212" s="15" t="str">
        <f>"陈来婷"</f>
        <v>陈来婷</v>
      </c>
      <c r="D212" s="15" t="str">
        <f t="shared" si="7"/>
        <v>女</v>
      </c>
      <c r="E212" s="16" t="s">
        <v>106</v>
      </c>
      <c r="F212" s="13"/>
    </row>
    <row r="213" spans="1:6" ht="34.5" customHeight="1">
      <c r="A213" s="13">
        <v>210</v>
      </c>
      <c r="B213" s="14" t="str">
        <f>"60252023121822000129130"</f>
        <v>60252023121822000129130</v>
      </c>
      <c r="C213" s="15" t="str">
        <f>"黄念"</f>
        <v>黄念</v>
      </c>
      <c r="D213" s="15" t="str">
        <f t="shared" si="7"/>
        <v>女</v>
      </c>
      <c r="E213" s="16" t="s">
        <v>178</v>
      </c>
      <c r="F213" s="13"/>
    </row>
    <row r="214" spans="1:6" ht="34.5" customHeight="1">
      <c r="A214" s="13">
        <v>211</v>
      </c>
      <c r="B214" s="14" t="str">
        <f>"60252023121915342231562"</f>
        <v>60252023121915342231562</v>
      </c>
      <c r="C214" s="15" t="str">
        <f>"徐波"</f>
        <v>徐波</v>
      </c>
      <c r="D214" s="15" t="str">
        <f t="shared" si="7"/>
        <v>女</v>
      </c>
      <c r="E214" s="16" t="s">
        <v>179</v>
      </c>
      <c r="F214" s="13"/>
    </row>
    <row r="215" spans="1:6" ht="34.5" customHeight="1">
      <c r="A215" s="13">
        <v>212</v>
      </c>
      <c r="B215" s="14" t="str">
        <f>"60252023121916193731795"</f>
        <v>60252023121916193731795</v>
      </c>
      <c r="C215" s="15" t="str">
        <f>"吴梦婷"</f>
        <v>吴梦婷</v>
      </c>
      <c r="D215" s="15" t="str">
        <f t="shared" si="7"/>
        <v>女</v>
      </c>
      <c r="E215" s="16" t="s">
        <v>158</v>
      </c>
      <c r="F215" s="13"/>
    </row>
    <row r="216" spans="1:6" ht="34.5" customHeight="1">
      <c r="A216" s="13">
        <v>213</v>
      </c>
      <c r="B216" s="14" t="str">
        <f>"60252023122110483637590"</f>
        <v>60252023122110483637590</v>
      </c>
      <c r="C216" s="15" t="str">
        <f>"陈慧心"</f>
        <v>陈慧心</v>
      </c>
      <c r="D216" s="15" t="str">
        <f t="shared" si="7"/>
        <v>女</v>
      </c>
      <c r="E216" s="16" t="s">
        <v>180</v>
      </c>
      <c r="F216" s="13"/>
    </row>
    <row r="217" spans="1:6" ht="34.5" customHeight="1">
      <c r="A217" s="13">
        <v>214</v>
      </c>
      <c r="B217" s="14" t="str">
        <f>"60252023121817404828076"</f>
        <v>60252023121817404828076</v>
      </c>
      <c r="C217" s="15" t="str">
        <f>"黄丹娜"</f>
        <v>黄丹娜</v>
      </c>
      <c r="D217" s="15" t="str">
        <f t="shared" si="7"/>
        <v>女</v>
      </c>
      <c r="E217" s="16" t="s">
        <v>181</v>
      </c>
      <c r="F217" s="13"/>
    </row>
    <row r="218" spans="1:6" ht="34.5" customHeight="1">
      <c r="A218" s="13">
        <v>215</v>
      </c>
      <c r="B218" s="14" t="str">
        <f>"60252023122112354737668"</f>
        <v>60252023122112354737668</v>
      </c>
      <c r="C218" s="15" t="str">
        <f>"潘英婧"</f>
        <v>潘英婧</v>
      </c>
      <c r="D218" s="15" t="str">
        <f t="shared" si="7"/>
        <v>女</v>
      </c>
      <c r="E218" s="16" t="s">
        <v>182</v>
      </c>
      <c r="F218" s="13"/>
    </row>
    <row r="219" spans="1:6" ht="34.5" customHeight="1">
      <c r="A219" s="13">
        <v>216</v>
      </c>
      <c r="B219" s="14" t="str">
        <f>"60252023122111581737646"</f>
        <v>60252023122111581737646</v>
      </c>
      <c r="C219" s="15" t="str">
        <f>"罗吉"</f>
        <v>罗吉</v>
      </c>
      <c r="D219" s="15" t="str">
        <f t="shared" si="7"/>
        <v>女</v>
      </c>
      <c r="E219" s="16" t="s">
        <v>183</v>
      </c>
      <c r="F219" s="13"/>
    </row>
    <row r="220" spans="1:6" ht="34.5" customHeight="1">
      <c r="A220" s="13">
        <v>217</v>
      </c>
      <c r="B220" s="14" t="str">
        <f>"60252023122113284737700"</f>
        <v>60252023122113284737700</v>
      </c>
      <c r="C220" s="15" t="str">
        <f>"张勇娟"</f>
        <v>张勇娟</v>
      </c>
      <c r="D220" s="15" t="str">
        <f t="shared" si="7"/>
        <v>女</v>
      </c>
      <c r="E220" s="16" t="s">
        <v>184</v>
      </c>
      <c r="F220" s="13"/>
    </row>
    <row r="221" spans="1:6" ht="34.5" customHeight="1">
      <c r="A221" s="13">
        <v>218</v>
      </c>
      <c r="B221" s="14" t="str">
        <f>"60252023121911423630684"</f>
        <v>60252023121911423630684</v>
      </c>
      <c r="C221" s="15" t="str">
        <f>"苏仁竹"</f>
        <v>苏仁竹</v>
      </c>
      <c r="D221" s="15" t="str">
        <f t="shared" si="7"/>
        <v>女</v>
      </c>
      <c r="E221" s="16" t="s">
        <v>185</v>
      </c>
      <c r="F221" s="13"/>
    </row>
    <row r="222" spans="1:6" ht="34.5" customHeight="1">
      <c r="A222" s="13">
        <v>219</v>
      </c>
      <c r="B222" s="14" t="str">
        <f>"60252023122022480037427"</f>
        <v>60252023122022480037427</v>
      </c>
      <c r="C222" s="15" t="str">
        <f>"邓妹英"</f>
        <v>邓妹英</v>
      </c>
      <c r="D222" s="15" t="str">
        <f t="shared" si="7"/>
        <v>女</v>
      </c>
      <c r="E222" s="16" t="s">
        <v>179</v>
      </c>
      <c r="F222" s="13"/>
    </row>
    <row r="223" spans="1:6" ht="34.5" customHeight="1">
      <c r="A223" s="13">
        <v>220</v>
      </c>
      <c r="B223" s="14" t="str">
        <f>"60252023122115061137751"</f>
        <v>60252023122115061137751</v>
      </c>
      <c r="C223" s="15" t="str">
        <f>"洪淑英"</f>
        <v>洪淑英</v>
      </c>
      <c r="D223" s="15" t="str">
        <f t="shared" si="7"/>
        <v>女</v>
      </c>
      <c r="E223" s="16" t="s">
        <v>186</v>
      </c>
      <c r="F223" s="13"/>
    </row>
    <row r="224" spans="1:6" ht="34.5" customHeight="1">
      <c r="A224" s="13">
        <v>221</v>
      </c>
      <c r="B224" s="14" t="str">
        <f>"60252023122115101937755"</f>
        <v>60252023122115101937755</v>
      </c>
      <c r="C224" s="15" t="str">
        <f>"朱允萱"</f>
        <v>朱允萱</v>
      </c>
      <c r="D224" s="15" t="str">
        <f t="shared" si="7"/>
        <v>女</v>
      </c>
      <c r="E224" s="16" t="s">
        <v>118</v>
      </c>
      <c r="F224" s="13"/>
    </row>
    <row r="225" spans="1:6" ht="34.5" customHeight="1">
      <c r="A225" s="13">
        <v>222</v>
      </c>
      <c r="B225" s="14" t="str">
        <f>"60252023122115145137759"</f>
        <v>60252023122115145137759</v>
      </c>
      <c r="C225" s="15" t="str">
        <f>"羊映虹"</f>
        <v>羊映虹</v>
      </c>
      <c r="D225" s="15" t="str">
        <f t="shared" si="7"/>
        <v>女</v>
      </c>
      <c r="E225" s="16" t="s">
        <v>95</v>
      </c>
      <c r="F225" s="13"/>
    </row>
    <row r="226" spans="1:6" ht="34.5" customHeight="1">
      <c r="A226" s="13">
        <v>223</v>
      </c>
      <c r="B226" s="14" t="str">
        <f>"60252023122115153937762"</f>
        <v>60252023122115153937762</v>
      </c>
      <c r="C226" s="15" t="str">
        <f>"刘金妹"</f>
        <v>刘金妹</v>
      </c>
      <c r="D226" s="15" t="str">
        <f t="shared" si="7"/>
        <v>女</v>
      </c>
      <c r="E226" s="16" t="s">
        <v>187</v>
      </c>
      <c r="F226" s="13"/>
    </row>
    <row r="227" spans="1:6" ht="34.5" customHeight="1">
      <c r="A227" s="13">
        <v>224</v>
      </c>
      <c r="B227" s="14" t="str">
        <f>"60252023122111110537604"</f>
        <v>60252023122111110537604</v>
      </c>
      <c r="C227" s="15" t="str">
        <f>"廖燕"</f>
        <v>廖燕</v>
      </c>
      <c r="D227" s="15" t="str">
        <f t="shared" si="7"/>
        <v>女</v>
      </c>
      <c r="E227" s="16" t="s">
        <v>188</v>
      </c>
      <c r="F227" s="13"/>
    </row>
    <row r="228" spans="1:6" ht="34.5" customHeight="1">
      <c r="A228" s="13">
        <v>225</v>
      </c>
      <c r="B228" s="14" t="str">
        <f>"60252023122117180537847"</f>
        <v>60252023122117180537847</v>
      </c>
      <c r="C228" s="15" t="str">
        <f>"许思颖"</f>
        <v>许思颖</v>
      </c>
      <c r="D228" s="15" t="str">
        <f t="shared" si="7"/>
        <v>女</v>
      </c>
      <c r="E228" s="16" t="s">
        <v>189</v>
      </c>
      <c r="F228" s="13"/>
    </row>
    <row r="229" spans="1:6" ht="34.5" customHeight="1">
      <c r="A229" s="13">
        <v>226</v>
      </c>
      <c r="B229" s="14" t="str">
        <f>"60252023122116443237828"</f>
        <v>60252023122116443237828</v>
      </c>
      <c r="C229" s="15" t="str">
        <f>"许培蕾"</f>
        <v>许培蕾</v>
      </c>
      <c r="D229" s="15" t="str">
        <f t="shared" si="7"/>
        <v>女</v>
      </c>
      <c r="E229" s="16" t="s">
        <v>147</v>
      </c>
      <c r="F229" s="13"/>
    </row>
    <row r="230" spans="1:6" ht="34.5" customHeight="1">
      <c r="A230" s="13">
        <v>227</v>
      </c>
      <c r="B230" s="14" t="str">
        <f>"60252023122013080735897"</f>
        <v>60252023122013080735897</v>
      </c>
      <c r="C230" s="15" t="str">
        <f>"陈文静"</f>
        <v>陈文静</v>
      </c>
      <c r="D230" s="15" t="str">
        <f t="shared" si="7"/>
        <v>女</v>
      </c>
      <c r="E230" s="16" t="s">
        <v>190</v>
      </c>
      <c r="F230" s="13"/>
    </row>
    <row r="231" spans="1:6" ht="34.5" customHeight="1">
      <c r="A231" s="13">
        <v>228</v>
      </c>
      <c r="B231" s="14" t="str">
        <f>"60252023121811482725975"</f>
        <v>60252023121811482725975</v>
      </c>
      <c r="C231" s="15" t="str">
        <f>"邢青清"</f>
        <v>邢青清</v>
      </c>
      <c r="D231" s="15" t="str">
        <f t="shared" si="7"/>
        <v>女</v>
      </c>
      <c r="E231" s="16" t="s">
        <v>191</v>
      </c>
      <c r="F231" s="13"/>
    </row>
    <row r="232" spans="1:6" ht="34.5" customHeight="1">
      <c r="A232" s="13">
        <v>229</v>
      </c>
      <c r="B232" s="14" t="str">
        <f>"60252023122120374537944"</f>
        <v>60252023122120374537944</v>
      </c>
      <c r="C232" s="15" t="str">
        <f>"卓惠芳"</f>
        <v>卓惠芳</v>
      </c>
      <c r="D232" s="15" t="str">
        <f t="shared" si="7"/>
        <v>女</v>
      </c>
      <c r="E232" s="16" t="s">
        <v>192</v>
      </c>
      <c r="F232" s="13"/>
    </row>
    <row r="233" spans="1:6" ht="34.5" customHeight="1">
      <c r="A233" s="13">
        <v>230</v>
      </c>
      <c r="B233" s="14" t="str">
        <f>"60252023122120462037950"</f>
        <v>60252023122120462037950</v>
      </c>
      <c r="C233" s="15" t="str">
        <f>"郭起航"</f>
        <v>郭起航</v>
      </c>
      <c r="D233" s="15" t="str">
        <f>"男"</f>
        <v>男</v>
      </c>
      <c r="E233" s="16" t="s">
        <v>193</v>
      </c>
      <c r="F233" s="13"/>
    </row>
    <row r="234" spans="1:6" ht="34.5" customHeight="1">
      <c r="A234" s="13">
        <v>231</v>
      </c>
      <c r="B234" s="14" t="str">
        <f>"60252023121813285426469"</f>
        <v>60252023121813285426469</v>
      </c>
      <c r="C234" s="15" t="str">
        <f>"李晓藤"</f>
        <v>李晓藤</v>
      </c>
      <c r="D234" s="15" t="str">
        <f aca="true" t="shared" si="8" ref="D234:D261">"女"</f>
        <v>女</v>
      </c>
      <c r="E234" s="16" t="s">
        <v>194</v>
      </c>
      <c r="F234" s="13"/>
    </row>
    <row r="235" spans="1:6" ht="34.5" customHeight="1">
      <c r="A235" s="13">
        <v>232</v>
      </c>
      <c r="B235" s="14" t="str">
        <f>"60252023122123551637994"</f>
        <v>60252023122123551637994</v>
      </c>
      <c r="C235" s="15" t="str">
        <f>"刘帆"</f>
        <v>刘帆</v>
      </c>
      <c r="D235" s="15" t="str">
        <f t="shared" si="8"/>
        <v>女</v>
      </c>
      <c r="E235" s="16" t="s">
        <v>195</v>
      </c>
      <c r="F235" s="13"/>
    </row>
    <row r="236" spans="1:6" ht="34.5" customHeight="1">
      <c r="A236" s="13">
        <v>233</v>
      </c>
      <c r="B236" s="14" t="str">
        <f>"60252023122201573937999"</f>
        <v>60252023122201573937999</v>
      </c>
      <c r="C236" s="15" t="str">
        <f>"董海霞"</f>
        <v>董海霞</v>
      </c>
      <c r="D236" s="15" t="str">
        <f t="shared" si="8"/>
        <v>女</v>
      </c>
      <c r="E236" s="16" t="s">
        <v>196</v>
      </c>
      <c r="F236" s="13"/>
    </row>
    <row r="237" spans="1:6" ht="34.5" customHeight="1">
      <c r="A237" s="13">
        <v>234</v>
      </c>
      <c r="B237" s="14" t="str">
        <f>"60252023121809270324480"</f>
        <v>60252023121809270324480</v>
      </c>
      <c r="C237" s="15" t="str">
        <f>"陈亚丽"</f>
        <v>陈亚丽</v>
      </c>
      <c r="D237" s="15" t="str">
        <f t="shared" si="8"/>
        <v>女</v>
      </c>
      <c r="E237" s="16" t="s">
        <v>177</v>
      </c>
      <c r="F237" s="13"/>
    </row>
    <row r="238" spans="1:6" ht="34.5" customHeight="1">
      <c r="A238" s="13">
        <v>235</v>
      </c>
      <c r="B238" s="14" t="str">
        <f>"60252023122208195738003"</f>
        <v>60252023122208195738003</v>
      </c>
      <c r="C238" s="15" t="str">
        <f>"杨曼萍"</f>
        <v>杨曼萍</v>
      </c>
      <c r="D238" s="15" t="str">
        <f t="shared" si="8"/>
        <v>女</v>
      </c>
      <c r="E238" s="16" t="s">
        <v>172</v>
      </c>
      <c r="F238" s="13"/>
    </row>
    <row r="239" spans="1:6" ht="34.5" customHeight="1">
      <c r="A239" s="13">
        <v>236</v>
      </c>
      <c r="B239" s="14" t="str">
        <f>"60252023122112273937665"</f>
        <v>60252023122112273937665</v>
      </c>
      <c r="C239" s="15" t="str">
        <f>"王悦妍"</f>
        <v>王悦妍</v>
      </c>
      <c r="D239" s="15" t="str">
        <f t="shared" si="8"/>
        <v>女</v>
      </c>
      <c r="E239" s="16" t="s">
        <v>21</v>
      </c>
      <c r="F239" s="13"/>
    </row>
    <row r="240" spans="1:6" ht="34.5" customHeight="1">
      <c r="A240" s="13">
        <v>237</v>
      </c>
      <c r="B240" s="14" t="str">
        <f>"60252023122008510734350"</f>
        <v>60252023122008510734350</v>
      </c>
      <c r="C240" s="15" t="str">
        <f>"邱梦"</f>
        <v>邱梦</v>
      </c>
      <c r="D240" s="15" t="str">
        <f t="shared" si="8"/>
        <v>女</v>
      </c>
      <c r="E240" s="16" t="s">
        <v>129</v>
      </c>
      <c r="F240" s="13"/>
    </row>
    <row r="241" spans="1:6" ht="34.5" customHeight="1">
      <c r="A241" s="13">
        <v>238</v>
      </c>
      <c r="B241" s="14" t="str">
        <f>"60252023122210240438097"</f>
        <v>60252023122210240438097</v>
      </c>
      <c r="C241" s="15" t="str">
        <f>"苏浪"</f>
        <v>苏浪</v>
      </c>
      <c r="D241" s="15" t="str">
        <f t="shared" si="8"/>
        <v>女</v>
      </c>
      <c r="E241" s="16" t="s">
        <v>40</v>
      </c>
      <c r="F241" s="13"/>
    </row>
    <row r="242" spans="1:6" ht="34.5" customHeight="1">
      <c r="A242" s="13">
        <v>239</v>
      </c>
      <c r="B242" s="14" t="str">
        <f>"60252023122017125637234"</f>
        <v>60252023122017125637234</v>
      </c>
      <c r="C242" s="15" t="str">
        <f>"王雨欣"</f>
        <v>王雨欣</v>
      </c>
      <c r="D242" s="15" t="str">
        <f t="shared" si="8"/>
        <v>女</v>
      </c>
      <c r="E242" s="16" t="s">
        <v>197</v>
      </c>
      <c r="F242" s="13"/>
    </row>
    <row r="243" spans="1:6" ht="34.5" customHeight="1">
      <c r="A243" s="13">
        <v>240</v>
      </c>
      <c r="B243" s="14" t="str">
        <f>"60252023122215115238288"</f>
        <v>60252023122215115238288</v>
      </c>
      <c r="C243" s="15" t="str">
        <f>"黄艳美"</f>
        <v>黄艳美</v>
      </c>
      <c r="D243" s="15" t="str">
        <f t="shared" si="8"/>
        <v>女</v>
      </c>
      <c r="E243" s="16" t="s">
        <v>198</v>
      </c>
      <c r="F243" s="13"/>
    </row>
    <row r="244" spans="1:6" ht="34.5" customHeight="1">
      <c r="A244" s="13">
        <v>241</v>
      </c>
      <c r="B244" s="14" t="str">
        <f>"60252023122015032336691"</f>
        <v>60252023122015032336691</v>
      </c>
      <c r="C244" s="15" t="str">
        <f>"周玲"</f>
        <v>周玲</v>
      </c>
      <c r="D244" s="15" t="str">
        <f t="shared" si="8"/>
        <v>女</v>
      </c>
      <c r="E244" s="16" t="s">
        <v>150</v>
      </c>
      <c r="F244" s="13"/>
    </row>
    <row r="245" spans="1:6" ht="34.5" customHeight="1">
      <c r="A245" s="13">
        <v>242</v>
      </c>
      <c r="B245" s="14" t="str">
        <f>"60252023121809535424800"</f>
        <v>60252023121809535424800</v>
      </c>
      <c r="C245" s="15" t="str">
        <f>"朱丽华"</f>
        <v>朱丽华</v>
      </c>
      <c r="D245" s="15" t="str">
        <f t="shared" si="8"/>
        <v>女</v>
      </c>
      <c r="E245" s="16" t="s">
        <v>199</v>
      </c>
      <c r="F245" s="13"/>
    </row>
    <row r="246" spans="1:6" ht="34.5" customHeight="1">
      <c r="A246" s="13">
        <v>243</v>
      </c>
      <c r="B246" s="14" t="str">
        <f>"60252023122217574038434"</f>
        <v>60252023122217574038434</v>
      </c>
      <c r="C246" s="15" t="str">
        <f>"杨秀燕"</f>
        <v>杨秀燕</v>
      </c>
      <c r="D246" s="15" t="str">
        <f t="shared" si="8"/>
        <v>女</v>
      </c>
      <c r="E246" s="16" t="s">
        <v>200</v>
      </c>
      <c r="F246" s="13"/>
    </row>
    <row r="247" spans="1:6" ht="34.5" customHeight="1">
      <c r="A247" s="13">
        <v>244</v>
      </c>
      <c r="B247" s="14" t="str">
        <f>"60252023122217414738423"</f>
        <v>60252023122217414738423</v>
      </c>
      <c r="C247" s="15" t="str">
        <f>"莫旺月"</f>
        <v>莫旺月</v>
      </c>
      <c r="D247" s="15" t="str">
        <f t="shared" si="8"/>
        <v>女</v>
      </c>
      <c r="E247" s="16" t="s">
        <v>201</v>
      </c>
      <c r="F247" s="13"/>
    </row>
    <row r="248" spans="1:6" ht="34.5" customHeight="1">
      <c r="A248" s="13">
        <v>245</v>
      </c>
      <c r="B248" s="14" t="str">
        <f>"60252023122120114837925"</f>
        <v>60252023122120114837925</v>
      </c>
      <c r="C248" s="15" t="str">
        <f>"李暖"</f>
        <v>李暖</v>
      </c>
      <c r="D248" s="15" t="str">
        <f t="shared" si="8"/>
        <v>女</v>
      </c>
      <c r="E248" s="16" t="s">
        <v>202</v>
      </c>
      <c r="F248" s="13"/>
    </row>
    <row r="249" spans="1:6" ht="34.5" customHeight="1">
      <c r="A249" s="13">
        <v>246</v>
      </c>
      <c r="B249" s="14" t="str">
        <f>"60252023122215141538294"</f>
        <v>60252023122215141538294</v>
      </c>
      <c r="C249" s="15" t="str">
        <f>"陈美云"</f>
        <v>陈美云</v>
      </c>
      <c r="D249" s="15" t="str">
        <f t="shared" si="8"/>
        <v>女</v>
      </c>
      <c r="E249" s="16" t="s">
        <v>203</v>
      </c>
      <c r="F249" s="13"/>
    </row>
    <row r="250" spans="1:6" ht="34.5" customHeight="1">
      <c r="A250" s="13">
        <v>247</v>
      </c>
      <c r="B250" s="14" t="str">
        <f>"60252023121814210726729"</f>
        <v>60252023121814210726729</v>
      </c>
      <c r="C250" s="15" t="str">
        <f>"羊梅菊"</f>
        <v>羊梅菊</v>
      </c>
      <c r="D250" s="15" t="str">
        <f t="shared" si="8"/>
        <v>女</v>
      </c>
      <c r="E250" s="16" t="s">
        <v>204</v>
      </c>
      <c r="F250" s="13"/>
    </row>
    <row r="251" spans="1:6" ht="34.5" customHeight="1">
      <c r="A251" s="13">
        <v>248</v>
      </c>
      <c r="B251" s="14" t="str">
        <f>"60252023122221421638544"</f>
        <v>60252023122221421638544</v>
      </c>
      <c r="C251" s="15" t="str">
        <f>"唐海秋"</f>
        <v>唐海秋</v>
      </c>
      <c r="D251" s="15" t="str">
        <f t="shared" si="8"/>
        <v>女</v>
      </c>
      <c r="E251" s="16" t="s">
        <v>205</v>
      </c>
      <c r="F251" s="13"/>
    </row>
    <row r="252" spans="1:6" ht="34.5" customHeight="1">
      <c r="A252" s="13">
        <v>249</v>
      </c>
      <c r="B252" s="14" t="str">
        <f>"60252023122312275039541"</f>
        <v>60252023122312275039541</v>
      </c>
      <c r="C252" s="15" t="str">
        <f>"郑诗伟"</f>
        <v>郑诗伟</v>
      </c>
      <c r="D252" s="15" t="str">
        <f t="shared" si="8"/>
        <v>女</v>
      </c>
      <c r="E252" s="16" t="s">
        <v>51</v>
      </c>
      <c r="F252" s="13"/>
    </row>
    <row r="253" spans="1:6" ht="34.5" customHeight="1">
      <c r="A253" s="13">
        <v>250</v>
      </c>
      <c r="B253" s="14" t="str">
        <f>"60252023122210244038099"</f>
        <v>60252023122210244038099</v>
      </c>
      <c r="C253" s="15" t="str">
        <f>"林茗"</f>
        <v>林茗</v>
      </c>
      <c r="D253" s="15" t="str">
        <f t="shared" si="8"/>
        <v>女</v>
      </c>
      <c r="E253" s="16" t="s">
        <v>206</v>
      </c>
      <c r="F253" s="13"/>
    </row>
    <row r="254" spans="1:6" ht="34.5" customHeight="1">
      <c r="A254" s="13">
        <v>251</v>
      </c>
      <c r="B254" s="14" t="str">
        <f>"60252023122313192939663"</f>
        <v>60252023122313192939663</v>
      </c>
      <c r="C254" s="15" t="str">
        <f>"苏采诗"</f>
        <v>苏采诗</v>
      </c>
      <c r="D254" s="15" t="str">
        <f t="shared" si="8"/>
        <v>女</v>
      </c>
      <c r="E254" s="16" t="s">
        <v>207</v>
      </c>
      <c r="F254" s="13"/>
    </row>
    <row r="255" spans="1:6" ht="34.5" customHeight="1">
      <c r="A255" s="13">
        <v>252</v>
      </c>
      <c r="B255" s="14" t="str">
        <f>"60252023122210584838137"</f>
        <v>60252023122210584838137</v>
      </c>
      <c r="C255" s="15" t="str">
        <f>"赵壮美"</f>
        <v>赵壮美</v>
      </c>
      <c r="D255" s="15" t="str">
        <f t="shared" si="8"/>
        <v>女</v>
      </c>
      <c r="E255" s="16" t="s">
        <v>208</v>
      </c>
      <c r="F255" s="13"/>
    </row>
    <row r="256" spans="1:6" ht="34.5" customHeight="1">
      <c r="A256" s="13">
        <v>253</v>
      </c>
      <c r="B256" s="14" t="str">
        <f>"60252023122315245139901"</f>
        <v>60252023122315245139901</v>
      </c>
      <c r="C256" s="15" t="str">
        <f>"何善萍"</f>
        <v>何善萍</v>
      </c>
      <c r="D256" s="15" t="str">
        <f t="shared" si="8"/>
        <v>女</v>
      </c>
      <c r="E256" s="16" t="s">
        <v>118</v>
      </c>
      <c r="F256" s="13"/>
    </row>
    <row r="257" spans="1:6" ht="34.5" customHeight="1">
      <c r="A257" s="13">
        <v>254</v>
      </c>
      <c r="B257" s="14" t="str">
        <f>"60252023122317090140071"</f>
        <v>60252023122317090140071</v>
      </c>
      <c r="C257" s="15" t="str">
        <f>"张淑丽"</f>
        <v>张淑丽</v>
      </c>
      <c r="D257" s="15" t="str">
        <f t="shared" si="8"/>
        <v>女</v>
      </c>
      <c r="E257" s="16" t="s">
        <v>68</v>
      </c>
      <c r="F257" s="13"/>
    </row>
    <row r="258" spans="1:6" ht="34.5" customHeight="1">
      <c r="A258" s="13">
        <v>255</v>
      </c>
      <c r="B258" s="14" t="str">
        <f>"60252023121815395027345"</f>
        <v>60252023121815395027345</v>
      </c>
      <c r="C258" s="15" t="str">
        <f>"陈炜虹"</f>
        <v>陈炜虹</v>
      </c>
      <c r="D258" s="15" t="str">
        <f t="shared" si="8"/>
        <v>女</v>
      </c>
      <c r="E258" s="16" t="s">
        <v>206</v>
      </c>
      <c r="F258" s="13"/>
    </row>
    <row r="259" spans="1:6" ht="34.5" customHeight="1">
      <c r="A259" s="13">
        <v>256</v>
      </c>
      <c r="B259" s="14" t="str">
        <f>"60252023122316273240007"</f>
        <v>60252023122316273240007</v>
      </c>
      <c r="C259" s="15" t="str">
        <f>"李德娟"</f>
        <v>李德娟</v>
      </c>
      <c r="D259" s="15" t="str">
        <f t="shared" si="8"/>
        <v>女</v>
      </c>
      <c r="E259" s="16" t="s">
        <v>43</v>
      </c>
      <c r="F259" s="13"/>
    </row>
    <row r="260" spans="1:6" ht="34.5" customHeight="1">
      <c r="A260" s="13">
        <v>257</v>
      </c>
      <c r="B260" s="14" t="str">
        <f>"60252023122020255637367"</f>
        <v>60252023122020255637367</v>
      </c>
      <c r="C260" s="17" t="s">
        <v>209</v>
      </c>
      <c r="D260" s="15" t="str">
        <f t="shared" si="8"/>
        <v>女</v>
      </c>
      <c r="E260" s="16" t="s">
        <v>210</v>
      </c>
      <c r="F260" s="18"/>
    </row>
    <row r="261" spans="1:6" ht="34.5" customHeight="1">
      <c r="A261" s="13">
        <v>258</v>
      </c>
      <c r="B261" s="14" t="str">
        <f>"60252023122317294340100"</f>
        <v>60252023122317294340100</v>
      </c>
      <c r="C261" s="15" t="str">
        <f>"李子星"</f>
        <v>李子星</v>
      </c>
      <c r="D261" s="15" t="str">
        <f t="shared" si="8"/>
        <v>女</v>
      </c>
      <c r="E261" s="16" t="s">
        <v>211</v>
      </c>
      <c r="F261" s="13"/>
    </row>
    <row r="262" spans="1:6" ht="34.5" customHeight="1">
      <c r="A262" s="13">
        <v>259</v>
      </c>
      <c r="B262" s="14" t="str">
        <f>"60252023122320135540332"</f>
        <v>60252023122320135540332</v>
      </c>
      <c r="C262" s="15" t="str">
        <f>"符良豪"</f>
        <v>符良豪</v>
      </c>
      <c r="D262" s="15" t="str">
        <f>"男"</f>
        <v>男</v>
      </c>
      <c r="E262" s="16" t="s">
        <v>212</v>
      </c>
      <c r="F262" s="13"/>
    </row>
    <row r="263" spans="1:6" ht="34.5" customHeight="1">
      <c r="A263" s="13">
        <v>260</v>
      </c>
      <c r="B263" s="14" t="str">
        <f>"60252023121819322228482"</f>
        <v>60252023121819322228482</v>
      </c>
      <c r="C263" s="15" t="str">
        <f>"吉如锐"</f>
        <v>吉如锐</v>
      </c>
      <c r="D263" s="15" t="str">
        <f aca="true" t="shared" si="9" ref="D263:D268">"女"</f>
        <v>女</v>
      </c>
      <c r="E263" s="16" t="s">
        <v>213</v>
      </c>
      <c r="F263" s="13"/>
    </row>
    <row r="264" spans="1:6" ht="34.5" customHeight="1">
      <c r="A264" s="13">
        <v>261</v>
      </c>
      <c r="B264" s="14" t="str">
        <f>"60252023122321273340461"</f>
        <v>60252023122321273340461</v>
      </c>
      <c r="C264" s="15" t="str">
        <f>"许桦"</f>
        <v>许桦</v>
      </c>
      <c r="D264" s="15" t="str">
        <f t="shared" si="9"/>
        <v>女</v>
      </c>
      <c r="E264" s="16" t="s">
        <v>214</v>
      </c>
      <c r="F264" s="13"/>
    </row>
    <row r="265" spans="1:6" ht="34.5" customHeight="1">
      <c r="A265" s="13">
        <v>262</v>
      </c>
      <c r="B265" s="14" t="str">
        <f>"60252023122318450340183"</f>
        <v>60252023122318450340183</v>
      </c>
      <c r="C265" s="15" t="str">
        <f>"王仁芬"</f>
        <v>王仁芬</v>
      </c>
      <c r="D265" s="15" t="str">
        <f t="shared" si="9"/>
        <v>女</v>
      </c>
      <c r="E265" s="16" t="s">
        <v>215</v>
      </c>
      <c r="F265" s="13"/>
    </row>
    <row r="266" spans="1:6" ht="34.5" customHeight="1">
      <c r="A266" s="13">
        <v>263</v>
      </c>
      <c r="B266" s="14" t="str">
        <f>"60252023122321045840424"</f>
        <v>60252023122321045840424</v>
      </c>
      <c r="C266" s="15" t="str">
        <f>"梁嘉娜"</f>
        <v>梁嘉娜</v>
      </c>
      <c r="D266" s="15" t="str">
        <f t="shared" si="9"/>
        <v>女</v>
      </c>
      <c r="E266" s="16" t="s">
        <v>158</v>
      </c>
      <c r="F266" s="13"/>
    </row>
    <row r="267" spans="1:6" ht="34.5" customHeight="1">
      <c r="A267" s="13">
        <v>264</v>
      </c>
      <c r="B267" s="14" t="str">
        <f>"60252023122408384840641"</f>
        <v>60252023122408384840641</v>
      </c>
      <c r="C267" s="15" t="str">
        <f>"邢贞鸾"</f>
        <v>邢贞鸾</v>
      </c>
      <c r="D267" s="15" t="str">
        <f t="shared" si="9"/>
        <v>女</v>
      </c>
      <c r="E267" s="16" t="s">
        <v>216</v>
      </c>
      <c r="F267" s="13"/>
    </row>
    <row r="268" spans="1:6" ht="34.5" customHeight="1">
      <c r="A268" s="13">
        <v>265</v>
      </c>
      <c r="B268" s="14" t="str">
        <f>"60252023122409051940662"</f>
        <v>60252023122409051940662</v>
      </c>
      <c r="C268" s="15" t="str">
        <f>"邓佳美"</f>
        <v>邓佳美</v>
      </c>
      <c r="D268" s="15" t="str">
        <f t="shared" si="9"/>
        <v>女</v>
      </c>
      <c r="E268" s="16" t="s">
        <v>217</v>
      </c>
      <c r="F268" s="13"/>
    </row>
    <row r="269" spans="1:6" ht="34.5" customHeight="1">
      <c r="A269" s="13">
        <v>266</v>
      </c>
      <c r="B269" s="14" t="str">
        <f>"60252023122113163037695"</f>
        <v>60252023122113163037695</v>
      </c>
      <c r="C269" s="15" t="str">
        <f>"黎新辉"</f>
        <v>黎新辉</v>
      </c>
      <c r="D269" s="15" t="str">
        <f>"男"</f>
        <v>男</v>
      </c>
      <c r="E269" s="16" t="s">
        <v>218</v>
      </c>
      <c r="F269" s="13"/>
    </row>
    <row r="270" spans="1:6" ht="34.5" customHeight="1">
      <c r="A270" s="13">
        <v>267</v>
      </c>
      <c r="B270" s="14" t="str">
        <f>"60252023122410051840711"</f>
        <v>60252023122410051840711</v>
      </c>
      <c r="C270" s="15" t="str">
        <f>"廖诗靓"</f>
        <v>廖诗靓</v>
      </c>
      <c r="D270" s="15" t="str">
        <f aca="true" t="shared" si="10" ref="D270:D276">"女"</f>
        <v>女</v>
      </c>
      <c r="E270" s="16" t="s">
        <v>219</v>
      </c>
      <c r="F270" s="13"/>
    </row>
    <row r="271" spans="1:6" ht="34.5" customHeight="1">
      <c r="A271" s="13">
        <v>268</v>
      </c>
      <c r="B271" s="14" t="str">
        <f>"60252023122413194140898"</f>
        <v>60252023122413194140898</v>
      </c>
      <c r="C271" s="15" t="str">
        <f>"王金月"</f>
        <v>王金月</v>
      </c>
      <c r="D271" s="15" t="str">
        <f t="shared" si="10"/>
        <v>女</v>
      </c>
      <c r="E271" s="16" t="s">
        <v>156</v>
      </c>
      <c r="F271" s="13"/>
    </row>
    <row r="272" spans="1:6" ht="34.5" customHeight="1">
      <c r="A272" s="13">
        <v>269</v>
      </c>
      <c r="B272" s="14" t="str">
        <f>"60252023122414565640982"</f>
        <v>60252023122414565640982</v>
      </c>
      <c r="C272" s="15" t="str">
        <f>"吴芳芳"</f>
        <v>吴芳芳</v>
      </c>
      <c r="D272" s="15" t="str">
        <f t="shared" si="10"/>
        <v>女</v>
      </c>
      <c r="E272" s="16" t="s">
        <v>220</v>
      </c>
      <c r="F272" s="13"/>
    </row>
    <row r="273" spans="1:6" ht="34.5" customHeight="1">
      <c r="A273" s="13">
        <v>270</v>
      </c>
      <c r="B273" s="14" t="str">
        <f>"60252023122412424040860"</f>
        <v>60252023122412424040860</v>
      </c>
      <c r="C273" s="15" t="str">
        <f>"王秀忱"</f>
        <v>王秀忱</v>
      </c>
      <c r="D273" s="15" t="str">
        <f t="shared" si="10"/>
        <v>女</v>
      </c>
      <c r="E273" s="16" t="s">
        <v>170</v>
      </c>
      <c r="F273" s="13"/>
    </row>
    <row r="274" spans="1:6" ht="34.5" customHeight="1">
      <c r="A274" s="13">
        <v>271</v>
      </c>
      <c r="B274" s="14" t="str">
        <f>"60252023122017002737227"</f>
        <v>60252023122017002737227</v>
      </c>
      <c r="C274" s="15" t="str">
        <f>"王海蓝"</f>
        <v>王海蓝</v>
      </c>
      <c r="D274" s="15" t="str">
        <f t="shared" si="10"/>
        <v>女</v>
      </c>
      <c r="E274" s="16" t="s">
        <v>221</v>
      </c>
      <c r="F274" s="13"/>
    </row>
    <row r="275" spans="1:6" ht="34.5" customHeight="1">
      <c r="A275" s="13">
        <v>272</v>
      </c>
      <c r="B275" s="14" t="str">
        <f>"60252023122415290341009"</f>
        <v>60252023122415290341009</v>
      </c>
      <c r="C275" s="15" t="str">
        <f>"张木英"</f>
        <v>张木英</v>
      </c>
      <c r="D275" s="15" t="str">
        <f t="shared" si="10"/>
        <v>女</v>
      </c>
      <c r="E275" s="16" t="s">
        <v>222</v>
      </c>
      <c r="F275" s="13"/>
    </row>
    <row r="276" spans="1:6" ht="34.5" customHeight="1">
      <c r="A276" s="13">
        <v>273</v>
      </c>
      <c r="B276" s="14" t="str">
        <f>"60252023121814562527005"</f>
        <v>60252023121814562527005</v>
      </c>
      <c r="C276" s="15" t="str">
        <f>"陈丽云"</f>
        <v>陈丽云</v>
      </c>
      <c r="D276" s="15" t="str">
        <f t="shared" si="10"/>
        <v>女</v>
      </c>
      <c r="E276" s="16" t="s">
        <v>223</v>
      </c>
      <c r="F276" s="13"/>
    </row>
    <row r="277" spans="1:6" ht="34.5" customHeight="1">
      <c r="A277" s="13">
        <v>274</v>
      </c>
      <c r="B277" s="14" t="str">
        <f>"60252023122100572137446"</f>
        <v>60252023122100572137446</v>
      </c>
      <c r="C277" s="15" t="str">
        <f>"孙源谨"</f>
        <v>孙源谨</v>
      </c>
      <c r="D277" s="15" t="str">
        <f>"男"</f>
        <v>男</v>
      </c>
      <c r="E277" s="16" t="s">
        <v>224</v>
      </c>
      <c r="F277" s="13"/>
    </row>
    <row r="278" spans="1:6" ht="34.5" customHeight="1">
      <c r="A278" s="13">
        <v>275</v>
      </c>
      <c r="B278" s="14" t="str">
        <f>"60252023122218550238459"</f>
        <v>60252023122218550238459</v>
      </c>
      <c r="C278" s="15" t="str">
        <f>"周育有"</f>
        <v>周育有</v>
      </c>
      <c r="D278" s="15" t="str">
        <f>"男"</f>
        <v>男</v>
      </c>
      <c r="E278" s="16" t="s">
        <v>225</v>
      </c>
      <c r="F278" s="13"/>
    </row>
    <row r="279" spans="1:6" ht="34.5" customHeight="1">
      <c r="A279" s="13">
        <v>276</v>
      </c>
      <c r="B279" s="14" t="str">
        <f>"60252023122415032340986"</f>
        <v>60252023122415032340986</v>
      </c>
      <c r="C279" s="15" t="str">
        <f>"陈举芸"</f>
        <v>陈举芸</v>
      </c>
      <c r="D279" s="15" t="str">
        <f aca="true" t="shared" si="11" ref="D279:D289">"女"</f>
        <v>女</v>
      </c>
      <c r="E279" s="16" t="s">
        <v>226</v>
      </c>
      <c r="F279" s="13"/>
    </row>
    <row r="280" spans="1:6" ht="34.5" customHeight="1">
      <c r="A280" s="13">
        <v>277</v>
      </c>
      <c r="B280" s="14" t="str">
        <f>"60252023122417391441108"</f>
        <v>60252023122417391441108</v>
      </c>
      <c r="C280" s="15" t="str">
        <f>"符转"</f>
        <v>符转</v>
      </c>
      <c r="D280" s="15" t="str">
        <f t="shared" si="11"/>
        <v>女</v>
      </c>
      <c r="E280" s="16" t="s">
        <v>227</v>
      </c>
      <c r="F280" s="13"/>
    </row>
    <row r="281" spans="1:6" ht="34.5" customHeight="1">
      <c r="A281" s="13">
        <v>278</v>
      </c>
      <c r="B281" s="14" t="str">
        <f>"60252023122421031941291"</f>
        <v>60252023122421031941291</v>
      </c>
      <c r="C281" s="15" t="str">
        <f>"李国妹"</f>
        <v>李国妹</v>
      </c>
      <c r="D281" s="15" t="str">
        <f t="shared" si="11"/>
        <v>女</v>
      </c>
      <c r="E281" s="16" t="s">
        <v>228</v>
      </c>
      <c r="F281" s="13"/>
    </row>
    <row r="282" spans="1:6" ht="34.5" customHeight="1">
      <c r="A282" s="13">
        <v>279</v>
      </c>
      <c r="B282" s="14" t="str">
        <f>"60252023122422145041353"</f>
        <v>60252023122422145041353</v>
      </c>
      <c r="C282" s="15" t="str">
        <f>"陈蕊"</f>
        <v>陈蕊</v>
      </c>
      <c r="D282" s="15" t="str">
        <f t="shared" si="11"/>
        <v>女</v>
      </c>
      <c r="E282" s="16" t="s">
        <v>229</v>
      </c>
      <c r="F282" s="13"/>
    </row>
    <row r="283" spans="1:6" ht="34.5" customHeight="1">
      <c r="A283" s="13">
        <v>280</v>
      </c>
      <c r="B283" s="14" t="str">
        <f>"60252023122422473141378"</f>
        <v>60252023122422473141378</v>
      </c>
      <c r="C283" s="15" t="str">
        <f>"罗秋雷"</f>
        <v>罗秋雷</v>
      </c>
      <c r="D283" s="15" t="str">
        <f t="shared" si="11"/>
        <v>女</v>
      </c>
      <c r="E283" s="16" t="s">
        <v>113</v>
      </c>
      <c r="F283" s="13"/>
    </row>
    <row r="284" spans="1:6" ht="34.5" customHeight="1">
      <c r="A284" s="13">
        <v>281</v>
      </c>
      <c r="B284" s="14" t="str">
        <f>"60252023122322430840559"</f>
        <v>60252023122322430840559</v>
      </c>
      <c r="C284" s="15" t="str">
        <f>"庞元秀"</f>
        <v>庞元秀</v>
      </c>
      <c r="D284" s="15" t="str">
        <f t="shared" si="11"/>
        <v>女</v>
      </c>
      <c r="E284" s="16" t="s">
        <v>230</v>
      </c>
      <c r="F284" s="13"/>
    </row>
    <row r="285" spans="1:6" ht="34.5" customHeight="1">
      <c r="A285" s="13">
        <v>282</v>
      </c>
      <c r="B285" s="14" t="str">
        <f>"60252023122509123841571"</f>
        <v>60252023122509123841571</v>
      </c>
      <c r="C285" s="15" t="str">
        <f>"邢增培"</f>
        <v>邢增培</v>
      </c>
      <c r="D285" s="15" t="str">
        <f t="shared" si="11"/>
        <v>女</v>
      </c>
      <c r="E285" s="16" t="s">
        <v>231</v>
      </c>
      <c r="F285" s="13"/>
    </row>
    <row r="286" spans="1:6" ht="34.5" customHeight="1">
      <c r="A286" s="13">
        <v>283</v>
      </c>
      <c r="B286" s="14" t="str">
        <f>"60252023122508040541427"</f>
        <v>60252023122508040541427</v>
      </c>
      <c r="C286" s="15" t="str">
        <f>"李萍"</f>
        <v>李萍</v>
      </c>
      <c r="D286" s="15" t="str">
        <f t="shared" si="11"/>
        <v>女</v>
      </c>
      <c r="E286" s="16" t="s">
        <v>232</v>
      </c>
      <c r="F286" s="13"/>
    </row>
    <row r="287" spans="1:6" ht="34.5" customHeight="1">
      <c r="A287" s="13">
        <v>284</v>
      </c>
      <c r="B287" s="14" t="str">
        <f>"60252023122510420941905"</f>
        <v>60252023122510420941905</v>
      </c>
      <c r="C287" s="15" t="str">
        <f>"陈秋玉"</f>
        <v>陈秋玉</v>
      </c>
      <c r="D287" s="15" t="str">
        <f t="shared" si="11"/>
        <v>女</v>
      </c>
      <c r="E287" s="16" t="s">
        <v>233</v>
      </c>
      <c r="F287" s="13"/>
    </row>
    <row r="288" spans="1:6" ht="34.5" customHeight="1">
      <c r="A288" s="13">
        <v>285</v>
      </c>
      <c r="B288" s="14" t="str">
        <f>"60252023122511395142052"</f>
        <v>60252023122511395142052</v>
      </c>
      <c r="C288" s="15" t="str">
        <f>"吴小敏"</f>
        <v>吴小敏</v>
      </c>
      <c r="D288" s="15" t="str">
        <f t="shared" si="11"/>
        <v>女</v>
      </c>
      <c r="E288" s="16" t="s">
        <v>234</v>
      </c>
      <c r="F288" s="13"/>
    </row>
    <row r="289" spans="1:6" ht="34.5" customHeight="1">
      <c r="A289" s="13">
        <v>286</v>
      </c>
      <c r="B289" s="14" t="str">
        <f>"60252023122511480542071"</f>
        <v>60252023122511480542071</v>
      </c>
      <c r="C289" s="15" t="str">
        <f>"邢燕妮"</f>
        <v>邢燕妮</v>
      </c>
      <c r="D289" s="15" t="str">
        <f t="shared" si="11"/>
        <v>女</v>
      </c>
      <c r="E289" s="16" t="s">
        <v>235</v>
      </c>
      <c r="F289" s="13"/>
    </row>
    <row r="290" spans="1:6" ht="34.5" customHeight="1">
      <c r="A290" s="13">
        <v>287</v>
      </c>
      <c r="B290" s="14" t="str">
        <f>"60252023122512384242183"</f>
        <v>60252023122512384242183</v>
      </c>
      <c r="C290" s="15" t="str">
        <f>"庞帅"</f>
        <v>庞帅</v>
      </c>
      <c r="D290" s="15" t="str">
        <f>"男"</f>
        <v>男</v>
      </c>
      <c r="E290" s="16" t="s">
        <v>236</v>
      </c>
      <c r="F290" s="13"/>
    </row>
    <row r="291" spans="1:6" ht="34.5" customHeight="1">
      <c r="A291" s="13">
        <v>288</v>
      </c>
      <c r="B291" s="14" t="str">
        <f>"60252023122513343442280"</f>
        <v>60252023122513343442280</v>
      </c>
      <c r="C291" s="15" t="str">
        <f>"羊淑梅"</f>
        <v>羊淑梅</v>
      </c>
      <c r="D291" s="15" t="str">
        <f>"女"</f>
        <v>女</v>
      </c>
      <c r="E291" s="16" t="s">
        <v>237</v>
      </c>
      <c r="F291" s="13"/>
    </row>
    <row r="292" spans="1:6" ht="34.5" customHeight="1">
      <c r="A292" s="13">
        <v>289</v>
      </c>
      <c r="B292" s="14" t="str">
        <f>"60252023122012200135618"</f>
        <v>60252023122012200135618</v>
      </c>
      <c r="C292" s="15" t="str">
        <f>"张瑞龙"</f>
        <v>张瑞龙</v>
      </c>
      <c r="D292" s="15" t="str">
        <f>"男"</f>
        <v>男</v>
      </c>
      <c r="E292" s="16" t="s">
        <v>238</v>
      </c>
      <c r="F292" s="13"/>
    </row>
    <row r="293" spans="1:6" ht="34.5" customHeight="1">
      <c r="A293" s="13">
        <v>290</v>
      </c>
      <c r="B293" s="14" t="str">
        <f>"60252023122513414842291"</f>
        <v>60252023122513414842291</v>
      </c>
      <c r="C293" s="15" t="str">
        <f>"王晓敏"</f>
        <v>王晓敏</v>
      </c>
      <c r="D293" s="15" t="str">
        <f>"女"</f>
        <v>女</v>
      </c>
      <c r="E293" s="16" t="s">
        <v>194</v>
      </c>
      <c r="F293" s="13"/>
    </row>
    <row r="294" spans="1:6" ht="34.5" customHeight="1">
      <c r="A294" s="13">
        <v>291</v>
      </c>
      <c r="B294" s="14" t="str">
        <f>"60252023122514340042381"</f>
        <v>60252023122514340042381</v>
      </c>
      <c r="C294" s="15" t="str">
        <f>"林永丽"</f>
        <v>林永丽</v>
      </c>
      <c r="D294" s="15" t="str">
        <f>"女"</f>
        <v>女</v>
      </c>
      <c r="E294" s="16" t="s">
        <v>94</v>
      </c>
      <c r="F294" s="13"/>
    </row>
    <row r="295" spans="1:6" ht="34.5" customHeight="1">
      <c r="A295" s="13">
        <v>292</v>
      </c>
      <c r="B295" s="14" t="str">
        <f>"60252023122514533042429"</f>
        <v>60252023122514533042429</v>
      </c>
      <c r="C295" s="15" t="str">
        <f>"王金女"</f>
        <v>王金女</v>
      </c>
      <c r="D295" s="15" t="str">
        <f>"女"</f>
        <v>女</v>
      </c>
      <c r="E295" s="16" t="s">
        <v>68</v>
      </c>
      <c r="F295" s="13"/>
    </row>
    <row r="296" spans="1:6" ht="34.5" customHeight="1">
      <c r="A296" s="13">
        <v>293</v>
      </c>
      <c r="B296" s="14" t="str">
        <f>"60252023122515283142509"</f>
        <v>60252023122515283142509</v>
      </c>
      <c r="C296" s="15" t="str">
        <f>"符东扬"</f>
        <v>符东扬</v>
      </c>
      <c r="D296" s="15" t="str">
        <f>"男"</f>
        <v>男</v>
      </c>
      <c r="E296" s="16" t="s">
        <v>236</v>
      </c>
      <c r="F296" s="13"/>
    </row>
    <row r="297" spans="1:6" ht="34.5" customHeight="1">
      <c r="A297" s="13">
        <v>294</v>
      </c>
      <c r="B297" s="14" t="str">
        <f>"60252023122220550338527"</f>
        <v>60252023122220550338527</v>
      </c>
      <c r="C297" s="15" t="str">
        <f>"王丽姣"</f>
        <v>王丽姣</v>
      </c>
      <c r="D297" s="15" t="str">
        <f aca="true" t="shared" si="12" ref="D297:D311">"女"</f>
        <v>女</v>
      </c>
      <c r="E297" s="16" t="s">
        <v>119</v>
      </c>
      <c r="F297" s="13"/>
    </row>
    <row r="298" spans="1:6" ht="34.5" customHeight="1">
      <c r="A298" s="13">
        <v>295</v>
      </c>
      <c r="B298" s="14" t="str">
        <f>"60252023122516062142588"</f>
        <v>60252023122516062142588</v>
      </c>
      <c r="C298" s="15" t="str">
        <f>"李俏俏"</f>
        <v>李俏俏</v>
      </c>
      <c r="D298" s="15" t="str">
        <f t="shared" si="12"/>
        <v>女</v>
      </c>
      <c r="E298" s="16" t="s">
        <v>239</v>
      </c>
      <c r="F298" s="13"/>
    </row>
    <row r="299" spans="1:6" ht="34.5" customHeight="1">
      <c r="A299" s="13">
        <v>296</v>
      </c>
      <c r="B299" s="14" t="str">
        <f>"60252023122511163141998"</f>
        <v>60252023122511163141998</v>
      </c>
      <c r="C299" s="15" t="str">
        <f>"符喜秀"</f>
        <v>符喜秀</v>
      </c>
      <c r="D299" s="15" t="str">
        <f t="shared" si="12"/>
        <v>女</v>
      </c>
      <c r="E299" s="16" t="s">
        <v>197</v>
      </c>
      <c r="F299" s="13"/>
    </row>
    <row r="300" spans="1:6" ht="34.5" customHeight="1">
      <c r="A300" s="13">
        <v>297</v>
      </c>
      <c r="B300" s="14" t="str">
        <f>"60252023122109452437503"</f>
        <v>60252023122109452437503</v>
      </c>
      <c r="C300" s="15" t="str">
        <f>"周芳妮"</f>
        <v>周芳妮</v>
      </c>
      <c r="D300" s="15" t="str">
        <f t="shared" si="12"/>
        <v>女</v>
      </c>
      <c r="E300" s="16" t="s">
        <v>240</v>
      </c>
      <c r="F300" s="13"/>
    </row>
    <row r="301" spans="1:6" ht="34.5" customHeight="1">
      <c r="A301" s="13">
        <v>298</v>
      </c>
      <c r="B301" s="14" t="str">
        <f>"60252023122517383442764"</f>
        <v>60252023122517383442764</v>
      </c>
      <c r="C301" s="15" t="str">
        <f>"刘霄丽"</f>
        <v>刘霄丽</v>
      </c>
      <c r="D301" s="15" t="str">
        <f t="shared" si="12"/>
        <v>女</v>
      </c>
      <c r="E301" s="16" t="s">
        <v>241</v>
      </c>
      <c r="F301" s="13"/>
    </row>
    <row r="302" spans="1:6" ht="34.5" customHeight="1">
      <c r="A302" s="13">
        <v>299</v>
      </c>
      <c r="B302" s="14" t="str">
        <f>"60252023122515540142567"</f>
        <v>60252023122515540142567</v>
      </c>
      <c r="C302" s="15" t="str">
        <f>"张琴"</f>
        <v>张琴</v>
      </c>
      <c r="D302" s="15" t="str">
        <f t="shared" si="12"/>
        <v>女</v>
      </c>
      <c r="E302" s="16" t="s">
        <v>176</v>
      </c>
      <c r="F302" s="13"/>
    </row>
    <row r="303" spans="1:6" ht="34.5" customHeight="1">
      <c r="A303" s="13">
        <v>300</v>
      </c>
      <c r="B303" s="14" t="str">
        <f>"60252023122517343342755"</f>
        <v>60252023122517343342755</v>
      </c>
      <c r="C303" s="15" t="str">
        <f>"张梦莲"</f>
        <v>张梦莲</v>
      </c>
      <c r="D303" s="15" t="str">
        <f t="shared" si="12"/>
        <v>女</v>
      </c>
      <c r="E303" s="16" t="s">
        <v>71</v>
      </c>
      <c r="F303" s="13"/>
    </row>
    <row r="304" spans="1:6" ht="34.5" customHeight="1">
      <c r="A304" s="13">
        <v>301</v>
      </c>
      <c r="B304" s="14" t="str">
        <f>"60252023122518161742819"</f>
        <v>60252023122518161742819</v>
      </c>
      <c r="C304" s="15" t="str">
        <f>"陈燕燕"</f>
        <v>陈燕燕</v>
      </c>
      <c r="D304" s="15" t="str">
        <f t="shared" si="12"/>
        <v>女</v>
      </c>
      <c r="E304" s="16" t="s">
        <v>242</v>
      </c>
      <c r="F304" s="13"/>
    </row>
    <row r="305" spans="1:6" ht="34.5" customHeight="1">
      <c r="A305" s="13">
        <v>302</v>
      </c>
      <c r="B305" s="14" t="str">
        <f>"60252023122518005942795"</f>
        <v>60252023122518005942795</v>
      </c>
      <c r="C305" s="15" t="str">
        <f>"邢贞洁"</f>
        <v>邢贞洁</v>
      </c>
      <c r="D305" s="15" t="str">
        <f t="shared" si="12"/>
        <v>女</v>
      </c>
      <c r="E305" s="16" t="s">
        <v>243</v>
      </c>
      <c r="F305" s="13"/>
    </row>
    <row r="306" spans="1:6" ht="34.5" customHeight="1">
      <c r="A306" s="13">
        <v>303</v>
      </c>
      <c r="B306" s="14" t="str">
        <f>"60252023122314581539854"</f>
        <v>60252023122314581539854</v>
      </c>
      <c r="C306" s="15" t="str">
        <f>"马莹莹"</f>
        <v>马莹莹</v>
      </c>
      <c r="D306" s="15" t="str">
        <f t="shared" si="12"/>
        <v>女</v>
      </c>
      <c r="E306" s="16" t="s">
        <v>192</v>
      </c>
      <c r="F306" s="13"/>
    </row>
    <row r="307" spans="1:6" ht="34.5" customHeight="1">
      <c r="A307" s="13">
        <v>304</v>
      </c>
      <c r="B307" s="14" t="str">
        <f>"60252023122510363241888"</f>
        <v>60252023122510363241888</v>
      </c>
      <c r="C307" s="15" t="str">
        <f>"何语柔"</f>
        <v>何语柔</v>
      </c>
      <c r="D307" s="15" t="str">
        <f t="shared" si="12"/>
        <v>女</v>
      </c>
      <c r="E307" s="16" t="s">
        <v>244</v>
      </c>
      <c r="F307" s="13"/>
    </row>
    <row r="308" spans="1:6" ht="34.5" customHeight="1">
      <c r="A308" s="13">
        <v>305</v>
      </c>
      <c r="B308" s="14" t="str">
        <f>"60252023122520485943029"</f>
        <v>60252023122520485943029</v>
      </c>
      <c r="C308" s="15" t="str">
        <f>"王玉娇"</f>
        <v>王玉娇</v>
      </c>
      <c r="D308" s="15" t="str">
        <f t="shared" si="12"/>
        <v>女</v>
      </c>
      <c r="E308" s="16" t="s">
        <v>206</v>
      </c>
      <c r="F308" s="13"/>
    </row>
    <row r="309" spans="1:6" ht="34.5" customHeight="1">
      <c r="A309" s="13">
        <v>306</v>
      </c>
      <c r="B309" s="14" t="str">
        <f>"60252023122112132137655"</f>
        <v>60252023122112132137655</v>
      </c>
      <c r="C309" s="15" t="str">
        <f>"韦全和"</f>
        <v>韦全和</v>
      </c>
      <c r="D309" s="15" t="str">
        <f t="shared" si="12"/>
        <v>女</v>
      </c>
      <c r="E309" s="16" t="s">
        <v>216</v>
      </c>
      <c r="F309" s="13"/>
    </row>
    <row r="310" spans="1:6" ht="34.5" customHeight="1">
      <c r="A310" s="13">
        <v>307</v>
      </c>
      <c r="B310" s="14" t="str">
        <f>"60252023122521191843092"</f>
        <v>60252023122521191843092</v>
      </c>
      <c r="C310" s="15" t="str">
        <f>"王婵茜"</f>
        <v>王婵茜</v>
      </c>
      <c r="D310" s="15" t="str">
        <f t="shared" si="12"/>
        <v>女</v>
      </c>
      <c r="E310" s="16" t="s">
        <v>94</v>
      </c>
      <c r="F310" s="13"/>
    </row>
    <row r="311" spans="1:6" ht="34.5" customHeight="1">
      <c r="A311" s="13">
        <v>308</v>
      </c>
      <c r="B311" s="14" t="str">
        <f>"60252023122014341936438"</f>
        <v>60252023122014341936438</v>
      </c>
      <c r="C311" s="15" t="str">
        <f>"李玉菊"</f>
        <v>李玉菊</v>
      </c>
      <c r="D311" s="15" t="str">
        <f t="shared" si="12"/>
        <v>女</v>
      </c>
      <c r="E311" s="16" t="s">
        <v>151</v>
      </c>
      <c r="F311" s="13"/>
    </row>
    <row r="312" spans="1:6" ht="34.5" customHeight="1">
      <c r="A312" s="13">
        <v>309</v>
      </c>
      <c r="B312" s="14" t="str">
        <f>"60252023122521154443084"</f>
        <v>60252023122521154443084</v>
      </c>
      <c r="C312" s="15" t="str">
        <f>"吉唐君"</f>
        <v>吉唐君</v>
      </c>
      <c r="D312" s="15" t="str">
        <f>"男"</f>
        <v>男</v>
      </c>
      <c r="E312" s="16" t="s">
        <v>245</v>
      </c>
      <c r="F312" s="13"/>
    </row>
    <row r="313" spans="1:6" ht="34.5" customHeight="1">
      <c r="A313" s="13">
        <v>310</v>
      </c>
      <c r="B313" s="14" t="str">
        <f>"60252023122218251438450"</f>
        <v>60252023122218251438450</v>
      </c>
      <c r="C313" s="15" t="str">
        <f>"钟靖"</f>
        <v>钟靖</v>
      </c>
      <c r="D313" s="15" t="str">
        <f aca="true" t="shared" si="13" ref="D313:D328">"女"</f>
        <v>女</v>
      </c>
      <c r="E313" s="16" t="s">
        <v>111</v>
      </c>
      <c r="F313" s="13"/>
    </row>
    <row r="314" spans="1:6" ht="34.5" customHeight="1">
      <c r="A314" s="13">
        <v>311</v>
      </c>
      <c r="B314" s="14" t="str">
        <f>"60252023122522011343165"</f>
        <v>60252023122522011343165</v>
      </c>
      <c r="C314" s="15" t="str">
        <f>"李小瑜"</f>
        <v>李小瑜</v>
      </c>
      <c r="D314" s="15" t="str">
        <f t="shared" si="13"/>
        <v>女</v>
      </c>
      <c r="E314" s="16" t="s">
        <v>246</v>
      </c>
      <c r="F314" s="13"/>
    </row>
    <row r="315" spans="1:6" ht="34.5" customHeight="1">
      <c r="A315" s="13">
        <v>312</v>
      </c>
      <c r="B315" s="14" t="str">
        <f>"60252023122523394243271"</f>
        <v>60252023122523394243271</v>
      </c>
      <c r="C315" s="15" t="str">
        <f>"杨兰玉"</f>
        <v>杨兰玉</v>
      </c>
      <c r="D315" s="15" t="str">
        <f t="shared" si="13"/>
        <v>女</v>
      </c>
      <c r="E315" s="16" t="s">
        <v>169</v>
      </c>
      <c r="F315" s="13"/>
    </row>
    <row r="316" spans="1:6" ht="34.5" customHeight="1">
      <c r="A316" s="13">
        <v>313</v>
      </c>
      <c r="B316" s="14" t="str">
        <f>"60252023121816381127746"</f>
        <v>60252023121816381127746</v>
      </c>
      <c r="C316" s="15" t="str">
        <f>"王俏婷"</f>
        <v>王俏婷</v>
      </c>
      <c r="D316" s="15" t="str">
        <f t="shared" si="13"/>
        <v>女</v>
      </c>
      <c r="E316" s="16" t="s">
        <v>247</v>
      </c>
      <c r="F316" s="13"/>
    </row>
    <row r="317" spans="1:6" ht="34.5" customHeight="1">
      <c r="A317" s="13">
        <v>314</v>
      </c>
      <c r="B317" s="14" t="str">
        <f>"60252023122523470343275"</f>
        <v>60252023122523470343275</v>
      </c>
      <c r="C317" s="15" t="str">
        <f>"黄美蓬"</f>
        <v>黄美蓬</v>
      </c>
      <c r="D317" s="15" t="str">
        <f t="shared" si="13"/>
        <v>女</v>
      </c>
      <c r="E317" s="16" t="s">
        <v>169</v>
      </c>
      <c r="F317" s="13"/>
    </row>
    <row r="318" spans="1:6" ht="34.5" customHeight="1">
      <c r="A318" s="13">
        <v>315</v>
      </c>
      <c r="B318" s="14" t="str">
        <f>"60252023122608240043330"</f>
        <v>60252023122608240043330</v>
      </c>
      <c r="C318" s="15" t="str">
        <f>"曾琳丽"</f>
        <v>曾琳丽</v>
      </c>
      <c r="D318" s="15" t="str">
        <f t="shared" si="13"/>
        <v>女</v>
      </c>
      <c r="E318" s="16" t="s">
        <v>248</v>
      </c>
      <c r="F318" s="13"/>
    </row>
    <row r="319" spans="1:6" ht="34.5" customHeight="1">
      <c r="A319" s="13">
        <v>316</v>
      </c>
      <c r="B319" s="14" t="str">
        <f>"60252023122610030643487"</f>
        <v>60252023122610030643487</v>
      </c>
      <c r="C319" s="15" t="str">
        <f>"李菲菲"</f>
        <v>李菲菲</v>
      </c>
      <c r="D319" s="15" t="str">
        <f t="shared" si="13"/>
        <v>女</v>
      </c>
      <c r="E319" s="16" t="s">
        <v>119</v>
      </c>
      <c r="F319" s="13"/>
    </row>
    <row r="320" spans="1:6" ht="34.5" customHeight="1">
      <c r="A320" s="13">
        <v>317</v>
      </c>
      <c r="B320" s="14" t="str">
        <f>"60252023122520134042974"</f>
        <v>60252023122520134042974</v>
      </c>
      <c r="C320" s="15" t="str">
        <f>"王晶晶"</f>
        <v>王晶晶</v>
      </c>
      <c r="D320" s="15" t="str">
        <f t="shared" si="13"/>
        <v>女</v>
      </c>
      <c r="E320" s="16" t="s">
        <v>249</v>
      </c>
      <c r="F320" s="13"/>
    </row>
    <row r="321" spans="1:6" ht="34.5" customHeight="1">
      <c r="A321" s="13">
        <v>318</v>
      </c>
      <c r="B321" s="14" t="str">
        <f>"60252023122610313143558"</f>
        <v>60252023122610313143558</v>
      </c>
      <c r="C321" s="15" t="str">
        <f>"邢银河"</f>
        <v>邢银河</v>
      </c>
      <c r="D321" s="15" t="str">
        <f t="shared" si="13"/>
        <v>女</v>
      </c>
      <c r="E321" s="16" t="s">
        <v>250</v>
      </c>
      <c r="F321" s="13"/>
    </row>
    <row r="322" spans="1:6" ht="34.5" customHeight="1">
      <c r="A322" s="13">
        <v>319</v>
      </c>
      <c r="B322" s="14" t="str">
        <f>"60252023122522111243187"</f>
        <v>60252023122522111243187</v>
      </c>
      <c r="C322" s="15" t="str">
        <f>"何韵"</f>
        <v>何韵</v>
      </c>
      <c r="D322" s="15" t="str">
        <f t="shared" si="13"/>
        <v>女</v>
      </c>
      <c r="E322" s="16" t="s">
        <v>51</v>
      </c>
      <c r="F322" s="13"/>
    </row>
    <row r="323" spans="1:6" ht="34.5" customHeight="1">
      <c r="A323" s="13">
        <v>320</v>
      </c>
      <c r="B323" s="14" t="str">
        <f>"60252023122611571343728"</f>
        <v>60252023122611571343728</v>
      </c>
      <c r="C323" s="15" t="str">
        <f>"苏利琳"</f>
        <v>苏利琳</v>
      </c>
      <c r="D323" s="15" t="str">
        <f t="shared" si="13"/>
        <v>女</v>
      </c>
      <c r="E323" s="16" t="s">
        <v>251</v>
      </c>
      <c r="F323" s="13"/>
    </row>
    <row r="324" spans="1:6" ht="34.5" customHeight="1">
      <c r="A324" s="13">
        <v>321</v>
      </c>
      <c r="B324" s="14" t="str">
        <f>"60252023122409031340660"</f>
        <v>60252023122409031340660</v>
      </c>
      <c r="C324" s="15" t="str">
        <f>"王赞"</f>
        <v>王赞</v>
      </c>
      <c r="D324" s="15" t="str">
        <f t="shared" si="13"/>
        <v>女</v>
      </c>
      <c r="E324" s="16" t="s">
        <v>252</v>
      </c>
      <c r="F324" s="13"/>
    </row>
    <row r="325" spans="1:6" ht="34.5" customHeight="1">
      <c r="A325" s="13">
        <v>322</v>
      </c>
      <c r="B325" s="14" t="str">
        <f>"60252023121815500427425"</f>
        <v>60252023121815500427425</v>
      </c>
      <c r="C325" s="15" t="str">
        <f>"陈丽霞"</f>
        <v>陈丽霞</v>
      </c>
      <c r="D325" s="15" t="str">
        <f t="shared" si="13"/>
        <v>女</v>
      </c>
      <c r="E325" s="16" t="s">
        <v>95</v>
      </c>
      <c r="F325" s="13"/>
    </row>
    <row r="326" spans="1:6" ht="34.5" customHeight="1">
      <c r="A326" s="13">
        <v>323</v>
      </c>
      <c r="B326" s="14" t="str">
        <f>"60252023122613064043846"</f>
        <v>60252023122613064043846</v>
      </c>
      <c r="C326" s="15" t="str">
        <f>"杨钰妹"</f>
        <v>杨钰妹</v>
      </c>
      <c r="D326" s="15" t="str">
        <f t="shared" si="13"/>
        <v>女</v>
      </c>
      <c r="E326" s="16" t="s">
        <v>144</v>
      </c>
      <c r="F326" s="13"/>
    </row>
    <row r="327" spans="1:6" ht="34.5" customHeight="1">
      <c r="A327" s="13">
        <v>324</v>
      </c>
      <c r="B327" s="14" t="str">
        <f>"60252023122613552243916"</f>
        <v>60252023122613552243916</v>
      </c>
      <c r="C327" s="15" t="str">
        <f>"盘梅惠"</f>
        <v>盘梅惠</v>
      </c>
      <c r="D327" s="15" t="str">
        <f t="shared" si="13"/>
        <v>女</v>
      </c>
      <c r="E327" s="16" t="s">
        <v>108</v>
      </c>
      <c r="F327" s="13"/>
    </row>
    <row r="328" spans="1:6" ht="34.5" customHeight="1">
      <c r="A328" s="13">
        <v>325</v>
      </c>
      <c r="B328" s="14" t="str">
        <f>"60252023121814420926876"</f>
        <v>60252023121814420926876</v>
      </c>
      <c r="C328" s="15" t="str">
        <f>"卢军柳"</f>
        <v>卢军柳</v>
      </c>
      <c r="D328" s="15" t="str">
        <f t="shared" si="13"/>
        <v>女</v>
      </c>
      <c r="E328" s="16" t="s">
        <v>253</v>
      </c>
      <c r="F328" s="13"/>
    </row>
    <row r="329" spans="1:6" ht="34.5" customHeight="1">
      <c r="A329" s="13">
        <v>326</v>
      </c>
      <c r="B329" s="14" t="str">
        <f>"60252023122519313542903"</f>
        <v>60252023122519313542903</v>
      </c>
      <c r="C329" s="15" t="str">
        <f>"梁赞甲"</f>
        <v>梁赞甲</v>
      </c>
      <c r="D329" s="15" t="str">
        <f>"男"</f>
        <v>男</v>
      </c>
      <c r="E329" s="16" t="s">
        <v>254</v>
      </c>
      <c r="F329" s="13"/>
    </row>
    <row r="330" spans="1:6" ht="34.5" customHeight="1">
      <c r="A330" s="13">
        <v>327</v>
      </c>
      <c r="B330" s="14" t="str">
        <f>"60252023122600151243291"</f>
        <v>60252023122600151243291</v>
      </c>
      <c r="C330" s="15" t="str">
        <f>"盆惠华"</f>
        <v>盆惠华</v>
      </c>
      <c r="D330" s="15" t="str">
        <f aca="true" t="shared" si="14" ref="D330:D341">"女"</f>
        <v>女</v>
      </c>
      <c r="E330" s="16" t="s">
        <v>255</v>
      </c>
      <c r="F330" s="13"/>
    </row>
    <row r="331" spans="1:6" ht="34.5" customHeight="1">
      <c r="A331" s="13">
        <v>328</v>
      </c>
      <c r="B331" s="14" t="str">
        <f>"60252023122615404344113"</f>
        <v>60252023122615404344113</v>
      </c>
      <c r="C331" s="15" t="str">
        <f>"刘静儿"</f>
        <v>刘静儿</v>
      </c>
      <c r="D331" s="15" t="str">
        <f t="shared" si="14"/>
        <v>女</v>
      </c>
      <c r="E331" s="16" t="s">
        <v>256</v>
      </c>
      <c r="F331" s="13"/>
    </row>
    <row r="332" spans="1:6" ht="34.5" customHeight="1">
      <c r="A332" s="13">
        <v>329</v>
      </c>
      <c r="B332" s="14" t="str">
        <f>"60252023122615535744148"</f>
        <v>60252023122615535744148</v>
      </c>
      <c r="C332" s="15" t="str">
        <f>"罗茜"</f>
        <v>罗茜</v>
      </c>
      <c r="D332" s="15" t="str">
        <f t="shared" si="14"/>
        <v>女</v>
      </c>
      <c r="E332" s="16" t="s">
        <v>257</v>
      </c>
      <c r="F332" s="13"/>
    </row>
    <row r="333" spans="1:6" ht="34.5" customHeight="1">
      <c r="A333" s="13">
        <v>330</v>
      </c>
      <c r="B333" s="14" t="str">
        <f>"60252023122614563544023"</f>
        <v>60252023122614563544023</v>
      </c>
      <c r="C333" s="15" t="str">
        <f>"李花嫒"</f>
        <v>李花嫒</v>
      </c>
      <c r="D333" s="15" t="str">
        <f t="shared" si="14"/>
        <v>女</v>
      </c>
      <c r="E333" s="16" t="s">
        <v>118</v>
      </c>
      <c r="F333" s="13"/>
    </row>
    <row r="334" spans="1:6" ht="34.5" customHeight="1">
      <c r="A334" s="13">
        <v>331</v>
      </c>
      <c r="B334" s="14" t="str">
        <f>"60252023122611510643716"</f>
        <v>60252023122611510643716</v>
      </c>
      <c r="C334" s="15" t="str">
        <f>"关义玲"</f>
        <v>关义玲</v>
      </c>
      <c r="D334" s="15" t="str">
        <f t="shared" si="14"/>
        <v>女</v>
      </c>
      <c r="E334" s="16" t="s">
        <v>175</v>
      </c>
      <c r="F334" s="13"/>
    </row>
    <row r="335" spans="1:6" ht="34.5" customHeight="1">
      <c r="A335" s="13">
        <v>332</v>
      </c>
      <c r="B335" s="14" t="str">
        <f>"60252023122616311144201"</f>
        <v>60252023122616311144201</v>
      </c>
      <c r="C335" s="15" t="str">
        <f>"郑秋妹"</f>
        <v>郑秋妹</v>
      </c>
      <c r="D335" s="15" t="str">
        <f t="shared" si="14"/>
        <v>女</v>
      </c>
      <c r="E335" s="16" t="s">
        <v>82</v>
      </c>
      <c r="F335" s="13"/>
    </row>
    <row r="336" spans="1:6" ht="34.5" customHeight="1">
      <c r="A336" s="13">
        <v>333</v>
      </c>
      <c r="B336" s="14" t="str">
        <f>"60252023122521103743076"</f>
        <v>60252023122521103743076</v>
      </c>
      <c r="C336" s="15" t="str">
        <f>"王丹"</f>
        <v>王丹</v>
      </c>
      <c r="D336" s="15" t="str">
        <f t="shared" si="14"/>
        <v>女</v>
      </c>
      <c r="E336" s="16" t="s">
        <v>255</v>
      </c>
      <c r="F336" s="18"/>
    </row>
    <row r="337" spans="1:6" ht="34.5" customHeight="1">
      <c r="A337" s="13">
        <v>334</v>
      </c>
      <c r="B337" s="14" t="str">
        <f>"60252023122523294743262"</f>
        <v>60252023122523294743262</v>
      </c>
      <c r="C337" s="15" t="str">
        <f>"蒙日露"</f>
        <v>蒙日露</v>
      </c>
      <c r="D337" s="15" t="str">
        <f t="shared" si="14"/>
        <v>女</v>
      </c>
      <c r="E337" s="16" t="s">
        <v>246</v>
      </c>
      <c r="F337" s="13"/>
    </row>
    <row r="338" spans="1:6" ht="34.5" customHeight="1">
      <c r="A338" s="13">
        <v>335</v>
      </c>
      <c r="B338" s="14" t="str">
        <f>"60252023122618313844342"</f>
        <v>60252023122618313844342</v>
      </c>
      <c r="C338" s="15" t="str">
        <f>"陈汇敏"</f>
        <v>陈汇敏</v>
      </c>
      <c r="D338" s="15" t="str">
        <f t="shared" si="14"/>
        <v>女</v>
      </c>
      <c r="E338" s="16" t="s">
        <v>258</v>
      </c>
      <c r="F338" s="13"/>
    </row>
    <row r="339" spans="1:6" ht="34.5" customHeight="1">
      <c r="A339" s="13">
        <v>336</v>
      </c>
      <c r="B339" s="14" t="str">
        <f>"60252023122617420944295"</f>
        <v>60252023122617420944295</v>
      </c>
      <c r="C339" s="15" t="str">
        <f>"林玉"</f>
        <v>林玉</v>
      </c>
      <c r="D339" s="15" t="str">
        <f t="shared" si="14"/>
        <v>女</v>
      </c>
      <c r="E339" s="16" t="s">
        <v>200</v>
      </c>
      <c r="F339" s="13"/>
    </row>
    <row r="340" spans="1:6" ht="34.5" customHeight="1">
      <c r="A340" s="13">
        <v>337</v>
      </c>
      <c r="B340" s="14" t="str">
        <f>"60252023121820324728739"</f>
        <v>60252023121820324728739</v>
      </c>
      <c r="C340" s="15" t="str">
        <f>"钟贤璐"</f>
        <v>钟贤璐</v>
      </c>
      <c r="D340" s="15" t="str">
        <f t="shared" si="14"/>
        <v>女</v>
      </c>
      <c r="E340" s="16" t="s">
        <v>259</v>
      </c>
      <c r="F340" s="13"/>
    </row>
    <row r="341" spans="1:6" ht="34.5" customHeight="1">
      <c r="A341" s="13">
        <v>338</v>
      </c>
      <c r="B341" s="14" t="str">
        <f>"60252023122521474143141"</f>
        <v>60252023122521474143141</v>
      </c>
      <c r="C341" s="15" t="str">
        <f>"陈晶晶"</f>
        <v>陈晶晶</v>
      </c>
      <c r="D341" s="15" t="str">
        <f t="shared" si="14"/>
        <v>女</v>
      </c>
      <c r="E341" s="16" t="s">
        <v>106</v>
      </c>
      <c r="F341" s="13"/>
    </row>
    <row r="342" spans="1:6" ht="34.5" customHeight="1">
      <c r="A342" s="13">
        <v>339</v>
      </c>
      <c r="B342" s="14" t="str">
        <f>"60252023122409304540676"</f>
        <v>60252023122409304540676</v>
      </c>
      <c r="C342" s="15" t="str">
        <f>"黄泽伟"</f>
        <v>黄泽伟</v>
      </c>
      <c r="D342" s="15" t="str">
        <f>"男"</f>
        <v>男</v>
      </c>
      <c r="E342" s="16" t="s">
        <v>260</v>
      </c>
      <c r="F342" s="13"/>
    </row>
    <row r="343" spans="1:6" ht="34.5" customHeight="1">
      <c r="A343" s="13">
        <v>340</v>
      </c>
      <c r="B343" s="14" t="str">
        <f>"60252023122120424037945"</f>
        <v>60252023122120424037945</v>
      </c>
      <c r="C343" s="15" t="str">
        <f>"王玉芳"</f>
        <v>王玉芳</v>
      </c>
      <c r="D343" s="15" t="str">
        <f aca="true" t="shared" si="15" ref="D343:D390">"女"</f>
        <v>女</v>
      </c>
      <c r="E343" s="16" t="s">
        <v>261</v>
      </c>
      <c r="F343" s="13"/>
    </row>
    <row r="344" spans="1:6" ht="34.5" customHeight="1">
      <c r="A344" s="13">
        <v>341</v>
      </c>
      <c r="B344" s="14" t="str">
        <f>"60252023122315350739919"</f>
        <v>60252023122315350739919</v>
      </c>
      <c r="C344" s="15" t="str">
        <f>"吴维鹏"</f>
        <v>吴维鹏</v>
      </c>
      <c r="D344" s="15" t="str">
        <f t="shared" si="15"/>
        <v>女</v>
      </c>
      <c r="E344" s="16" t="s">
        <v>36</v>
      </c>
      <c r="F344" s="13"/>
    </row>
    <row r="345" spans="1:6" ht="34.5" customHeight="1">
      <c r="A345" s="13">
        <v>342</v>
      </c>
      <c r="B345" s="14" t="str">
        <f>"60252023122620140444452"</f>
        <v>60252023122620140444452</v>
      </c>
      <c r="C345" s="15" t="str">
        <f>"符娜"</f>
        <v>符娜</v>
      </c>
      <c r="D345" s="15" t="str">
        <f t="shared" si="15"/>
        <v>女</v>
      </c>
      <c r="E345" s="16" t="s">
        <v>262</v>
      </c>
      <c r="F345" s="13"/>
    </row>
    <row r="346" spans="1:6" ht="34.5" customHeight="1">
      <c r="A346" s="13">
        <v>343</v>
      </c>
      <c r="B346" s="14" t="str">
        <f>"60252023122621175244537"</f>
        <v>60252023122621175244537</v>
      </c>
      <c r="C346" s="15" t="str">
        <f>"张汉青"</f>
        <v>张汉青</v>
      </c>
      <c r="D346" s="15" t="str">
        <f t="shared" si="15"/>
        <v>女</v>
      </c>
      <c r="E346" s="16" t="s">
        <v>263</v>
      </c>
      <c r="F346" s="13"/>
    </row>
    <row r="347" spans="1:6" ht="34.5" customHeight="1">
      <c r="A347" s="13">
        <v>344</v>
      </c>
      <c r="B347" s="14" t="str">
        <f>"60252023122623042844650"</f>
        <v>60252023122623042844650</v>
      </c>
      <c r="C347" s="15" t="str">
        <f>"符源源"</f>
        <v>符源源</v>
      </c>
      <c r="D347" s="15" t="str">
        <f t="shared" si="15"/>
        <v>女</v>
      </c>
      <c r="E347" s="16" t="s">
        <v>60</v>
      </c>
      <c r="F347" s="13"/>
    </row>
    <row r="348" spans="1:6" ht="34.5" customHeight="1">
      <c r="A348" s="13">
        <v>345</v>
      </c>
      <c r="B348" s="14" t="str">
        <f>"60252023122623215844660"</f>
        <v>60252023122623215844660</v>
      </c>
      <c r="C348" s="15" t="str">
        <f>"褚亚茹"</f>
        <v>褚亚茹</v>
      </c>
      <c r="D348" s="15" t="str">
        <f t="shared" si="15"/>
        <v>女</v>
      </c>
      <c r="E348" s="16" t="s">
        <v>264</v>
      </c>
      <c r="F348" s="13"/>
    </row>
    <row r="349" spans="1:6" ht="34.5" customHeight="1">
      <c r="A349" s="13">
        <v>346</v>
      </c>
      <c r="B349" s="14" t="str">
        <f>"60252023122700104844681"</f>
        <v>60252023122700104844681</v>
      </c>
      <c r="C349" s="15" t="str">
        <f>"符秀娜"</f>
        <v>符秀娜</v>
      </c>
      <c r="D349" s="15" t="str">
        <f t="shared" si="15"/>
        <v>女</v>
      </c>
      <c r="E349" s="16" t="s">
        <v>88</v>
      </c>
      <c r="F349" s="13"/>
    </row>
    <row r="350" spans="1:6" ht="34.5" customHeight="1">
      <c r="A350" s="13">
        <v>347</v>
      </c>
      <c r="B350" s="14" t="str">
        <f>"60252023122708233844727"</f>
        <v>60252023122708233844727</v>
      </c>
      <c r="C350" s="15" t="str">
        <f>"黄巧玉"</f>
        <v>黄巧玉</v>
      </c>
      <c r="D350" s="15" t="str">
        <f t="shared" si="15"/>
        <v>女</v>
      </c>
      <c r="E350" s="16" t="s">
        <v>265</v>
      </c>
      <c r="F350" s="13"/>
    </row>
    <row r="351" spans="1:6" ht="34.5" customHeight="1">
      <c r="A351" s="13">
        <v>348</v>
      </c>
      <c r="B351" s="14" t="str">
        <f>"60252023122709023344764"</f>
        <v>60252023122709023344764</v>
      </c>
      <c r="C351" s="15" t="str">
        <f>"符丽杰"</f>
        <v>符丽杰</v>
      </c>
      <c r="D351" s="15" t="str">
        <f t="shared" si="15"/>
        <v>女</v>
      </c>
      <c r="E351" s="16" t="s">
        <v>58</v>
      </c>
      <c r="F351" s="13"/>
    </row>
    <row r="352" spans="1:6" ht="34.5" customHeight="1">
      <c r="A352" s="13">
        <v>349</v>
      </c>
      <c r="B352" s="14" t="str">
        <f>"60252023122408444640643"</f>
        <v>60252023122408444640643</v>
      </c>
      <c r="C352" s="15" t="str">
        <f>"石桂珍"</f>
        <v>石桂珍</v>
      </c>
      <c r="D352" s="15" t="str">
        <f t="shared" si="15"/>
        <v>女</v>
      </c>
      <c r="E352" s="16" t="s">
        <v>178</v>
      </c>
      <c r="F352" s="13"/>
    </row>
    <row r="353" spans="1:6" ht="34.5" customHeight="1">
      <c r="A353" s="13">
        <v>350</v>
      </c>
      <c r="B353" s="14" t="str">
        <f>"60252023122709200744782"</f>
        <v>60252023122709200744782</v>
      </c>
      <c r="C353" s="15" t="str">
        <f>"洪娇娜"</f>
        <v>洪娇娜</v>
      </c>
      <c r="D353" s="15" t="str">
        <f t="shared" si="15"/>
        <v>女</v>
      </c>
      <c r="E353" s="16" t="s">
        <v>266</v>
      </c>
      <c r="F353" s="13"/>
    </row>
    <row r="354" spans="1:6" ht="34.5" customHeight="1">
      <c r="A354" s="13">
        <v>351</v>
      </c>
      <c r="B354" s="14" t="str">
        <f>"60252023122221562838549"</f>
        <v>60252023122221562838549</v>
      </c>
      <c r="C354" s="15" t="str">
        <f>"符月景"</f>
        <v>符月景</v>
      </c>
      <c r="D354" s="15" t="str">
        <f t="shared" si="15"/>
        <v>女</v>
      </c>
      <c r="E354" s="16" t="s">
        <v>51</v>
      </c>
      <c r="F354" s="13"/>
    </row>
    <row r="355" spans="1:6" ht="34.5" customHeight="1">
      <c r="A355" s="13">
        <v>352</v>
      </c>
      <c r="B355" s="14" t="str">
        <f>"60252023122621435744564"</f>
        <v>60252023122621435744564</v>
      </c>
      <c r="C355" s="15" t="str">
        <f>"梁丽"</f>
        <v>梁丽</v>
      </c>
      <c r="D355" s="15" t="str">
        <f t="shared" si="15"/>
        <v>女</v>
      </c>
      <c r="E355" s="16" t="s">
        <v>145</v>
      </c>
      <c r="F355" s="13"/>
    </row>
    <row r="356" spans="1:6" ht="34.5" customHeight="1">
      <c r="A356" s="13">
        <v>353</v>
      </c>
      <c r="B356" s="14" t="str">
        <f>"60252023122709415044820"</f>
        <v>60252023122709415044820</v>
      </c>
      <c r="C356" s="15" t="str">
        <f>"王霄霜"</f>
        <v>王霄霜</v>
      </c>
      <c r="D356" s="15" t="str">
        <f t="shared" si="15"/>
        <v>女</v>
      </c>
      <c r="E356" s="16" t="s">
        <v>199</v>
      </c>
      <c r="F356" s="13"/>
    </row>
    <row r="357" spans="1:6" ht="34.5" customHeight="1">
      <c r="A357" s="13">
        <v>354</v>
      </c>
      <c r="B357" s="14" t="str">
        <f>"60252023122711220944956"</f>
        <v>60252023122711220944956</v>
      </c>
      <c r="C357" s="15" t="str">
        <f>"符姑妹"</f>
        <v>符姑妹</v>
      </c>
      <c r="D357" s="15" t="str">
        <f t="shared" si="15"/>
        <v>女</v>
      </c>
      <c r="E357" s="16" t="s">
        <v>96</v>
      </c>
      <c r="F357" s="13"/>
    </row>
    <row r="358" spans="1:6" ht="34.5" customHeight="1">
      <c r="A358" s="13">
        <v>355</v>
      </c>
      <c r="B358" s="14" t="str">
        <f>"60252023122711263044964"</f>
        <v>60252023122711263044964</v>
      </c>
      <c r="C358" s="15" t="str">
        <f>"高芳嘉"</f>
        <v>高芳嘉</v>
      </c>
      <c r="D358" s="15" t="str">
        <f t="shared" si="15"/>
        <v>女</v>
      </c>
      <c r="E358" s="16" t="s">
        <v>267</v>
      </c>
      <c r="F358" s="13"/>
    </row>
    <row r="359" spans="1:6" ht="34.5" customHeight="1">
      <c r="A359" s="13">
        <v>356</v>
      </c>
      <c r="B359" s="14" t="str">
        <f>"60252023122711255144962"</f>
        <v>60252023122711255144962</v>
      </c>
      <c r="C359" s="15" t="str">
        <f>"吴松岭"</f>
        <v>吴松岭</v>
      </c>
      <c r="D359" s="15" t="str">
        <f t="shared" si="15"/>
        <v>女</v>
      </c>
      <c r="E359" s="16" t="s">
        <v>268</v>
      </c>
      <c r="F359" s="13"/>
    </row>
    <row r="360" spans="1:6" ht="34.5" customHeight="1">
      <c r="A360" s="13">
        <v>357</v>
      </c>
      <c r="B360" s="14" t="str">
        <f>"60252023122711540644999"</f>
        <v>60252023122711540644999</v>
      </c>
      <c r="C360" s="15" t="str">
        <f>"董美琪"</f>
        <v>董美琪</v>
      </c>
      <c r="D360" s="15" t="str">
        <f t="shared" si="15"/>
        <v>女</v>
      </c>
      <c r="E360" s="16" t="s">
        <v>86</v>
      </c>
      <c r="F360" s="13"/>
    </row>
    <row r="361" spans="1:6" ht="34.5" customHeight="1">
      <c r="A361" s="13">
        <v>358</v>
      </c>
      <c r="B361" s="14" t="str">
        <f>"60252023121810581025527"</f>
        <v>60252023121810581025527</v>
      </c>
      <c r="C361" s="15" t="str">
        <f>"林文英"</f>
        <v>林文英</v>
      </c>
      <c r="D361" s="15" t="str">
        <f t="shared" si="15"/>
        <v>女</v>
      </c>
      <c r="E361" s="16" t="s">
        <v>101</v>
      </c>
      <c r="F361" s="13"/>
    </row>
    <row r="362" spans="1:6" ht="34.5" customHeight="1">
      <c r="A362" s="13">
        <v>359</v>
      </c>
      <c r="B362" s="14" t="str">
        <f>"60252023121812103026082"</f>
        <v>60252023121812103026082</v>
      </c>
      <c r="C362" s="15" t="str">
        <f>"符雪婷"</f>
        <v>符雪婷</v>
      </c>
      <c r="D362" s="15" t="str">
        <f t="shared" si="15"/>
        <v>女</v>
      </c>
      <c r="E362" s="16" t="s">
        <v>269</v>
      </c>
      <c r="F362" s="13"/>
    </row>
    <row r="363" spans="1:6" ht="34.5" customHeight="1">
      <c r="A363" s="13">
        <v>360</v>
      </c>
      <c r="B363" s="14" t="str">
        <f>"60252023121819573028583"</f>
        <v>60252023121819573028583</v>
      </c>
      <c r="C363" s="15" t="str">
        <f>"陈欢"</f>
        <v>陈欢</v>
      </c>
      <c r="D363" s="15" t="str">
        <f t="shared" si="15"/>
        <v>女</v>
      </c>
      <c r="E363" s="16" t="s">
        <v>96</v>
      </c>
      <c r="F363" s="13"/>
    </row>
    <row r="364" spans="1:6" ht="34.5" customHeight="1">
      <c r="A364" s="13">
        <v>361</v>
      </c>
      <c r="B364" s="14" t="str">
        <f>"60252023121819595228594"</f>
        <v>60252023121819595228594</v>
      </c>
      <c r="C364" s="15" t="str">
        <f>"符丽园"</f>
        <v>符丽园</v>
      </c>
      <c r="D364" s="15" t="str">
        <f t="shared" si="15"/>
        <v>女</v>
      </c>
      <c r="E364" s="16" t="s">
        <v>131</v>
      </c>
      <c r="F364" s="13"/>
    </row>
    <row r="365" spans="1:6" ht="34.5" customHeight="1">
      <c r="A365" s="13">
        <v>362</v>
      </c>
      <c r="B365" s="14" t="str">
        <f>"60252023121820223628689"</f>
        <v>60252023121820223628689</v>
      </c>
      <c r="C365" s="15" t="str">
        <f>"陈冬妹"</f>
        <v>陈冬妹</v>
      </c>
      <c r="D365" s="15" t="str">
        <f t="shared" si="15"/>
        <v>女</v>
      </c>
      <c r="E365" s="16" t="s">
        <v>270</v>
      </c>
      <c r="F365" s="13"/>
    </row>
    <row r="366" spans="1:6" ht="34.5" customHeight="1">
      <c r="A366" s="13">
        <v>363</v>
      </c>
      <c r="B366" s="14" t="str">
        <f>"60252023121817094027932"</f>
        <v>60252023121817094027932</v>
      </c>
      <c r="C366" s="15" t="str">
        <f>"陈莹"</f>
        <v>陈莹</v>
      </c>
      <c r="D366" s="15" t="str">
        <f t="shared" si="15"/>
        <v>女</v>
      </c>
      <c r="E366" s="16" t="s">
        <v>271</v>
      </c>
      <c r="F366" s="13"/>
    </row>
    <row r="367" spans="1:6" ht="34.5" customHeight="1">
      <c r="A367" s="13">
        <v>364</v>
      </c>
      <c r="B367" s="14" t="str">
        <f>"60252023121822542829309"</f>
        <v>60252023121822542829309</v>
      </c>
      <c r="C367" s="15" t="str">
        <f>"王雅雨"</f>
        <v>王雅雨</v>
      </c>
      <c r="D367" s="15" t="str">
        <f t="shared" si="15"/>
        <v>女</v>
      </c>
      <c r="E367" s="16" t="s">
        <v>272</v>
      </c>
      <c r="F367" s="13"/>
    </row>
    <row r="368" spans="1:6" ht="34.5" customHeight="1">
      <c r="A368" s="13">
        <v>365</v>
      </c>
      <c r="B368" s="14" t="str">
        <f>"60252023121911160930559"</f>
        <v>60252023121911160930559</v>
      </c>
      <c r="C368" s="15" t="str">
        <f>"吴春燕"</f>
        <v>吴春燕</v>
      </c>
      <c r="D368" s="15" t="str">
        <f t="shared" si="15"/>
        <v>女</v>
      </c>
      <c r="E368" s="16" t="s">
        <v>273</v>
      </c>
      <c r="F368" s="13"/>
    </row>
    <row r="369" spans="1:6" ht="34.5" customHeight="1">
      <c r="A369" s="13">
        <v>366</v>
      </c>
      <c r="B369" s="14" t="str">
        <f>"60252023121816581227869"</f>
        <v>60252023121816581227869</v>
      </c>
      <c r="C369" s="15" t="str">
        <f>"杨畔畔"</f>
        <v>杨畔畔</v>
      </c>
      <c r="D369" s="15" t="str">
        <f t="shared" si="15"/>
        <v>女</v>
      </c>
      <c r="E369" s="16" t="s">
        <v>274</v>
      </c>
      <c r="F369" s="13"/>
    </row>
    <row r="370" spans="1:6" ht="34.5" customHeight="1">
      <c r="A370" s="13">
        <v>367</v>
      </c>
      <c r="B370" s="14" t="str">
        <f>"60252023121916523631985"</f>
        <v>60252023121916523631985</v>
      </c>
      <c r="C370" s="15" t="str">
        <f>"王佳静"</f>
        <v>王佳静</v>
      </c>
      <c r="D370" s="15" t="str">
        <f t="shared" si="15"/>
        <v>女</v>
      </c>
      <c r="E370" s="16" t="s">
        <v>275</v>
      </c>
      <c r="F370" s="13"/>
    </row>
    <row r="371" spans="1:6" ht="34.5" customHeight="1">
      <c r="A371" s="13">
        <v>368</v>
      </c>
      <c r="B371" s="14" t="str">
        <f>"60252023121819032628349"</f>
        <v>60252023121819032628349</v>
      </c>
      <c r="C371" s="15" t="str">
        <f>"冯莲"</f>
        <v>冯莲</v>
      </c>
      <c r="D371" s="15" t="str">
        <f t="shared" si="15"/>
        <v>女</v>
      </c>
      <c r="E371" s="16" t="s">
        <v>276</v>
      </c>
      <c r="F371" s="13"/>
    </row>
    <row r="372" spans="1:6" ht="34.5" customHeight="1">
      <c r="A372" s="13">
        <v>369</v>
      </c>
      <c r="B372" s="14" t="str">
        <f>"60252023121909164929856"</f>
        <v>60252023121909164929856</v>
      </c>
      <c r="C372" s="15" t="str">
        <f>"郑家莲"</f>
        <v>郑家莲</v>
      </c>
      <c r="D372" s="15" t="str">
        <f t="shared" si="15"/>
        <v>女</v>
      </c>
      <c r="E372" s="16" t="s">
        <v>277</v>
      </c>
      <c r="F372" s="13"/>
    </row>
    <row r="373" spans="1:6" ht="34.5" customHeight="1">
      <c r="A373" s="13">
        <v>370</v>
      </c>
      <c r="B373" s="14" t="str">
        <f>"60252023122014503836587"</f>
        <v>60252023122014503836587</v>
      </c>
      <c r="C373" s="15" t="str">
        <f>"邢晓婧"</f>
        <v>邢晓婧</v>
      </c>
      <c r="D373" s="15" t="str">
        <f t="shared" si="15"/>
        <v>女</v>
      </c>
      <c r="E373" s="16" t="s">
        <v>265</v>
      </c>
      <c r="F373" s="13"/>
    </row>
    <row r="374" spans="1:6" ht="34.5" customHeight="1">
      <c r="A374" s="13">
        <v>371</v>
      </c>
      <c r="B374" s="14" t="str">
        <f>"60252023122016581237224"</f>
        <v>60252023122016581237224</v>
      </c>
      <c r="C374" s="15" t="str">
        <f>"羊少梅"</f>
        <v>羊少梅</v>
      </c>
      <c r="D374" s="15" t="str">
        <f t="shared" si="15"/>
        <v>女</v>
      </c>
      <c r="E374" s="16" t="s">
        <v>278</v>
      </c>
      <c r="F374" s="13"/>
    </row>
    <row r="375" spans="1:6" ht="34.5" customHeight="1">
      <c r="A375" s="13">
        <v>372</v>
      </c>
      <c r="B375" s="14" t="str">
        <f>"60252023121921274733302"</f>
        <v>60252023121921274733302</v>
      </c>
      <c r="C375" s="15" t="str">
        <f>"唐永欢"</f>
        <v>唐永欢</v>
      </c>
      <c r="D375" s="15" t="str">
        <f t="shared" si="15"/>
        <v>女</v>
      </c>
      <c r="E375" s="16" t="s">
        <v>279</v>
      </c>
      <c r="F375" s="13"/>
    </row>
    <row r="376" spans="1:6" ht="34.5" customHeight="1">
      <c r="A376" s="13">
        <v>373</v>
      </c>
      <c r="B376" s="14" t="str">
        <f>"60252023121913450431048"</f>
        <v>60252023121913450431048</v>
      </c>
      <c r="C376" s="15" t="str">
        <f>"陈丽茜"</f>
        <v>陈丽茜</v>
      </c>
      <c r="D376" s="15" t="str">
        <f t="shared" si="15"/>
        <v>女</v>
      </c>
      <c r="E376" s="16" t="s">
        <v>118</v>
      </c>
      <c r="F376" s="13"/>
    </row>
    <row r="377" spans="1:6" ht="34.5" customHeight="1">
      <c r="A377" s="13">
        <v>374</v>
      </c>
      <c r="B377" s="14" t="str">
        <f>"60252023122115430237780"</f>
        <v>60252023122115430237780</v>
      </c>
      <c r="C377" s="15" t="str">
        <f>"符玉婷"</f>
        <v>符玉婷</v>
      </c>
      <c r="D377" s="15" t="str">
        <f t="shared" si="15"/>
        <v>女</v>
      </c>
      <c r="E377" s="16" t="s">
        <v>62</v>
      </c>
      <c r="F377" s="13"/>
    </row>
    <row r="378" spans="1:6" ht="34.5" customHeight="1">
      <c r="A378" s="13">
        <v>375</v>
      </c>
      <c r="B378" s="14" t="str">
        <f>"60252023122215573938337"</f>
        <v>60252023122215573938337</v>
      </c>
      <c r="C378" s="15" t="str">
        <f>"王翔雁"</f>
        <v>王翔雁</v>
      </c>
      <c r="D378" s="15" t="str">
        <f t="shared" si="15"/>
        <v>女</v>
      </c>
      <c r="E378" s="16" t="s">
        <v>230</v>
      </c>
      <c r="F378" s="13"/>
    </row>
    <row r="379" spans="1:6" ht="34.5" customHeight="1">
      <c r="A379" s="13">
        <v>376</v>
      </c>
      <c r="B379" s="14" t="str">
        <f>"60252023122216445838380"</f>
        <v>60252023122216445838380</v>
      </c>
      <c r="C379" s="15" t="str">
        <f>"吴春完"</f>
        <v>吴春完</v>
      </c>
      <c r="D379" s="15" t="str">
        <f t="shared" si="15"/>
        <v>女</v>
      </c>
      <c r="E379" s="16" t="s">
        <v>280</v>
      </c>
      <c r="F379" s="13"/>
    </row>
    <row r="380" spans="1:6" ht="34.5" customHeight="1">
      <c r="A380" s="13">
        <v>377</v>
      </c>
      <c r="B380" s="14" t="str">
        <f>"60252023122217013538397"</f>
        <v>60252023122217013538397</v>
      </c>
      <c r="C380" s="15" t="str">
        <f>"赖明薇"</f>
        <v>赖明薇</v>
      </c>
      <c r="D380" s="15" t="str">
        <f t="shared" si="15"/>
        <v>女</v>
      </c>
      <c r="E380" s="16" t="s">
        <v>133</v>
      </c>
      <c r="F380" s="13"/>
    </row>
    <row r="381" spans="1:6" ht="34.5" customHeight="1">
      <c r="A381" s="13">
        <v>378</v>
      </c>
      <c r="B381" s="14" t="str">
        <f>"60252023122013500936128"</f>
        <v>60252023122013500936128</v>
      </c>
      <c r="C381" s="15" t="str">
        <f>"许琼菊"</f>
        <v>许琼菊</v>
      </c>
      <c r="D381" s="15" t="str">
        <f t="shared" si="15"/>
        <v>女</v>
      </c>
      <c r="E381" s="16" t="s">
        <v>151</v>
      </c>
      <c r="F381" s="13"/>
    </row>
    <row r="382" spans="1:6" ht="34.5" customHeight="1">
      <c r="A382" s="13">
        <v>379</v>
      </c>
      <c r="B382" s="14" t="str">
        <f>"60252023122522113643191"</f>
        <v>60252023122522113643191</v>
      </c>
      <c r="C382" s="15" t="str">
        <f>"骆丽花"</f>
        <v>骆丽花</v>
      </c>
      <c r="D382" s="15" t="str">
        <f t="shared" si="15"/>
        <v>女</v>
      </c>
      <c r="E382" s="16" t="s">
        <v>281</v>
      </c>
      <c r="F382" s="13"/>
    </row>
    <row r="383" spans="1:6" ht="34.5" customHeight="1">
      <c r="A383" s="13">
        <v>380</v>
      </c>
      <c r="B383" s="14" t="str">
        <f>"60252023122115320937774"</f>
        <v>60252023122115320937774</v>
      </c>
      <c r="C383" s="15" t="str">
        <f>"王彩花"</f>
        <v>王彩花</v>
      </c>
      <c r="D383" s="15" t="str">
        <f t="shared" si="15"/>
        <v>女</v>
      </c>
      <c r="E383" s="16" t="s">
        <v>205</v>
      </c>
      <c r="F383" s="13"/>
    </row>
    <row r="384" spans="1:6" ht="34.5" customHeight="1">
      <c r="A384" s="13">
        <v>381</v>
      </c>
      <c r="B384" s="14" t="str">
        <f>"60252023122610164843526"</f>
        <v>60252023122610164843526</v>
      </c>
      <c r="C384" s="15" t="str">
        <f>"黄秋丙"</f>
        <v>黄秋丙</v>
      </c>
      <c r="D384" s="15" t="str">
        <f t="shared" si="15"/>
        <v>女</v>
      </c>
      <c r="E384" s="16" t="s">
        <v>86</v>
      </c>
      <c r="F384" s="13"/>
    </row>
    <row r="385" spans="1:6" ht="34.5" customHeight="1">
      <c r="A385" s="13">
        <v>382</v>
      </c>
      <c r="B385" s="14" t="str">
        <f>"60252023122611270343686"</f>
        <v>60252023122611270343686</v>
      </c>
      <c r="C385" s="15" t="str">
        <f>"许秀丽"</f>
        <v>许秀丽</v>
      </c>
      <c r="D385" s="15" t="str">
        <f t="shared" si="15"/>
        <v>女</v>
      </c>
      <c r="E385" s="16" t="s">
        <v>282</v>
      </c>
      <c r="F385" s="13"/>
    </row>
    <row r="386" spans="1:6" ht="34.5" customHeight="1">
      <c r="A386" s="13">
        <v>383</v>
      </c>
      <c r="B386" s="14" t="str">
        <f>"60252023122710280744880"</f>
        <v>60252023122710280744880</v>
      </c>
      <c r="C386" s="15" t="str">
        <f>"王川文"</f>
        <v>王川文</v>
      </c>
      <c r="D386" s="15" t="str">
        <f t="shared" si="15"/>
        <v>女</v>
      </c>
      <c r="E386" s="16" t="s">
        <v>96</v>
      </c>
      <c r="F386" s="13"/>
    </row>
    <row r="387" spans="1:6" ht="34.5" customHeight="1">
      <c r="A387" s="13">
        <v>384</v>
      </c>
      <c r="B387" s="14" t="str">
        <f>"60252023122710022944845"</f>
        <v>60252023122710022944845</v>
      </c>
      <c r="C387" s="15" t="str">
        <f>"劳春华"</f>
        <v>劳春华</v>
      </c>
      <c r="D387" s="15" t="str">
        <f t="shared" si="15"/>
        <v>女</v>
      </c>
      <c r="E387" s="16" t="s">
        <v>283</v>
      </c>
      <c r="F387" s="13"/>
    </row>
    <row r="388" spans="1:6" ht="34.5" customHeight="1">
      <c r="A388" s="13">
        <v>385</v>
      </c>
      <c r="B388" s="14" t="str">
        <f>"60252023122711335744972"</f>
        <v>60252023122711335744972</v>
      </c>
      <c r="C388" s="15" t="str">
        <f>"刘扣要"</f>
        <v>刘扣要</v>
      </c>
      <c r="D388" s="15" t="str">
        <f t="shared" si="15"/>
        <v>女</v>
      </c>
      <c r="E388" s="16" t="s">
        <v>280</v>
      </c>
      <c r="F388" s="13"/>
    </row>
    <row r="389" spans="1:6" ht="34.5" customHeight="1">
      <c r="A389" s="13">
        <v>386</v>
      </c>
      <c r="B389" s="14" t="str">
        <f>"60252023121811382725902"</f>
        <v>60252023121811382725902</v>
      </c>
      <c r="C389" s="15" t="str">
        <f>"孙法羽"</f>
        <v>孙法羽</v>
      </c>
      <c r="D389" s="15" t="str">
        <f t="shared" si="15"/>
        <v>女</v>
      </c>
      <c r="E389" s="16" t="s">
        <v>284</v>
      </c>
      <c r="F389" s="13"/>
    </row>
    <row r="390" spans="1:6" ht="34.5" customHeight="1">
      <c r="A390" s="13">
        <v>387</v>
      </c>
      <c r="B390" s="14" t="str">
        <f>"60252023121817013827885"</f>
        <v>60252023121817013827885</v>
      </c>
      <c r="C390" s="15" t="str">
        <f>"吉雅杉"</f>
        <v>吉雅杉</v>
      </c>
      <c r="D390" s="15" t="str">
        <f t="shared" si="15"/>
        <v>女</v>
      </c>
      <c r="E390" s="16" t="s">
        <v>285</v>
      </c>
      <c r="F390" s="13"/>
    </row>
    <row r="391" spans="1:6" ht="34.5" customHeight="1">
      <c r="A391" s="13">
        <v>388</v>
      </c>
      <c r="B391" s="14" t="str">
        <f>"60252023121818485828299"</f>
        <v>60252023121818485828299</v>
      </c>
      <c r="C391" s="15" t="str">
        <f>"黄星也"</f>
        <v>黄星也</v>
      </c>
      <c r="D391" s="15" t="str">
        <f>"男"</f>
        <v>男</v>
      </c>
      <c r="E391" s="16" t="s">
        <v>173</v>
      </c>
      <c r="F391" s="13"/>
    </row>
    <row r="392" spans="1:6" ht="34.5" customHeight="1">
      <c r="A392" s="13">
        <v>389</v>
      </c>
      <c r="B392" s="14" t="str">
        <f>"60252023121908573629735"</f>
        <v>60252023121908573629735</v>
      </c>
      <c r="C392" s="15" t="str">
        <f>"王枫"</f>
        <v>王枫</v>
      </c>
      <c r="D392" s="15" t="str">
        <f>"女"</f>
        <v>女</v>
      </c>
      <c r="E392" s="16" t="s">
        <v>93</v>
      </c>
      <c r="F392" s="13"/>
    </row>
    <row r="393" spans="1:6" ht="34.5" customHeight="1">
      <c r="A393" s="13">
        <v>390</v>
      </c>
      <c r="B393" s="14" t="str">
        <f>"60252023121908435929655"</f>
        <v>60252023121908435929655</v>
      </c>
      <c r="C393" s="15" t="str">
        <f>"陈保书"</f>
        <v>陈保书</v>
      </c>
      <c r="D393" s="15" t="str">
        <f>"男"</f>
        <v>男</v>
      </c>
      <c r="E393" s="16" t="s">
        <v>286</v>
      </c>
      <c r="F393" s="13"/>
    </row>
    <row r="394" spans="1:6" ht="34.5" customHeight="1">
      <c r="A394" s="13">
        <v>391</v>
      </c>
      <c r="B394" s="14" t="str">
        <f>"60252023121900082329452"</f>
        <v>60252023121900082329452</v>
      </c>
      <c r="C394" s="15" t="str">
        <f>"王慧莹"</f>
        <v>王慧莹</v>
      </c>
      <c r="D394" s="15" t="str">
        <f aca="true" t="shared" si="16" ref="D394:D422">"女"</f>
        <v>女</v>
      </c>
      <c r="E394" s="16" t="s">
        <v>265</v>
      </c>
      <c r="F394" s="13"/>
    </row>
    <row r="395" spans="1:6" ht="34.5" customHeight="1">
      <c r="A395" s="13">
        <v>392</v>
      </c>
      <c r="B395" s="14" t="str">
        <f>"60252023121911374630668"</f>
        <v>60252023121911374630668</v>
      </c>
      <c r="C395" s="15" t="str">
        <f>"黄雅杏"</f>
        <v>黄雅杏</v>
      </c>
      <c r="D395" s="15" t="str">
        <f t="shared" si="16"/>
        <v>女</v>
      </c>
      <c r="E395" s="16" t="s">
        <v>156</v>
      </c>
      <c r="F395" s="13"/>
    </row>
    <row r="396" spans="1:6" ht="34.5" customHeight="1">
      <c r="A396" s="13">
        <v>393</v>
      </c>
      <c r="B396" s="14" t="str">
        <f>"60252023121913030630932"</f>
        <v>60252023121913030630932</v>
      </c>
      <c r="C396" s="15" t="str">
        <f>"吴晓花"</f>
        <v>吴晓花</v>
      </c>
      <c r="D396" s="15" t="str">
        <f t="shared" si="16"/>
        <v>女</v>
      </c>
      <c r="E396" s="16" t="s">
        <v>95</v>
      </c>
      <c r="F396" s="13"/>
    </row>
    <row r="397" spans="1:6" ht="34.5" customHeight="1">
      <c r="A397" s="13">
        <v>394</v>
      </c>
      <c r="B397" s="14" t="str">
        <f>"60252023121920431433034"</f>
        <v>60252023121920431433034</v>
      </c>
      <c r="C397" s="15" t="str">
        <f>"温春梅"</f>
        <v>温春梅</v>
      </c>
      <c r="D397" s="15" t="str">
        <f t="shared" si="16"/>
        <v>女</v>
      </c>
      <c r="E397" s="16" t="s">
        <v>287</v>
      </c>
      <c r="F397" s="13"/>
    </row>
    <row r="398" spans="1:6" ht="34.5" customHeight="1">
      <c r="A398" s="13">
        <v>395</v>
      </c>
      <c r="B398" s="14" t="str">
        <f>"60252023121909260729920"</f>
        <v>60252023121909260729920</v>
      </c>
      <c r="C398" s="15" t="str">
        <f>"王冰"</f>
        <v>王冰</v>
      </c>
      <c r="D398" s="15" t="str">
        <f t="shared" si="16"/>
        <v>女</v>
      </c>
      <c r="E398" s="16" t="s">
        <v>199</v>
      </c>
      <c r="F398" s="13"/>
    </row>
    <row r="399" spans="1:6" ht="34.5" customHeight="1">
      <c r="A399" s="13">
        <v>396</v>
      </c>
      <c r="B399" s="14" t="str">
        <f>"60252023121818164628195"</f>
        <v>60252023121818164628195</v>
      </c>
      <c r="C399" s="15" t="str">
        <f>"王雅迪"</f>
        <v>王雅迪</v>
      </c>
      <c r="D399" s="15" t="str">
        <f t="shared" si="16"/>
        <v>女</v>
      </c>
      <c r="E399" s="16" t="s">
        <v>288</v>
      </c>
      <c r="F399" s="13"/>
    </row>
    <row r="400" spans="1:6" ht="34.5" customHeight="1">
      <c r="A400" s="13">
        <v>397</v>
      </c>
      <c r="B400" s="14" t="str">
        <f>"60252023121913070530941"</f>
        <v>60252023121913070530941</v>
      </c>
      <c r="C400" s="15" t="str">
        <f>"何荷花"</f>
        <v>何荷花</v>
      </c>
      <c r="D400" s="15" t="str">
        <f t="shared" si="16"/>
        <v>女</v>
      </c>
      <c r="E400" s="16" t="s">
        <v>289</v>
      </c>
      <c r="F400" s="13"/>
    </row>
    <row r="401" spans="1:6" ht="34.5" customHeight="1">
      <c r="A401" s="13">
        <v>398</v>
      </c>
      <c r="B401" s="14" t="str">
        <f>"60252023121923514033956"</f>
        <v>60252023121923514033956</v>
      </c>
      <c r="C401" s="15" t="str">
        <f>"卢义芬"</f>
        <v>卢义芬</v>
      </c>
      <c r="D401" s="15" t="str">
        <f t="shared" si="16"/>
        <v>女</v>
      </c>
      <c r="E401" s="16" t="s">
        <v>115</v>
      </c>
      <c r="F401" s="13"/>
    </row>
    <row r="402" spans="1:6" ht="34.5" customHeight="1">
      <c r="A402" s="13">
        <v>399</v>
      </c>
      <c r="B402" s="14" t="str">
        <f>"60252023122018401337312"</f>
        <v>60252023122018401337312</v>
      </c>
      <c r="C402" s="15" t="str">
        <f>"邢火云"</f>
        <v>邢火云</v>
      </c>
      <c r="D402" s="15" t="str">
        <f t="shared" si="16"/>
        <v>女</v>
      </c>
      <c r="E402" s="16" t="s">
        <v>118</v>
      </c>
      <c r="F402" s="13"/>
    </row>
    <row r="403" spans="1:6" ht="34.5" customHeight="1">
      <c r="A403" s="13">
        <v>400</v>
      </c>
      <c r="B403" s="14" t="str">
        <f>"60252023122016591937225"</f>
        <v>60252023122016591937225</v>
      </c>
      <c r="C403" s="15" t="str">
        <f>"高书雪"</f>
        <v>高书雪</v>
      </c>
      <c r="D403" s="15" t="str">
        <f t="shared" si="16"/>
        <v>女</v>
      </c>
      <c r="E403" s="16" t="s">
        <v>226</v>
      </c>
      <c r="F403" s="13"/>
    </row>
    <row r="404" spans="1:6" ht="34.5" customHeight="1">
      <c r="A404" s="13">
        <v>401</v>
      </c>
      <c r="B404" s="14" t="str">
        <f>"60252023122018250237306"</f>
        <v>60252023122018250237306</v>
      </c>
      <c r="C404" s="15" t="str">
        <f>"林妮星"</f>
        <v>林妮星</v>
      </c>
      <c r="D404" s="15" t="str">
        <f t="shared" si="16"/>
        <v>女</v>
      </c>
      <c r="E404" s="16" t="s">
        <v>273</v>
      </c>
      <c r="F404" s="13"/>
    </row>
    <row r="405" spans="1:6" ht="34.5" customHeight="1">
      <c r="A405" s="13">
        <v>402</v>
      </c>
      <c r="B405" s="14" t="str">
        <f>"60252023122019325237331"</f>
        <v>60252023122019325237331</v>
      </c>
      <c r="C405" s="15" t="str">
        <f>"黄雯草"</f>
        <v>黄雯草</v>
      </c>
      <c r="D405" s="15" t="str">
        <f t="shared" si="16"/>
        <v>女</v>
      </c>
      <c r="E405" s="16" t="s">
        <v>67</v>
      </c>
      <c r="F405" s="13"/>
    </row>
    <row r="406" spans="1:6" ht="34.5" customHeight="1">
      <c r="A406" s="13">
        <v>403</v>
      </c>
      <c r="B406" s="14" t="str">
        <f>"60252023122109092737474"</f>
        <v>60252023122109092737474</v>
      </c>
      <c r="C406" s="15" t="str">
        <f>"符竹花"</f>
        <v>符竹花</v>
      </c>
      <c r="D406" s="15" t="str">
        <f t="shared" si="16"/>
        <v>女</v>
      </c>
      <c r="E406" s="16" t="s">
        <v>290</v>
      </c>
      <c r="F406" s="13"/>
    </row>
    <row r="407" spans="1:6" ht="34.5" customHeight="1">
      <c r="A407" s="13">
        <v>404</v>
      </c>
      <c r="B407" s="14" t="str">
        <f>"60252023122110432837582"</f>
        <v>60252023122110432837582</v>
      </c>
      <c r="C407" s="15" t="str">
        <f>"王祖艺"</f>
        <v>王祖艺</v>
      </c>
      <c r="D407" s="15" t="str">
        <f t="shared" si="16"/>
        <v>女</v>
      </c>
      <c r="E407" s="16" t="s">
        <v>159</v>
      </c>
      <c r="F407" s="13"/>
    </row>
    <row r="408" spans="1:6" ht="34.5" customHeight="1">
      <c r="A408" s="13">
        <v>405</v>
      </c>
      <c r="B408" s="14" t="str">
        <f>"60252023122117441137873"</f>
        <v>60252023122117441137873</v>
      </c>
      <c r="C408" s="15" t="str">
        <f>"林昌芸"</f>
        <v>林昌芸</v>
      </c>
      <c r="D408" s="15" t="str">
        <f t="shared" si="16"/>
        <v>女</v>
      </c>
      <c r="E408" s="16" t="s">
        <v>197</v>
      </c>
      <c r="F408" s="13"/>
    </row>
    <row r="409" spans="1:6" ht="34.5" customHeight="1">
      <c r="A409" s="13">
        <v>406</v>
      </c>
      <c r="B409" s="14" t="str">
        <f>"60252023122118331537893"</f>
        <v>60252023122118331537893</v>
      </c>
      <c r="C409" s="15" t="str">
        <f>"朱娇花"</f>
        <v>朱娇花</v>
      </c>
      <c r="D409" s="15" t="str">
        <f t="shared" si="16"/>
        <v>女</v>
      </c>
      <c r="E409" s="16" t="s">
        <v>150</v>
      </c>
      <c r="F409" s="13"/>
    </row>
    <row r="410" spans="1:6" ht="34.5" customHeight="1">
      <c r="A410" s="13">
        <v>407</v>
      </c>
      <c r="B410" s="14" t="str">
        <f>"60252023121910573530467"</f>
        <v>60252023121910573530467</v>
      </c>
      <c r="C410" s="15" t="str">
        <f>"黄琴"</f>
        <v>黄琴</v>
      </c>
      <c r="D410" s="15" t="str">
        <f t="shared" si="16"/>
        <v>女</v>
      </c>
      <c r="E410" s="16" t="s">
        <v>291</v>
      </c>
      <c r="F410" s="13"/>
    </row>
    <row r="411" spans="1:6" ht="34.5" customHeight="1">
      <c r="A411" s="13">
        <v>408</v>
      </c>
      <c r="B411" s="14" t="str">
        <f>"60252023122211150338152"</f>
        <v>60252023122211150338152</v>
      </c>
      <c r="C411" s="15" t="str">
        <f>"王孝惠"</f>
        <v>王孝惠</v>
      </c>
      <c r="D411" s="15" t="str">
        <f t="shared" si="16"/>
        <v>女</v>
      </c>
      <c r="E411" s="16" t="s">
        <v>19</v>
      </c>
      <c r="F411" s="13"/>
    </row>
    <row r="412" spans="1:6" ht="34.5" customHeight="1">
      <c r="A412" s="13">
        <v>409</v>
      </c>
      <c r="B412" s="14" t="str">
        <f>"60252023122109444237501"</f>
        <v>60252023122109444237501</v>
      </c>
      <c r="C412" s="15" t="str">
        <f>"黄林洁"</f>
        <v>黄林洁</v>
      </c>
      <c r="D412" s="15" t="str">
        <f t="shared" si="16"/>
        <v>女</v>
      </c>
      <c r="E412" s="16" t="s">
        <v>200</v>
      </c>
      <c r="F412" s="13"/>
    </row>
    <row r="413" spans="1:6" ht="34.5" customHeight="1">
      <c r="A413" s="13">
        <v>410</v>
      </c>
      <c r="B413" s="14" t="str">
        <f>"60252023121912321030837"</f>
        <v>60252023121912321030837</v>
      </c>
      <c r="C413" s="15" t="str">
        <f>"林玉玲"</f>
        <v>林玉玲</v>
      </c>
      <c r="D413" s="15" t="str">
        <f t="shared" si="16"/>
        <v>女</v>
      </c>
      <c r="E413" s="16" t="s">
        <v>292</v>
      </c>
      <c r="F413" s="13"/>
    </row>
    <row r="414" spans="1:6" ht="34.5" customHeight="1">
      <c r="A414" s="13">
        <v>411</v>
      </c>
      <c r="B414" s="14" t="str">
        <f>"60252023122216254238360"</f>
        <v>60252023122216254238360</v>
      </c>
      <c r="C414" s="15" t="str">
        <f>"黄青霞"</f>
        <v>黄青霞</v>
      </c>
      <c r="D414" s="15" t="str">
        <f t="shared" si="16"/>
        <v>女</v>
      </c>
      <c r="E414" s="16" t="s">
        <v>64</v>
      </c>
      <c r="F414" s="13"/>
    </row>
    <row r="415" spans="1:6" ht="34.5" customHeight="1">
      <c r="A415" s="13">
        <v>412</v>
      </c>
      <c r="B415" s="14" t="str">
        <f>"60252023121813010526350"</f>
        <v>60252023121813010526350</v>
      </c>
      <c r="C415" s="15" t="str">
        <f>"王佳"</f>
        <v>王佳</v>
      </c>
      <c r="D415" s="15" t="str">
        <f t="shared" si="16"/>
        <v>女</v>
      </c>
      <c r="E415" s="16" t="s">
        <v>63</v>
      </c>
      <c r="F415" s="13"/>
    </row>
    <row r="416" spans="1:6" ht="34.5" customHeight="1">
      <c r="A416" s="13">
        <v>413</v>
      </c>
      <c r="B416" s="14" t="str">
        <f>"60252023122223194338561"</f>
        <v>60252023122223194338561</v>
      </c>
      <c r="C416" s="15" t="str">
        <f>"符秋萍"</f>
        <v>符秋萍</v>
      </c>
      <c r="D416" s="15" t="str">
        <f t="shared" si="16"/>
        <v>女</v>
      </c>
      <c r="E416" s="16" t="s">
        <v>293</v>
      </c>
      <c r="F416" s="13"/>
    </row>
    <row r="417" spans="1:6" ht="34.5" customHeight="1">
      <c r="A417" s="13">
        <v>414</v>
      </c>
      <c r="B417" s="14" t="str">
        <f>"60252023122016470937219"</f>
        <v>60252023122016470937219</v>
      </c>
      <c r="C417" s="15" t="str">
        <f>"容智桂"</f>
        <v>容智桂</v>
      </c>
      <c r="D417" s="15" t="str">
        <f t="shared" si="16"/>
        <v>女</v>
      </c>
      <c r="E417" s="16" t="s">
        <v>252</v>
      </c>
      <c r="F417" s="13"/>
    </row>
    <row r="418" spans="1:6" ht="34.5" customHeight="1">
      <c r="A418" s="13">
        <v>415</v>
      </c>
      <c r="B418" s="14" t="str">
        <f>"60252023122223141638560"</f>
        <v>60252023122223141638560</v>
      </c>
      <c r="C418" s="15" t="str">
        <f>"罗娟娟"</f>
        <v>罗娟娟</v>
      </c>
      <c r="D418" s="15" t="str">
        <f t="shared" si="16"/>
        <v>女</v>
      </c>
      <c r="E418" s="16" t="s">
        <v>294</v>
      </c>
      <c r="F418" s="13"/>
    </row>
    <row r="419" spans="1:6" ht="34.5" customHeight="1">
      <c r="A419" s="13">
        <v>416</v>
      </c>
      <c r="B419" s="14" t="str">
        <f>"60252023121909402030006"</f>
        <v>60252023121909402030006</v>
      </c>
      <c r="C419" s="15" t="str">
        <f>"林伟莉"</f>
        <v>林伟莉</v>
      </c>
      <c r="D419" s="15" t="str">
        <f t="shared" si="16"/>
        <v>女</v>
      </c>
      <c r="E419" s="16" t="s">
        <v>194</v>
      </c>
      <c r="F419" s="13"/>
    </row>
    <row r="420" spans="1:6" ht="34.5" customHeight="1">
      <c r="A420" s="13">
        <v>417</v>
      </c>
      <c r="B420" s="14" t="str">
        <f>"60252023122509272341636"</f>
        <v>60252023122509272341636</v>
      </c>
      <c r="C420" s="15" t="str">
        <f>"吉雅喆"</f>
        <v>吉雅喆</v>
      </c>
      <c r="D420" s="15" t="str">
        <f t="shared" si="16"/>
        <v>女</v>
      </c>
      <c r="E420" s="16" t="s">
        <v>148</v>
      </c>
      <c r="F420" s="13"/>
    </row>
    <row r="421" spans="1:6" ht="34.5" customHeight="1">
      <c r="A421" s="13">
        <v>418</v>
      </c>
      <c r="B421" s="14" t="str">
        <f>"60252023122410302440734"</f>
        <v>60252023122410302440734</v>
      </c>
      <c r="C421" s="15" t="str">
        <f>"陈策尹"</f>
        <v>陈策尹</v>
      </c>
      <c r="D421" s="15" t="str">
        <f t="shared" si="16"/>
        <v>女</v>
      </c>
      <c r="E421" s="16" t="s">
        <v>295</v>
      </c>
      <c r="F421" s="13"/>
    </row>
    <row r="422" spans="1:6" ht="34.5" customHeight="1">
      <c r="A422" s="13">
        <v>419</v>
      </c>
      <c r="B422" s="14" t="str">
        <f>"60252023122612580443830"</f>
        <v>60252023122612580443830</v>
      </c>
      <c r="C422" s="15" t="str">
        <f>"占恒欣"</f>
        <v>占恒欣</v>
      </c>
      <c r="D422" s="15" t="str">
        <f t="shared" si="16"/>
        <v>女</v>
      </c>
      <c r="E422" s="16" t="s">
        <v>296</v>
      </c>
      <c r="F422" s="13"/>
    </row>
    <row r="423" spans="1:6" ht="34.5" customHeight="1">
      <c r="A423" s="13">
        <v>420</v>
      </c>
      <c r="B423" s="14" t="str">
        <f>"60252023122614414443996"</f>
        <v>60252023122614414443996</v>
      </c>
      <c r="C423" s="15" t="str">
        <f>"王安国"</f>
        <v>王安国</v>
      </c>
      <c r="D423" s="15" t="str">
        <f>"男"</f>
        <v>男</v>
      </c>
      <c r="E423" s="16" t="s">
        <v>297</v>
      </c>
      <c r="F423" s="13"/>
    </row>
    <row r="424" spans="1:6" ht="34.5" customHeight="1">
      <c r="A424" s="13">
        <v>421</v>
      </c>
      <c r="B424" s="14" t="str">
        <f>"60252023122615391044108"</f>
        <v>60252023122615391044108</v>
      </c>
      <c r="C424" s="15" t="str">
        <f>"陈小妹"</f>
        <v>陈小妹</v>
      </c>
      <c r="D424" s="15" t="str">
        <f>"女"</f>
        <v>女</v>
      </c>
      <c r="E424" s="16" t="s">
        <v>118</v>
      </c>
      <c r="F424" s="13"/>
    </row>
    <row r="425" spans="1:6" ht="34.5" customHeight="1">
      <c r="A425" s="13">
        <v>422</v>
      </c>
      <c r="B425" s="14" t="str">
        <f>"60252023122702170244701"</f>
        <v>60252023122702170244701</v>
      </c>
      <c r="C425" s="15" t="str">
        <f>"梁盈"</f>
        <v>梁盈</v>
      </c>
      <c r="D425" s="15" t="str">
        <f>"女"</f>
        <v>女</v>
      </c>
      <c r="E425" s="16" t="s">
        <v>169</v>
      </c>
      <c r="F425" s="13"/>
    </row>
    <row r="426" spans="1:6" ht="34.5" customHeight="1">
      <c r="A426" s="13">
        <v>423</v>
      </c>
      <c r="B426" s="14" t="str">
        <f>"60252023122710101744859"</f>
        <v>60252023122710101744859</v>
      </c>
      <c r="C426" s="15" t="str">
        <f>"舒欢欢"</f>
        <v>舒欢欢</v>
      </c>
      <c r="D426" s="15" t="str">
        <f>"女"</f>
        <v>女</v>
      </c>
      <c r="E426" s="16" t="s">
        <v>298</v>
      </c>
      <c r="F426" s="13"/>
    </row>
    <row r="427" spans="1:6" ht="34.5" customHeight="1">
      <c r="A427" s="13">
        <v>424</v>
      </c>
      <c r="B427" s="14" t="str">
        <f>"60252023122623375044673"</f>
        <v>60252023122623375044673</v>
      </c>
      <c r="C427" s="15" t="str">
        <f>"张小富"</f>
        <v>张小富</v>
      </c>
      <c r="D427" s="15" t="str">
        <f>"男"</f>
        <v>男</v>
      </c>
      <c r="E427" s="16" t="s">
        <v>299</v>
      </c>
      <c r="F427" s="13"/>
    </row>
    <row r="428" spans="1:6" ht="34.5" customHeight="1">
      <c r="A428" s="13">
        <v>425</v>
      </c>
      <c r="B428" s="14" t="str">
        <f>"60252023121809385324620"</f>
        <v>60252023121809385324620</v>
      </c>
      <c r="C428" s="15" t="str">
        <f>"刘晓梅"</f>
        <v>刘晓梅</v>
      </c>
      <c r="D428" s="15" t="str">
        <f>"女"</f>
        <v>女</v>
      </c>
      <c r="E428" s="16" t="s">
        <v>300</v>
      </c>
      <c r="F428" s="13"/>
    </row>
    <row r="429" spans="1:6" ht="34.5" customHeight="1">
      <c r="A429" s="13">
        <v>426</v>
      </c>
      <c r="B429" s="14" t="str">
        <f>"60252023121809323024540"</f>
        <v>60252023121809323024540</v>
      </c>
      <c r="C429" s="15" t="str">
        <f>"王伶凤"</f>
        <v>王伶凤</v>
      </c>
      <c r="D429" s="15" t="str">
        <f>"女"</f>
        <v>女</v>
      </c>
      <c r="E429" s="16" t="s">
        <v>144</v>
      </c>
      <c r="F429" s="13"/>
    </row>
    <row r="430" spans="1:6" ht="34.5" customHeight="1">
      <c r="A430" s="13">
        <v>427</v>
      </c>
      <c r="B430" s="14" t="str">
        <f>"60252023121811440725944"</f>
        <v>60252023121811440725944</v>
      </c>
      <c r="C430" s="15" t="str">
        <f>"蒋翠梅"</f>
        <v>蒋翠梅</v>
      </c>
      <c r="D430" s="15" t="str">
        <f>"女"</f>
        <v>女</v>
      </c>
      <c r="E430" s="16" t="s">
        <v>179</v>
      </c>
      <c r="F430" s="13"/>
    </row>
    <row r="431" spans="1:6" ht="34.5" customHeight="1">
      <c r="A431" s="13">
        <v>428</v>
      </c>
      <c r="B431" s="14" t="str">
        <f>"60252023121812401326237"</f>
        <v>60252023121812401326237</v>
      </c>
      <c r="C431" s="15" t="str">
        <f>"李颖"</f>
        <v>李颖</v>
      </c>
      <c r="D431" s="15" t="str">
        <f>"女"</f>
        <v>女</v>
      </c>
      <c r="E431" s="16" t="s">
        <v>142</v>
      </c>
      <c r="F431" s="13"/>
    </row>
    <row r="432" spans="1:6" ht="34.5" customHeight="1">
      <c r="A432" s="13">
        <v>429</v>
      </c>
      <c r="B432" s="14" t="str">
        <f>"60252023121908402729643"</f>
        <v>60252023121908402729643</v>
      </c>
      <c r="C432" s="15" t="str">
        <f>"王世隆"</f>
        <v>王世隆</v>
      </c>
      <c r="D432" s="15" t="str">
        <f>"男"</f>
        <v>男</v>
      </c>
      <c r="E432" s="16" t="s">
        <v>301</v>
      </c>
      <c r="F432" s="13"/>
    </row>
    <row r="433" spans="1:6" ht="34.5" customHeight="1">
      <c r="A433" s="13">
        <v>430</v>
      </c>
      <c r="B433" s="14" t="str">
        <f>"60252023121910163730239"</f>
        <v>60252023121910163730239</v>
      </c>
      <c r="C433" s="15" t="str">
        <f>"梁希"</f>
        <v>梁希</v>
      </c>
      <c r="D433" s="15" t="str">
        <f aca="true" t="shared" si="17" ref="D433:D439">"女"</f>
        <v>女</v>
      </c>
      <c r="E433" s="16" t="s">
        <v>302</v>
      </c>
      <c r="F433" s="13"/>
    </row>
    <row r="434" spans="1:6" ht="34.5" customHeight="1">
      <c r="A434" s="13">
        <v>431</v>
      </c>
      <c r="B434" s="14" t="str">
        <f>"60252023121912045830761"</f>
        <v>60252023121912045830761</v>
      </c>
      <c r="C434" s="15" t="str">
        <f>"董小雪"</f>
        <v>董小雪</v>
      </c>
      <c r="D434" s="15" t="str">
        <f t="shared" si="17"/>
        <v>女</v>
      </c>
      <c r="E434" s="16" t="s">
        <v>303</v>
      </c>
      <c r="F434" s="13"/>
    </row>
    <row r="435" spans="1:6" ht="34.5" customHeight="1">
      <c r="A435" s="13">
        <v>432</v>
      </c>
      <c r="B435" s="14" t="str">
        <f>"60252023121916574532014"</f>
        <v>60252023121916574532014</v>
      </c>
      <c r="C435" s="15" t="str">
        <f>"陈颖"</f>
        <v>陈颖</v>
      </c>
      <c r="D435" s="15" t="str">
        <f t="shared" si="17"/>
        <v>女</v>
      </c>
      <c r="E435" s="16" t="s">
        <v>132</v>
      </c>
      <c r="F435" s="13"/>
    </row>
    <row r="436" spans="1:6" ht="34.5" customHeight="1">
      <c r="A436" s="13">
        <v>433</v>
      </c>
      <c r="B436" s="14" t="str">
        <f>"60252023121918144632365"</f>
        <v>60252023121918144632365</v>
      </c>
      <c r="C436" s="15" t="str">
        <f>"吴晶晶"</f>
        <v>吴晶晶</v>
      </c>
      <c r="D436" s="15" t="str">
        <f t="shared" si="17"/>
        <v>女</v>
      </c>
      <c r="E436" s="16" t="s">
        <v>304</v>
      </c>
      <c r="F436" s="13"/>
    </row>
    <row r="437" spans="1:6" ht="34.5" customHeight="1">
      <c r="A437" s="13">
        <v>434</v>
      </c>
      <c r="B437" s="14" t="str">
        <f>"60252023122015150036805"</f>
        <v>60252023122015150036805</v>
      </c>
      <c r="C437" s="15" t="str">
        <f>"胡墨蝶"</f>
        <v>胡墨蝶</v>
      </c>
      <c r="D437" s="15" t="str">
        <f t="shared" si="17"/>
        <v>女</v>
      </c>
      <c r="E437" s="16" t="s">
        <v>291</v>
      </c>
      <c r="F437" s="13"/>
    </row>
    <row r="438" spans="1:6" ht="34.5" customHeight="1">
      <c r="A438" s="13">
        <v>435</v>
      </c>
      <c r="B438" s="14" t="str">
        <f>"60252023122109493237506"</f>
        <v>60252023122109493237506</v>
      </c>
      <c r="C438" s="15" t="str">
        <f>"黄童童"</f>
        <v>黄童童</v>
      </c>
      <c r="D438" s="15" t="str">
        <f t="shared" si="17"/>
        <v>女</v>
      </c>
      <c r="E438" s="16" t="s">
        <v>182</v>
      </c>
      <c r="F438" s="13"/>
    </row>
    <row r="439" spans="1:6" ht="34.5" customHeight="1">
      <c r="A439" s="13">
        <v>436</v>
      </c>
      <c r="B439" s="14" t="str">
        <f>"60252023122211561338188"</f>
        <v>60252023122211561338188</v>
      </c>
      <c r="C439" s="15" t="str">
        <f>"王侨源"</f>
        <v>王侨源</v>
      </c>
      <c r="D439" s="15" t="str">
        <f t="shared" si="17"/>
        <v>女</v>
      </c>
      <c r="E439" s="16" t="s">
        <v>32</v>
      </c>
      <c r="F439" s="13"/>
    </row>
    <row r="440" spans="1:6" ht="34.5" customHeight="1">
      <c r="A440" s="13">
        <v>437</v>
      </c>
      <c r="B440" s="14" t="str">
        <f>"60252023122510030141765"</f>
        <v>60252023122510030141765</v>
      </c>
      <c r="C440" s="15" t="str">
        <f>"王鹏越"</f>
        <v>王鹏越</v>
      </c>
      <c r="D440" s="15" t="str">
        <f>"男"</f>
        <v>男</v>
      </c>
      <c r="E440" s="16" t="s">
        <v>305</v>
      </c>
      <c r="F440" s="13"/>
    </row>
    <row r="441" spans="1:6" ht="34.5" customHeight="1">
      <c r="A441" s="13">
        <v>438</v>
      </c>
      <c r="B441" s="14" t="str">
        <f>"60252023122616505644235"</f>
        <v>60252023122616505644235</v>
      </c>
      <c r="C441" s="15" t="str">
        <f>"谢惠涛"</f>
        <v>谢惠涛</v>
      </c>
      <c r="D441" s="15" t="str">
        <f>"男"</f>
        <v>男</v>
      </c>
      <c r="E441" s="16" t="s">
        <v>306</v>
      </c>
      <c r="F441" s="13"/>
    </row>
    <row r="442" spans="1:6" ht="34.5" customHeight="1">
      <c r="A442" s="13">
        <v>439</v>
      </c>
      <c r="B442" s="14" t="str">
        <f>"60252023122709021444763"</f>
        <v>60252023122709021444763</v>
      </c>
      <c r="C442" s="15" t="str">
        <f>"卢莉芬"</f>
        <v>卢莉芬</v>
      </c>
      <c r="D442" s="15" t="str">
        <f>"女"</f>
        <v>女</v>
      </c>
      <c r="E442" s="16" t="s">
        <v>197</v>
      </c>
      <c r="F442" s="13"/>
    </row>
    <row r="443" spans="1:6" ht="34.5" customHeight="1">
      <c r="A443" s="13">
        <v>440</v>
      </c>
      <c r="B443" s="14" t="str">
        <f>"60252023121809093524253"</f>
        <v>60252023121809093524253</v>
      </c>
      <c r="C443" s="15" t="str">
        <f>"王国宇"</f>
        <v>王国宇</v>
      </c>
      <c r="D443" s="15" t="str">
        <f>"男"</f>
        <v>男</v>
      </c>
      <c r="E443" s="16" t="s">
        <v>307</v>
      </c>
      <c r="F443" s="13"/>
    </row>
    <row r="444" spans="1:6" ht="34.5" customHeight="1">
      <c r="A444" s="13">
        <v>441</v>
      </c>
      <c r="B444" s="14" t="str">
        <f>"60252023121809032724183"</f>
        <v>60252023121809032724183</v>
      </c>
      <c r="C444" s="15" t="str">
        <f>"符玉坤"</f>
        <v>符玉坤</v>
      </c>
      <c r="D444" s="15" t="str">
        <f>"女"</f>
        <v>女</v>
      </c>
      <c r="E444" s="16" t="s">
        <v>308</v>
      </c>
      <c r="F444" s="13"/>
    </row>
    <row r="445" spans="1:6" ht="34.5" customHeight="1">
      <c r="A445" s="13">
        <v>442</v>
      </c>
      <c r="B445" s="14" t="str">
        <f>"60252023121809090724247"</f>
        <v>60252023121809090724247</v>
      </c>
      <c r="C445" s="15" t="str">
        <f>"黄金扬"</f>
        <v>黄金扬</v>
      </c>
      <c r="D445" s="15" t="str">
        <f>"女"</f>
        <v>女</v>
      </c>
      <c r="E445" s="16" t="s">
        <v>309</v>
      </c>
      <c r="F445" s="13"/>
    </row>
    <row r="446" spans="1:6" ht="34.5" customHeight="1">
      <c r="A446" s="13">
        <v>443</v>
      </c>
      <c r="B446" s="14" t="str">
        <f>"60252023121809092824251"</f>
        <v>60252023121809092824251</v>
      </c>
      <c r="C446" s="15" t="str">
        <f>"郑晓珠"</f>
        <v>郑晓珠</v>
      </c>
      <c r="D446" s="15" t="str">
        <f>"女"</f>
        <v>女</v>
      </c>
      <c r="E446" s="16" t="s">
        <v>122</v>
      </c>
      <c r="F446" s="13"/>
    </row>
    <row r="447" spans="1:6" ht="34.5" customHeight="1">
      <c r="A447" s="13">
        <v>444</v>
      </c>
      <c r="B447" s="14" t="str">
        <f>"60252023121809021624169"</f>
        <v>60252023121809021624169</v>
      </c>
      <c r="C447" s="15" t="str">
        <f>"杜佳娟"</f>
        <v>杜佳娟</v>
      </c>
      <c r="D447" s="15" t="str">
        <f>"女"</f>
        <v>女</v>
      </c>
      <c r="E447" s="16" t="s">
        <v>310</v>
      </c>
      <c r="F447" s="13"/>
    </row>
    <row r="448" spans="1:6" ht="34.5" customHeight="1">
      <c r="A448" s="13">
        <v>445</v>
      </c>
      <c r="B448" s="14" t="str">
        <f>"60252023121809173424366"</f>
        <v>60252023121809173424366</v>
      </c>
      <c r="C448" s="15" t="str">
        <f>"杨权胜"</f>
        <v>杨权胜</v>
      </c>
      <c r="D448" s="15" t="str">
        <f>"男"</f>
        <v>男</v>
      </c>
      <c r="E448" s="16" t="s">
        <v>311</v>
      </c>
      <c r="F448" s="13"/>
    </row>
    <row r="449" spans="1:6" ht="34.5" customHeight="1">
      <c r="A449" s="13">
        <v>446</v>
      </c>
      <c r="B449" s="14" t="str">
        <f>"60252023121809133324315"</f>
        <v>60252023121809133324315</v>
      </c>
      <c r="C449" s="15" t="str">
        <f>"莫丽花"</f>
        <v>莫丽花</v>
      </c>
      <c r="D449" s="15" t="str">
        <f>"女"</f>
        <v>女</v>
      </c>
      <c r="E449" s="16" t="s">
        <v>187</v>
      </c>
      <c r="F449" s="13"/>
    </row>
    <row r="450" spans="1:6" ht="34.5" customHeight="1">
      <c r="A450" s="13">
        <v>447</v>
      </c>
      <c r="B450" s="14" t="str">
        <f>"60252023121809150524338"</f>
        <v>60252023121809150524338</v>
      </c>
      <c r="C450" s="15" t="str">
        <f>"吴英藩"</f>
        <v>吴英藩</v>
      </c>
      <c r="D450" s="15" t="str">
        <f>"男"</f>
        <v>男</v>
      </c>
      <c r="E450" s="16" t="s">
        <v>312</v>
      </c>
      <c r="F450" s="13"/>
    </row>
    <row r="451" spans="1:6" ht="34.5" customHeight="1">
      <c r="A451" s="13">
        <v>448</v>
      </c>
      <c r="B451" s="14" t="str">
        <f>"60252023121809132524314"</f>
        <v>60252023121809132524314</v>
      </c>
      <c r="C451" s="15" t="str">
        <f>"陈积婷"</f>
        <v>陈积婷</v>
      </c>
      <c r="D451" s="15" t="str">
        <f>"女"</f>
        <v>女</v>
      </c>
      <c r="E451" s="16" t="s">
        <v>271</v>
      </c>
      <c r="F451" s="13"/>
    </row>
    <row r="452" spans="1:6" ht="34.5" customHeight="1">
      <c r="A452" s="13">
        <v>449</v>
      </c>
      <c r="B452" s="14" t="str">
        <f>"60252023121809163424358"</f>
        <v>60252023121809163424358</v>
      </c>
      <c r="C452" s="15" t="str">
        <f>"盆丽英"</f>
        <v>盆丽英</v>
      </c>
      <c r="D452" s="15" t="str">
        <f>"女"</f>
        <v>女</v>
      </c>
      <c r="E452" s="16" t="s">
        <v>111</v>
      </c>
      <c r="F452" s="13"/>
    </row>
    <row r="453" spans="1:6" ht="34.5" customHeight="1">
      <c r="A453" s="13">
        <v>450</v>
      </c>
      <c r="B453" s="14" t="str">
        <f>"60252023121809192024382"</f>
        <v>60252023121809192024382</v>
      </c>
      <c r="C453" s="15" t="str">
        <f>"徐颖柳"</f>
        <v>徐颖柳</v>
      </c>
      <c r="D453" s="15" t="str">
        <f>"女"</f>
        <v>女</v>
      </c>
      <c r="E453" s="16" t="s">
        <v>313</v>
      </c>
      <c r="F453" s="13"/>
    </row>
    <row r="454" spans="1:6" ht="34.5" customHeight="1">
      <c r="A454" s="13">
        <v>451</v>
      </c>
      <c r="B454" s="14" t="str">
        <f>"60252023121809405224646"</f>
        <v>60252023121809405224646</v>
      </c>
      <c r="C454" s="15" t="str">
        <f>"李文宇"</f>
        <v>李文宇</v>
      </c>
      <c r="D454" s="15" t="str">
        <f>"男"</f>
        <v>男</v>
      </c>
      <c r="E454" s="16" t="s">
        <v>314</v>
      </c>
      <c r="F454" s="13"/>
    </row>
    <row r="455" spans="1:6" ht="34.5" customHeight="1">
      <c r="A455" s="13">
        <v>452</v>
      </c>
      <c r="B455" s="14" t="str">
        <f>"60252023121809054424215"</f>
        <v>60252023121809054424215</v>
      </c>
      <c r="C455" s="15" t="str">
        <f>"赵杰"</f>
        <v>赵杰</v>
      </c>
      <c r="D455" s="15" t="str">
        <f>"男"</f>
        <v>男</v>
      </c>
      <c r="E455" s="16" t="s">
        <v>315</v>
      </c>
      <c r="F455" s="13"/>
    </row>
    <row r="456" spans="1:6" ht="34.5" customHeight="1">
      <c r="A456" s="13">
        <v>453</v>
      </c>
      <c r="B456" s="14" t="str">
        <f>"60252023121809434224684"</f>
        <v>60252023121809434224684</v>
      </c>
      <c r="C456" s="15" t="str">
        <f>"刘妹"</f>
        <v>刘妹</v>
      </c>
      <c r="D456" s="15" t="str">
        <f>"女"</f>
        <v>女</v>
      </c>
      <c r="E456" s="16" t="s">
        <v>316</v>
      </c>
      <c r="F456" s="13"/>
    </row>
    <row r="457" spans="1:6" ht="34.5" customHeight="1">
      <c r="A457" s="13">
        <v>454</v>
      </c>
      <c r="B457" s="14" t="str">
        <f>"60252023121809581524852"</f>
        <v>60252023121809581524852</v>
      </c>
      <c r="C457" s="15" t="str">
        <f>"陈之岳"</f>
        <v>陈之岳</v>
      </c>
      <c r="D457" s="15" t="str">
        <f>"男"</f>
        <v>男</v>
      </c>
      <c r="E457" s="16" t="s">
        <v>317</v>
      </c>
      <c r="F457" s="13"/>
    </row>
    <row r="458" spans="1:6" ht="34.5" customHeight="1">
      <c r="A458" s="13">
        <v>455</v>
      </c>
      <c r="B458" s="14" t="str">
        <f>"60252023121809460724709"</f>
        <v>60252023121809460724709</v>
      </c>
      <c r="C458" s="15" t="str">
        <f>"郑宇飞"</f>
        <v>郑宇飞</v>
      </c>
      <c r="D458" s="15" t="str">
        <f>"女"</f>
        <v>女</v>
      </c>
      <c r="E458" s="16" t="s">
        <v>86</v>
      </c>
      <c r="F458" s="13"/>
    </row>
    <row r="459" spans="1:6" ht="34.5" customHeight="1">
      <c r="A459" s="13">
        <v>456</v>
      </c>
      <c r="B459" s="14" t="str">
        <f>"60252023121809140424321"</f>
        <v>60252023121809140424321</v>
      </c>
      <c r="C459" s="15" t="str">
        <f>"林峥"</f>
        <v>林峥</v>
      </c>
      <c r="D459" s="15" t="str">
        <f>"女"</f>
        <v>女</v>
      </c>
      <c r="E459" s="16" t="s">
        <v>182</v>
      </c>
      <c r="F459" s="13"/>
    </row>
    <row r="460" spans="1:6" ht="34.5" customHeight="1">
      <c r="A460" s="13">
        <v>457</v>
      </c>
      <c r="B460" s="14" t="str">
        <f>"60252023121810130725028"</f>
        <v>60252023121810130725028</v>
      </c>
      <c r="C460" s="15" t="str">
        <f>"黄燕燕"</f>
        <v>黄燕燕</v>
      </c>
      <c r="D460" s="15" t="str">
        <f>"女"</f>
        <v>女</v>
      </c>
      <c r="E460" s="16" t="s">
        <v>318</v>
      </c>
      <c r="F460" s="13"/>
    </row>
    <row r="461" spans="1:6" ht="34.5" customHeight="1">
      <c r="A461" s="13">
        <v>458</v>
      </c>
      <c r="B461" s="14" t="str">
        <f>"60252023121810095924994"</f>
        <v>60252023121810095924994</v>
      </c>
      <c r="C461" s="15" t="str">
        <f>"罗雷"</f>
        <v>罗雷</v>
      </c>
      <c r="D461" s="15" t="str">
        <f>"男"</f>
        <v>男</v>
      </c>
      <c r="E461" s="16" t="s">
        <v>319</v>
      </c>
      <c r="F461" s="13"/>
    </row>
    <row r="462" spans="1:6" ht="34.5" customHeight="1">
      <c r="A462" s="13">
        <v>459</v>
      </c>
      <c r="B462" s="14" t="str">
        <f>"60252023121809445924693"</f>
        <v>60252023121809445924693</v>
      </c>
      <c r="C462" s="15" t="str">
        <f>"万梅红"</f>
        <v>万梅红</v>
      </c>
      <c r="D462" s="15" t="str">
        <f aca="true" t="shared" si="18" ref="D462:D468">"女"</f>
        <v>女</v>
      </c>
      <c r="E462" s="16" t="s">
        <v>115</v>
      </c>
      <c r="F462" s="13"/>
    </row>
    <row r="463" spans="1:6" ht="34.5" customHeight="1">
      <c r="A463" s="13">
        <v>460</v>
      </c>
      <c r="B463" s="14" t="str">
        <f>"60252023121809520124775"</f>
        <v>60252023121809520124775</v>
      </c>
      <c r="C463" s="15" t="str">
        <f>"黄欣莹"</f>
        <v>黄欣莹</v>
      </c>
      <c r="D463" s="15" t="str">
        <f t="shared" si="18"/>
        <v>女</v>
      </c>
      <c r="E463" s="16" t="s">
        <v>320</v>
      </c>
      <c r="F463" s="13"/>
    </row>
    <row r="464" spans="1:6" ht="34.5" customHeight="1">
      <c r="A464" s="13">
        <v>461</v>
      </c>
      <c r="B464" s="14" t="str">
        <f>"60252023121809565624839"</f>
        <v>60252023121809565624839</v>
      </c>
      <c r="C464" s="15" t="str">
        <f>"王静"</f>
        <v>王静</v>
      </c>
      <c r="D464" s="15" t="str">
        <f t="shared" si="18"/>
        <v>女</v>
      </c>
      <c r="E464" s="16" t="s">
        <v>321</v>
      </c>
      <c r="F464" s="13"/>
    </row>
    <row r="465" spans="1:6" ht="34.5" customHeight="1">
      <c r="A465" s="13">
        <v>462</v>
      </c>
      <c r="B465" s="14" t="str">
        <f>"60252023121810163325082"</f>
        <v>60252023121810163325082</v>
      </c>
      <c r="C465" s="15" t="str">
        <f>"王胜允"</f>
        <v>王胜允</v>
      </c>
      <c r="D465" s="15" t="str">
        <f t="shared" si="18"/>
        <v>女</v>
      </c>
      <c r="E465" s="16" t="s">
        <v>322</v>
      </c>
      <c r="F465" s="13"/>
    </row>
    <row r="466" spans="1:6" ht="34.5" customHeight="1">
      <c r="A466" s="13">
        <v>463</v>
      </c>
      <c r="B466" s="14" t="str">
        <f>"60252023121810271625206"</f>
        <v>60252023121810271625206</v>
      </c>
      <c r="C466" s="15" t="str">
        <f>"李紫艳"</f>
        <v>李紫艳</v>
      </c>
      <c r="D466" s="15" t="str">
        <f t="shared" si="18"/>
        <v>女</v>
      </c>
      <c r="E466" s="16" t="s">
        <v>323</v>
      </c>
      <c r="F466" s="13"/>
    </row>
    <row r="467" spans="1:6" ht="34.5" customHeight="1">
      <c r="A467" s="13">
        <v>464</v>
      </c>
      <c r="B467" s="14" t="str">
        <f>"60252023121810060224952"</f>
        <v>60252023121810060224952</v>
      </c>
      <c r="C467" s="15" t="str">
        <f>"李妮娜"</f>
        <v>李妮娜</v>
      </c>
      <c r="D467" s="15" t="str">
        <f t="shared" si="18"/>
        <v>女</v>
      </c>
      <c r="E467" s="16" t="s">
        <v>77</v>
      </c>
      <c r="F467" s="13"/>
    </row>
    <row r="468" spans="1:6" ht="34.5" customHeight="1">
      <c r="A468" s="13">
        <v>465</v>
      </c>
      <c r="B468" s="14" t="str">
        <f>"60252023121810011424890"</f>
        <v>60252023121810011424890</v>
      </c>
      <c r="C468" s="15" t="str">
        <f>"韩晓迪"</f>
        <v>韩晓迪</v>
      </c>
      <c r="D468" s="15" t="str">
        <f t="shared" si="18"/>
        <v>女</v>
      </c>
      <c r="E468" s="16" t="s">
        <v>324</v>
      </c>
      <c r="F468" s="13"/>
    </row>
    <row r="469" spans="1:6" ht="34.5" customHeight="1">
      <c r="A469" s="13">
        <v>466</v>
      </c>
      <c r="B469" s="14" t="str">
        <f>"60252023121810110525003"</f>
        <v>60252023121810110525003</v>
      </c>
      <c r="C469" s="15" t="str">
        <f>"吴国瑞"</f>
        <v>吴国瑞</v>
      </c>
      <c r="D469" s="15" t="str">
        <f>"男"</f>
        <v>男</v>
      </c>
      <c r="E469" s="16" t="s">
        <v>193</v>
      </c>
      <c r="F469" s="13"/>
    </row>
    <row r="470" spans="1:6" ht="34.5" customHeight="1">
      <c r="A470" s="13">
        <v>467</v>
      </c>
      <c r="B470" s="14" t="str">
        <f>"60252023121809465124721"</f>
        <v>60252023121809465124721</v>
      </c>
      <c r="C470" s="15" t="str">
        <f>"陈秋妹"</f>
        <v>陈秋妹</v>
      </c>
      <c r="D470" s="15" t="str">
        <f>"女"</f>
        <v>女</v>
      </c>
      <c r="E470" s="16" t="s">
        <v>69</v>
      </c>
      <c r="F470" s="13"/>
    </row>
    <row r="471" spans="1:6" ht="34.5" customHeight="1">
      <c r="A471" s="13">
        <v>468</v>
      </c>
      <c r="B471" s="14" t="str">
        <f>"60252023121810374625307"</f>
        <v>60252023121810374625307</v>
      </c>
      <c r="C471" s="15" t="str">
        <f>"刘圣贺"</f>
        <v>刘圣贺</v>
      </c>
      <c r="D471" s="15" t="str">
        <f>"男"</f>
        <v>男</v>
      </c>
      <c r="E471" s="16" t="s">
        <v>325</v>
      </c>
      <c r="F471" s="13"/>
    </row>
    <row r="472" spans="1:6" ht="34.5" customHeight="1">
      <c r="A472" s="13">
        <v>469</v>
      </c>
      <c r="B472" s="14" t="str">
        <f>"60252023121810513725459"</f>
        <v>60252023121810513725459</v>
      </c>
      <c r="C472" s="15" t="str">
        <f>"蔡良杰"</f>
        <v>蔡良杰</v>
      </c>
      <c r="D472" s="15" t="str">
        <f>"男"</f>
        <v>男</v>
      </c>
      <c r="E472" s="16" t="s">
        <v>326</v>
      </c>
      <c r="F472" s="13"/>
    </row>
    <row r="473" spans="1:6" ht="34.5" customHeight="1">
      <c r="A473" s="13">
        <v>470</v>
      </c>
      <c r="B473" s="14" t="str">
        <f>"60252023121810045424939"</f>
        <v>60252023121810045424939</v>
      </c>
      <c r="C473" s="15" t="str">
        <f>"陈玉玲"</f>
        <v>陈玉玲</v>
      </c>
      <c r="D473" s="15" t="str">
        <f>"女"</f>
        <v>女</v>
      </c>
      <c r="E473" s="16" t="s">
        <v>255</v>
      </c>
      <c r="F473" s="13"/>
    </row>
    <row r="474" spans="1:6" ht="34.5" customHeight="1">
      <c r="A474" s="13">
        <v>471</v>
      </c>
      <c r="B474" s="14" t="str">
        <f>"60252023121809400624636"</f>
        <v>60252023121809400624636</v>
      </c>
      <c r="C474" s="15" t="str">
        <f>"王婉清"</f>
        <v>王婉清</v>
      </c>
      <c r="D474" s="15" t="str">
        <f>"女"</f>
        <v>女</v>
      </c>
      <c r="E474" s="16" t="s">
        <v>327</v>
      </c>
      <c r="F474" s="13"/>
    </row>
    <row r="475" spans="1:6" ht="34.5" customHeight="1">
      <c r="A475" s="13">
        <v>472</v>
      </c>
      <c r="B475" s="14" t="str">
        <f>"60252023121810124425026"</f>
        <v>60252023121810124425026</v>
      </c>
      <c r="C475" s="15" t="str">
        <f>"王丽"</f>
        <v>王丽</v>
      </c>
      <c r="D475" s="15" t="str">
        <f>"女"</f>
        <v>女</v>
      </c>
      <c r="E475" s="16" t="s">
        <v>13</v>
      </c>
      <c r="F475" s="13"/>
    </row>
    <row r="476" spans="1:6" ht="34.5" customHeight="1">
      <c r="A476" s="13">
        <v>473</v>
      </c>
      <c r="B476" s="14" t="str">
        <f>"60252023121811025125574"</f>
        <v>60252023121811025125574</v>
      </c>
      <c r="C476" s="15" t="str">
        <f>"李儒瑞"</f>
        <v>李儒瑞</v>
      </c>
      <c r="D476" s="15" t="str">
        <f>"男"</f>
        <v>男</v>
      </c>
      <c r="E476" s="16" t="s">
        <v>328</v>
      </c>
      <c r="F476" s="13"/>
    </row>
    <row r="477" spans="1:6" ht="34.5" customHeight="1">
      <c r="A477" s="13">
        <v>474</v>
      </c>
      <c r="B477" s="14" t="str">
        <f>"60252023121810553225501"</f>
        <v>60252023121810553225501</v>
      </c>
      <c r="C477" s="15" t="str">
        <f>"麦著龙"</f>
        <v>麦著龙</v>
      </c>
      <c r="D477" s="15" t="str">
        <f>"男"</f>
        <v>男</v>
      </c>
      <c r="E477" s="16" t="s">
        <v>329</v>
      </c>
      <c r="F477" s="13"/>
    </row>
    <row r="478" spans="1:6" ht="34.5" customHeight="1">
      <c r="A478" s="13">
        <v>475</v>
      </c>
      <c r="B478" s="14" t="str">
        <f>"60252023121810480825415"</f>
        <v>60252023121810480825415</v>
      </c>
      <c r="C478" s="15" t="str">
        <f>"文周彬"</f>
        <v>文周彬</v>
      </c>
      <c r="D478" s="15" t="str">
        <f>"男"</f>
        <v>男</v>
      </c>
      <c r="E478" s="16" t="s">
        <v>330</v>
      </c>
      <c r="F478" s="13"/>
    </row>
    <row r="479" spans="1:6" ht="34.5" customHeight="1">
      <c r="A479" s="13">
        <v>476</v>
      </c>
      <c r="B479" s="14" t="str">
        <f>"60252023121809231424428"</f>
        <v>60252023121809231424428</v>
      </c>
      <c r="C479" s="15" t="str">
        <f>"褚志远"</f>
        <v>褚志远</v>
      </c>
      <c r="D479" s="15" t="str">
        <f>"男"</f>
        <v>男</v>
      </c>
      <c r="E479" s="16" t="s">
        <v>331</v>
      </c>
      <c r="F479" s="13"/>
    </row>
    <row r="480" spans="1:6" ht="34.5" customHeight="1">
      <c r="A480" s="13">
        <v>477</v>
      </c>
      <c r="B480" s="14" t="str">
        <f>"60252023121811004825554"</f>
        <v>60252023121811004825554</v>
      </c>
      <c r="C480" s="15" t="str">
        <f>"胡茂山"</f>
        <v>胡茂山</v>
      </c>
      <c r="D480" s="15" t="str">
        <f>"男"</f>
        <v>男</v>
      </c>
      <c r="E480" s="16" t="s">
        <v>332</v>
      </c>
      <c r="F480" s="13"/>
    </row>
    <row r="481" spans="1:6" ht="34.5" customHeight="1">
      <c r="A481" s="13">
        <v>478</v>
      </c>
      <c r="B481" s="14" t="str">
        <f>"60252023121811001725550"</f>
        <v>60252023121811001725550</v>
      </c>
      <c r="C481" s="15" t="str">
        <f>"李沁"</f>
        <v>李沁</v>
      </c>
      <c r="D481" s="15" t="str">
        <f>"女"</f>
        <v>女</v>
      </c>
      <c r="E481" s="16" t="s">
        <v>198</v>
      </c>
      <c r="F481" s="13"/>
    </row>
    <row r="482" spans="1:6" ht="34.5" customHeight="1">
      <c r="A482" s="13">
        <v>479</v>
      </c>
      <c r="B482" s="14" t="str">
        <f>"60252023121811011125559"</f>
        <v>60252023121811011125559</v>
      </c>
      <c r="C482" s="15" t="str">
        <f>"许王忆"</f>
        <v>许王忆</v>
      </c>
      <c r="D482" s="15" t="str">
        <f>"女"</f>
        <v>女</v>
      </c>
      <c r="E482" s="16" t="s">
        <v>129</v>
      </c>
      <c r="F482" s="13"/>
    </row>
    <row r="483" spans="1:6" ht="34.5" customHeight="1">
      <c r="A483" s="13">
        <v>480</v>
      </c>
      <c r="B483" s="14" t="str">
        <f>"60252023121810283525222"</f>
        <v>60252023121810283525222</v>
      </c>
      <c r="C483" s="15" t="str">
        <f>"杨福康"</f>
        <v>杨福康</v>
      </c>
      <c r="D483" s="15" t="str">
        <f>"男"</f>
        <v>男</v>
      </c>
      <c r="E483" s="16" t="s">
        <v>16</v>
      </c>
      <c r="F483" s="13"/>
    </row>
    <row r="484" spans="1:6" ht="34.5" customHeight="1">
      <c r="A484" s="13">
        <v>481</v>
      </c>
      <c r="B484" s="14" t="str">
        <f>"60252023121810453025386"</f>
        <v>60252023121810453025386</v>
      </c>
      <c r="C484" s="15" t="str">
        <f>"陈贤助"</f>
        <v>陈贤助</v>
      </c>
      <c r="D484" s="15" t="str">
        <f>"男"</f>
        <v>男</v>
      </c>
      <c r="E484" s="16" t="s">
        <v>333</v>
      </c>
      <c r="F484" s="13"/>
    </row>
    <row r="485" spans="1:6" ht="34.5" customHeight="1">
      <c r="A485" s="13">
        <v>482</v>
      </c>
      <c r="B485" s="14" t="str">
        <f>"60252023121811133125690"</f>
        <v>60252023121811133125690</v>
      </c>
      <c r="C485" s="15" t="str">
        <f>"李芳芳"</f>
        <v>李芳芳</v>
      </c>
      <c r="D485" s="15" t="str">
        <f>"女"</f>
        <v>女</v>
      </c>
      <c r="E485" s="16" t="s">
        <v>334</v>
      </c>
      <c r="F485" s="13"/>
    </row>
    <row r="486" spans="1:6" ht="34.5" customHeight="1">
      <c r="A486" s="13">
        <v>483</v>
      </c>
      <c r="B486" s="14" t="str">
        <f>"60252023121811043225594"</f>
        <v>60252023121811043225594</v>
      </c>
      <c r="C486" s="15" t="str">
        <f>"谢宜周"</f>
        <v>谢宜周</v>
      </c>
      <c r="D486" s="15" t="str">
        <f>"男"</f>
        <v>男</v>
      </c>
      <c r="E486" s="16" t="s">
        <v>335</v>
      </c>
      <c r="F486" s="13"/>
    </row>
    <row r="487" spans="1:6" ht="34.5" customHeight="1">
      <c r="A487" s="13">
        <v>484</v>
      </c>
      <c r="B487" s="14" t="str">
        <f>"60252023121810461525394"</f>
        <v>60252023121810461525394</v>
      </c>
      <c r="C487" s="15" t="str">
        <f>"王若松"</f>
        <v>王若松</v>
      </c>
      <c r="D487" s="15" t="str">
        <f>"男"</f>
        <v>男</v>
      </c>
      <c r="E487" s="16" t="s">
        <v>336</v>
      </c>
      <c r="F487" s="13"/>
    </row>
    <row r="488" spans="1:6" ht="34.5" customHeight="1">
      <c r="A488" s="13">
        <v>485</v>
      </c>
      <c r="B488" s="14" t="str">
        <f>"60252023121811204225762"</f>
        <v>60252023121811204225762</v>
      </c>
      <c r="C488" s="15" t="str">
        <f>"黄亚媛"</f>
        <v>黄亚媛</v>
      </c>
      <c r="D488" s="15" t="str">
        <f>"女"</f>
        <v>女</v>
      </c>
      <c r="E488" s="16" t="s">
        <v>337</v>
      </c>
      <c r="F488" s="13"/>
    </row>
    <row r="489" spans="1:6" ht="34.5" customHeight="1">
      <c r="A489" s="13">
        <v>486</v>
      </c>
      <c r="B489" s="14" t="str">
        <f>"60252023121811182225745"</f>
        <v>60252023121811182225745</v>
      </c>
      <c r="C489" s="15" t="str">
        <f>"肖奇炆"</f>
        <v>肖奇炆</v>
      </c>
      <c r="D489" s="15" t="str">
        <f>"男"</f>
        <v>男</v>
      </c>
      <c r="E489" s="16" t="s">
        <v>15</v>
      </c>
      <c r="F489" s="13"/>
    </row>
    <row r="490" spans="1:6" ht="34.5" customHeight="1">
      <c r="A490" s="13">
        <v>487</v>
      </c>
      <c r="B490" s="14" t="str">
        <f>"60252023121811140225697"</f>
        <v>60252023121811140225697</v>
      </c>
      <c r="C490" s="15" t="str">
        <f>"黄福凯"</f>
        <v>黄福凯</v>
      </c>
      <c r="D490" s="15" t="str">
        <f>"男"</f>
        <v>男</v>
      </c>
      <c r="E490" s="16" t="s">
        <v>338</v>
      </c>
      <c r="F490" s="13"/>
    </row>
    <row r="491" spans="1:6" ht="34.5" customHeight="1">
      <c r="A491" s="13">
        <v>488</v>
      </c>
      <c r="B491" s="14" t="str">
        <f>"60252023121810531425478"</f>
        <v>60252023121810531425478</v>
      </c>
      <c r="C491" s="15" t="str">
        <f>"卓子薇"</f>
        <v>卓子薇</v>
      </c>
      <c r="D491" s="15" t="str">
        <f>"女"</f>
        <v>女</v>
      </c>
      <c r="E491" s="16" t="s">
        <v>36</v>
      </c>
      <c r="F491" s="13"/>
    </row>
    <row r="492" spans="1:6" ht="34.5" customHeight="1">
      <c r="A492" s="13">
        <v>489</v>
      </c>
      <c r="B492" s="14" t="str">
        <f>"60252023121811300125848"</f>
        <v>60252023121811300125848</v>
      </c>
      <c r="C492" s="15" t="str">
        <f>"刘颖"</f>
        <v>刘颖</v>
      </c>
      <c r="D492" s="15" t="str">
        <f>"女"</f>
        <v>女</v>
      </c>
      <c r="E492" s="16" t="s">
        <v>68</v>
      </c>
      <c r="F492" s="13"/>
    </row>
    <row r="493" spans="1:6" ht="34.5" customHeight="1">
      <c r="A493" s="13">
        <v>490</v>
      </c>
      <c r="B493" s="14" t="str">
        <f>"60252023121811053325611"</f>
        <v>60252023121811053325611</v>
      </c>
      <c r="C493" s="15" t="str">
        <f>"罗贝"</f>
        <v>罗贝</v>
      </c>
      <c r="D493" s="15" t="str">
        <f>"女"</f>
        <v>女</v>
      </c>
      <c r="E493" s="16" t="s">
        <v>77</v>
      </c>
      <c r="F493" s="13"/>
    </row>
    <row r="494" spans="1:6" ht="34.5" customHeight="1">
      <c r="A494" s="13">
        <v>491</v>
      </c>
      <c r="B494" s="14" t="str">
        <f>"60252023121811235725787"</f>
        <v>60252023121811235725787</v>
      </c>
      <c r="C494" s="15" t="str">
        <f>"胡江文"</f>
        <v>胡江文</v>
      </c>
      <c r="D494" s="15" t="str">
        <f>"女"</f>
        <v>女</v>
      </c>
      <c r="E494" s="16" t="s">
        <v>198</v>
      </c>
      <c r="F494" s="13"/>
    </row>
    <row r="495" spans="1:6" ht="34.5" customHeight="1">
      <c r="A495" s="13">
        <v>492</v>
      </c>
      <c r="B495" s="14" t="str">
        <f>"60252023121811274025821"</f>
        <v>60252023121811274025821</v>
      </c>
      <c r="C495" s="15" t="str">
        <f>"符秀玲"</f>
        <v>符秀玲</v>
      </c>
      <c r="D495" s="15" t="str">
        <f>"女"</f>
        <v>女</v>
      </c>
      <c r="E495" s="16" t="s">
        <v>214</v>
      </c>
      <c r="F495" s="13"/>
    </row>
    <row r="496" spans="1:6" ht="34.5" customHeight="1">
      <c r="A496" s="13">
        <v>493</v>
      </c>
      <c r="B496" s="14" t="str">
        <f>"60252023121811262825808"</f>
        <v>60252023121811262825808</v>
      </c>
      <c r="C496" s="15" t="str">
        <f>"吴昊"</f>
        <v>吴昊</v>
      </c>
      <c r="D496" s="15" t="str">
        <f>"男"</f>
        <v>男</v>
      </c>
      <c r="E496" s="16" t="s">
        <v>339</v>
      </c>
      <c r="F496" s="13"/>
    </row>
    <row r="497" spans="1:6" ht="34.5" customHeight="1">
      <c r="A497" s="13">
        <v>494</v>
      </c>
      <c r="B497" s="14" t="str">
        <f>"60252023121811515425992"</f>
        <v>60252023121811515425992</v>
      </c>
      <c r="C497" s="15" t="str">
        <f>"温华康"</f>
        <v>温华康</v>
      </c>
      <c r="D497" s="15" t="str">
        <f>"男"</f>
        <v>男</v>
      </c>
      <c r="E497" s="16" t="s">
        <v>340</v>
      </c>
      <c r="F497" s="13"/>
    </row>
    <row r="498" spans="1:6" ht="34.5" customHeight="1">
      <c r="A498" s="13">
        <v>495</v>
      </c>
      <c r="B498" s="14" t="str">
        <f>"60252023121812043626049"</f>
        <v>60252023121812043626049</v>
      </c>
      <c r="C498" s="15" t="str">
        <f>"罗勇"</f>
        <v>罗勇</v>
      </c>
      <c r="D498" s="15" t="str">
        <f>"男"</f>
        <v>男</v>
      </c>
      <c r="E498" s="16" t="s">
        <v>341</v>
      </c>
      <c r="F498" s="13"/>
    </row>
    <row r="499" spans="1:6" ht="34.5" customHeight="1">
      <c r="A499" s="13">
        <v>496</v>
      </c>
      <c r="B499" s="14" t="str">
        <f>"60252023121811492325980"</f>
        <v>60252023121811492325980</v>
      </c>
      <c r="C499" s="15" t="str">
        <f>"张庆玲"</f>
        <v>张庆玲</v>
      </c>
      <c r="D499" s="15" t="str">
        <f>"女"</f>
        <v>女</v>
      </c>
      <c r="E499" s="16" t="s">
        <v>342</v>
      </c>
      <c r="F499" s="13"/>
    </row>
    <row r="500" spans="1:6" ht="34.5" customHeight="1">
      <c r="A500" s="13">
        <v>497</v>
      </c>
      <c r="B500" s="14" t="str">
        <f>"60252023121812143426101"</f>
        <v>60252023121812143426101</v>
      </c>
      <c r="C500" s="15" t="str">
        <f>"陈雅婷"</f>
        <v>陈雅婷</v>
      </c>
      <c r="D500" s="15" t="str">
        <f>"女"</f>
        <v>女</v>
      </c>
      <c r="E500" s="16" t="s">
        <v>343</v>
      </c>
      <c r="F500" s="13"/>
    </row>
    <row r="501" spans="1:6" ht="34.5" customHeight="1">
      <c r="A501" s="13">
        <v>498</v>
      </c>
      <c r="B501" s="14" t="str">
        <f>"60252023121812100926079"</f>
        <v>60252023121812100926079</v>
      </c>
      <c r="C501" s="15" t="str">
        <f>"符昌爱"</f>
        <v>符昌爱</v>
      </c>
      <c r="D501" s="15" t="str">
        <f>"女"</f>
        <v>女</v>
      </c>
      <c r="E501" s="16" t="s">
        <v>101</v>
      </c>
      <c r="F501" s="13"/>
    </row>
    <row r="502" spans="1:6" ht="34.5" customHeight="1">
      <c r="A502" s="13">
        <v>499</v>
      </c>
      <c r="B502" s="14" t="str">
        <f>"60252023121812240926151"</f>
        <v>60252023121812240926151</v>
      </c>
      <c r="C502" s="15" t="str">
        <f>"吴金霞"</f>
        <v>吴金霞</v>
      </c>
      <c r="D502" s="15" t="str">
        <f>"女"</f>
        <v>女</v>
      </c>
      <c r="E502" s="16" t="s">
        <v>344</v>
      </c>
      <c r="F502" s="13"/>
    </row>
    <row r="503" spans="1:6" ht="34.5" customHeight="1">
      <c r="A503" s="13">
        <v>500</v>
      </c>
      <c r="B503" s="14" t="str">
        <f>"60252023121811453125956"</f>
        <v>60252023121811453125956</v>
      </c>
      <c r="C503" s="15" t="str">
        <f>"陈宗旺"</f>
        <v>陈宗旺</v>
      </c>
      <c r="D503" s="15" t="str">
        <f>"男"</f>
        <v>男</v>
      </c>
      <c r="E503" s="16" t="s">
        <v>345</v>
      </c>
      <c r="F503" s="13"/>
    </row>
    <row r="504" spans="1:6" ht="34.5" customHeight="1">
      <c r="A504" s="13">
        <v>501</v>
      </c>
      <c r="B504" s="14" t="str">
        <f>"60252023121812295626180"</f>
        <v>60252023121812295626180</v>
      </c>
      <c r="C504" s="15" t="str">
        <f>"薛选金"</f>
        <v>薛选金</v>
      </c>
      <c r="D504" s="15" t="str">
        <f>"女"</f>
        <v>女</v>
      </c>
      <c r="E504" s="16" t="s">
        <v>156</v>
      </c>
      <c r="F504" s="13"/>
    </row>
    <row r="505" spans="1:6" ht="34.5" customHeight="1">
      <c r="A505" s="13">
        <v>502</v>
      </c>
      <c r="B505" s="14" t="str">
        <f>"60252023121812241326154"</f>
        <v>60252023121812241326154</v>
      </c>
      <c r="C505" s="15" t="str">
        <f>"张慧琼"</f>
        <v>张慧琼</v>
      </c>
      <c r="D505" s="15" t="str">
        <f>"女"</f>
        <v>女</v>
      </c>
      <c r="E505" s="16" t="s">
        <v>205</v>
      </c>
      <c r="F505" s="13"/>
    </row>
    <row r="506" spans="1:6" ht="34.5" customHeight="1">
      <c r="A506" s="13">
        <v>503</v>
      </c>
      <c r="B506" s="14" t="str">
        <f>"60252023121812440926254"</f>
        <v>60252023121812440926254</v>
      </c>
      <c r="C506" s="15" t="str">
        <f>"王崴"</f>
        <v>王崴</v>
      </c>
      <c r="D506" s="15" t="str">
        <f>"男"</f>
        <v>男</v>
      </c>
      <c r="E506" s="16" t="s">
        <v>15</v>
      </c>
      <c r="F506" s="13"/>
    </row>
    <row r="507" spans="1:6" ht="34.5" customHeight="1">
      <c r="A507" s="13">
        <v>504</v>
      </c>
      <c r="B507" s="14" t="str">
        <f>"60252023121814154826694"</f>
        <v>60252023121814154826694</v>
      </c>
      <c r="C507" s="15" t="str">
        <f>"周博文"</f>
        <v>周博文</v>
      </c>
      <c r="D507" s="15" t="str">
        <f>"女"</f>
        <v>女</v>
      </c>
      <c r="E507" s="16" t="s">
        <v>346</v>
      </c>
      <c r="F507" s="13"/>
    </row>
    <row r="508" spans="1:6" ht="34.5" customHeight="1">
      <c r="A508" s="13">
        <v>505</v>
      </c>
      <c r="B508" s="14" t="str">
        <f>"60252023121813042826367"</f>
        <v>60252023121813042826367</v>
      </c>
      <c r="C508" s="15" t="str">
        <f>"卢巧芬"</f>
        <v>卢巧芬</v>
      </c>
      <c r="D508" s="15" t="str">
        <f>"女"</f>
        <v>女</v>
      </c>
      <c r="E508" s="16" t="s">
        <v>347</v>
      </c>
      <c r="F508" s="13"/>
    </row>
    <row r="509" spans="1:6" ht="34.5" customHeight="1">
      <c r="A509" s="13">
        <v>506</v>
      </c>
      <c r="B509" s="14" t="str">
        <f>"60252023121814353126820"</f>
        <v>60252023121814353126820</v>
      </c>
      <c r="C509" s="15" t="str">
        <f>"吴多杰"</f>
        <v>吴多杰</v>
      </c>
      <c r="D509" s="15" t="str">
        <f>"男"</f>
        <v>男</v>
      </c>
      <c r="E509" s="16" t="s">
        <v>224</v>
      </c>
      <c r="F509" s="13"/>
    </row>
    <row r="510" spans="1:6" ht="34.5" customHeight="1">
      <c r="A510" s="13">
        <v>507</v>
      </c>
      <c r="B510" s="14" t="str">
        <f>"60252023121814564627011"</f>
        <v>60252023121814564627011</v>
      </c>
      <c r="C510" s="15" t="str">
        <f>"金兆芹"</f>
        <v>金兆芹</v>
      </c>
      <c r="D510" s="15" t="str">
        <f>"女"</f>
        <v>女</v>
      </c>
      <c r="E510" s="16" t="s">
        <v>96</v>
      </c>
      <c r="F510" s="13"/>
    </row>
    <row r="511" spans="1:6" ht="34.5" customHeight="1">
      <c r="A511" s="13">
        <v>508</v>
      </c>
      <c r="B511" s="14" t="str">
        <f>"60252023121810165225085"</f>
        <v>60252023121810165225085</v>
      </c>
      <c r="C511" s="15" t="str">
        <f>"辜冠铭"</f>
        <v>辜冠铭</v>
      </c>
      <c r="D511" s="15" t="str">
        <f>"男"</f>
        <v>男</v>
      </c>
      <c r="E511" s="16" t="s">
        <v>17</v>
      </c>
      <c r="F511" s="13"/>
    </row>
    <row r="512" spans="1:6" ht="34.5" customHeight="1">
      <c r="A512" s="13">
        <v>509</v>
      </c>
      <c r="B512" s="14" t="str">
        <f>"60252023121814391626854"</f>
        <v>60252023121814391626854</v>
      </c>
      <c r="C512" s="15" t="str">
        <f>"郑志淋"</f>
        <v>郑志淋</v>
      </c>
      <c r="D512" s="15" t="str">
        <f>"女"</f>
        <v>女</v>
      </c>
      <c r="E512" s="16" t="s">
        <v>200</v>
      </c>
      <c r="F512" s="13"/>
    </row>
    <row r="513" spans="1:6" ht="34.5" customHeight="1">
      <c r="A513" s="13">
        <v>510</v>
      </c>
      <c r="B513" s="14" t="str">
        <f>"60252023121815160827162"</f>
        <v>60252023121815160827162</v>
      </c>
      <c r="C513" s="15" t="str">
        <f>"黄思宇"</f>
        <v>黄思宇</v>
      </c>
      <c r="D513" s="15" t="str">
        <f>"男"</f>
        <v>男</v>
      </c>
      <c r="E513" s="16" t="s">
        <v>312</v>
      </c>
      <c r="F513" s="13"/>
    </row>
    <row r="514" spans="1:6" ht="34.5" customHeight="1">
      <c r="A514" s="13">
        <v>511</v>
      </c>
      <c r="B514" s="14" t="str">
        <f>"60252023121815180427182"</f>
        <v>60252023121815180427182</v>
      </c>
      <c r="C514" s="15" t="str">
        <f>"王春梅"</f>
        <v>王春梅</v>
      </c>
      <c r="D514" s="15" t="str">
        <f>"女"</f>
        <v>女</v>
      </c>
      <c r="E514" s="16" t="s">
        <v>114</v>
      </c>
      <c r="F514" s="13"/>
    </row>
    <row r="515" spans="1:6" ht="34.5" customHeight="1">
      <c r="A515" s="13">
        <v>512</v>
      </c>
      <c r="B515" s="14" t="str">
        <f>"60252023121815371327318"</f>
        <v>60252023121815371327318</v>
      </c>
      <c r="C515" s="15" t="str">
        <f>"谢振生"</f>
        <v>谢振生</v>
      </c>
      <c r="D515" s="15" t="str">
        <f>"男"</f>
        <v>男</v>
      </c>
      <c r="E515" s="16" t="s">
        <v>348</v>
      </c>
      <c r="F515" s="13"/>
    </row>
    <row r="516" spans="1:6" ht="34.5" customHeight="1">
      <c r="A516" s="13">
        <v>513</v>
      </c>
      <c r="B516" s="14" t="str">
        <f>"60252023121815460827389"</f>
        <v>60252023121815460827389</v>
      </c>
      <c r="C516" s="15" t="str">
        <f>"林小妹"</f>
        <v>林小妹</v>
      </c>
      <c r="D516" s="15" t="str">
        <f aca="true" t="shared" si="19" ref="D516:D524">"女"</f>
        <v>女</v>
      </c>
      <c r="E516" s="16" t="s">
        <v>217</v>
      </c>
      <c r="F516" s="13"/>
    </row>
    <row r="517" spans="1:6" ht="34.5" customHeight="1">
      <c r="A517" s="13">
        <v>514</v>
      </c>
      <c r="B517" s="14" t="str">
        <f>"60252023121815232527217"</f>
        <v>60252023121815232527217</v>
      </c>
      <c r="C517" s="15" t="str">
        <f>"陈泽颖"</f>
        <v>陈泽颖</v>
      </c>
      <c r="D517" s="15" t="str">
        <f t="shared" si="19"/>
        <v>女</v>
      </c>
      <c r="E517" s="16" t="s">
        <v>50</v>
      </c>
      <c r="F517" s="13"/>
    </row>
    <row r="518" spans="1:6" ht="34.5" customHeight="1">
      <c r="A518" s="13">
        <v>515</v>
      </c>
      <c r="B518" s="14" t="str">
        <f>"60252023121809462924715"</f>
        <v>60252023121809462924715</v>
      </c>
      <c r="C518" s="15" t="str">
        <f>"黄连春"</f>
        <v>黄连春</v>
      </c>
      <c r="D518" s="15" t="str">
        <f t="shared" si="19"/>
        <v>女</v>
      </c>
      <c r="E518" s="16" t="s">
        <v>349</v>
      </c>
      <c r="F518" s="13"/>
    </row>
    <row r="519" spans="1:6" ht="34.5" customHeight="1">
      <c r="A519" s="13">
        <v>516</v>
      </c>
      <c r="B519" s="14" t="str">
        <f>"60252023121815111427126"</f>
        <v>60252023121815111427126</v>
      </c>
      <c r="C519" s="15" t="str">
        <f>"范洁辰"</f>
        <v>范洁辰</v>
      </c>
      <c r="D519" s="15" t="str">
        <f t="shared" si="19"/>
        <v>女</v>
      </c>
      <c r="E519" s="16" t="s">
        <v>350</v>
      </c>
      <c r="F519" s="13"/>
    </row>
    <row r="520" spans="1:6" ht="34.5" customHeight="1">
      <c r="A520" s="13">
        <v>517</v>
      </c>
      <c r="B520" s="14" t="str">
        <f>"60252023121811075025631"</f>
        <v>60252023121811075025631</v>
      </c>
      <c r="C520" s="15" t="str">
        <f>"薛吉丹"</f>
        <v>薛吉丹</v>
      </c>
      <c r="D520" s="15" t="str">
        <f t="shared" si="19"/>
        <v>女</v>
      </c>
      <c r="E520" s="16" t="s">
        <v>351</v>
      </c>
      <c r="F520" s="13"/>
    </row>
    <row r="521" spans="1:6" ht="34.5" customHeight="1">
      <c r="A521" s="13">
        <v>518</v>
      </c>
      <c r="B521" s="14" t="str">
        <f>"60252023121815195127200"</f>
        <v>60252023121815195127200</v>
      </c>
      <c r="C521" s="15" t="str">
        <f>"邱娟燕"</f>
        <v>邱娟燕</v>
      </c>
      <c r="D521" s="15" t="str">
        <f t="shared" si="19"/>
        <v>女</v>
      </c>
      <c r="E521" s="16" t="s">
        <v>273</v>
      </c>
      <c r="F521" s="13"/>
    </row>
    <row r="522" spans="1:6" ht="34.5" customHeight="1">
      <c r="A522" s="13">
        <v>519</v>
      </c>
      <c r="B522" s="14" t="str">
        <f>"60252023121810010224887"</f>
        <v>60252023121810010224887</v>
      </c>
      <c r="C522" s="15" t="str">
        <f>"冯紫娴"</f>
        <v>冯紫娴</v>
      </c>
      <c r="D522" s="15" t="str">
        <f t="shared" si="19"/>
        <v>女</v>
      </c>
      <c r="E522" s="16" t="s">
        <v>106</v>
      </c>
      <c r="F522" s="13"/>
    </row>
    <row r="523" spans="1:6" ht="34.5" customHeight="1">
      <c r="A523" s="13">
        <v>520</v>
      </c>
      <c r="B523" s="14" t="str">
        <f>"60252023121815345127296"</f>
        <v>60252023121815345127296</v>
      </c>
      <c r="C523" s="15" t="str">
        <f>"游媛珺"</f>
        <v>游媛珺</v>
      </c>
      <c r="D523" s="15" t="str">
        <f t="shared" si="19"/>
        <v>女</v>
      </c>
      <c r="E523" s="16" t="s">
        <v>352</v>
      </c>
      <c r="F523" s="13"/>
    </row>
    <row r="524" spans="1:6" ht="34.5" customHeight="1">
      <c r="A524" s="13">
        <v>521</v>
      </c>
      <c r="B524" s="14" t="str">
        <f>"60252023121815464227396"</f>
        <v>60252023121815464227396</v>
      </c>
      <c r="C524" s="15" t="str">
        <f>"王芳梅"</f>
        <v>王芳梅</v>
      </c>
      <c r="D524" s="15" t="str">
        <f t="shared" si="19"/>
        <v>女</v>
      </c>
      <c r="E524" s="16" t="s">
        <v>353</v>
      </c>
      <c r="F524" s="13"/>
    </row>
    <row r="525" spans="1:6" ht="34.5" customHeight="1">
      <c r="A525" s="13">
        <v>522</v>
      </c>
      <c r="B525" s="14" t="str">
        <f>"60252023121815440827376"</f>
        <v>60252023121815440827376</v>
      </c>
      <c r="C525" s="15" t="str">
        <f>"黄锦珺"</f>
        <v>黄锦珺</v>
      </c>
      <c r="D525" s="15" t="str">
        <f>"男"</f>
        <v>男</v>
      </c>
      <c r="E525" s="16" t="s">
        <v>354</v>
      </c>
      <c r="F525" s="13"/>
    </row>
    <row r="526" spans="1:6" ht="34.5" customHeight="1">
      <c r="A526" s="13">
        <v>523</v>
      </c>
      <c r="B526" s="14" t="str">
        <f>"60252023121815353227304"</f>
        <v>60252023121815353227304</v>
      </c>
      <c r="C526" s="15" t="str">
        <f>"马美璇"</f>
        <v>马美璇</v>
      </c>
      <c r="D526" s="15" t="str">
        <f>"女"</f>
        <v>女</v>
      </c>
      <c r="E526" s="16" t="s">
        <v>355</v>
      </c>
      <c r="F526" s="13"/>
    </row>
    <row r="527" spans="1:6" ht="34.5" customHeight="1">
      <c r="A527" s="13">
        <v>524</v>
      </c>
      <c r="B527" s="14" t="str">
        <f>"60252023121816151027592"</f>
        <v>60252023121816151027592</v>
      </c>
      <c r="C527" s="15" t="str">
        <f>"黄欢怡"</f>
        <v>黄欢怡</v>
      </c>
      <c r="D527" s="15" t="str">
        <f>"女"</f>
        <v>女</v>
      </c>
      <c r="E527" s="16" t="s">
        <v>356</v>
      </c>
      <c r="F527" s="13"/>
    </row>
    <row r="528" spans="1:6" ht="34.5" customHeight="1">
      <c r="A528" s="13">
        <v>525</v>
      </c>
      <c r="B528" s="14" t="str">
        <f>"60252023121816004227488"</f>
        <v>60252023121816004227488</v>
      </c>
      <c r="C528" s="15" t="str">
        <f>"高凌"</f>
        <v>高凌</v>
      </c>
      <c r="D528" s="15" t="str">
        <f>"女"</f>
        <v>女</v>
      </c>
      <c r="E528" s="16" t="s">
        <v>357</v>
      </c>
      <c r="F528" s="13"/>
    </row>
    <row r="529" spans="1:6" ht="34.5" customHeight="1">
      <c r="A529" s="13">
        <v>526</v>
      </c>
      <c r="B529" s="14" t="str">
        <f>"60252023121816135227587"</f>
        <v>60252023121816135227587</v>
      </c>
      <c r="C529" s="15" t="str">
        <f>"吴红"</f>
        <v>吴红</v>
      </c>
      <c r="D529" s="15" t="str">
        <f>"男"</f>
        <v>男</v>
      </c>
      <c r="E529" s="16" t="s">
        <v>358</v>
      </c>
      <c r="F529" s="13"/>
    </row>
    <row r="530" spans="1:6" ht="34.5" customHeight="1">
      <c r="A530" s="13">
        <v>527</v>
      </c>
      <c r="B530" s="14" t="str">
        <f>"60252023121816271027674"</f>
        <v>60252023121816271027674</v>
      </c>
      <c r="C530" s="15" t="str">
        <f>"罗茂"</f>
        <v>罗茂</v>
      </c>
      <c r="D530" s="15" t="str">
        <f>"男"</f>
        <v>男</v>
      </c>
      <c r="E530" s="16" t="s">
        <v>359</v>
      </c>
      <c r="F530" s="13"/>
    </row>
    <row r="531" spans="1:6" ht="34.5" customHeight="1">
      <c r="A531" s="13">
        <v>528</v>
      </c>
      <c r="B531" s="14" t="str">
        <f>"60252023121815532427445"</f>
        <v>60252023121815532427445</v>
      </c>
      <c r="C531" s="15" t="str">
        <f>"王大伟"</f>
        <v>王大伟</v>
      </c>
      <c r="D531" s="15" t="str">
        <f>"男"</f>
        <v>男</v>
      </c>
      <c r="E531" s="16" t="s">
        <v>360</v>
      </c>
      <c r="F531" s="13"/>
    </row>
    <row r="532" spans="1:6" ht="34.5" customHeight="1">
      <c r="A532" s="13">
        <v>529</v>
      </c>
      <c r="B532" s="14" t="str">
        <f>"60252023121816324627707"</f>
        <v>60252023121816324627707</v>
      </c>
      <c r="C532" s="15" t="str">
        <f>"黄柏栋"</f>
        <v>黄柏栋</v>
      </c>
      <c r="D532" s="15" t="str">
        <f>"男"</f>
        <v>男</v>
      </c>
      <c r="E532" s="16" t="s">
        <v>361</v>
      </c>
      <c r="F532" s="13"/>
    </row>
    <row r="533" spans="1:6" ht="34.5" customHeight="1">
      <c r="A533" s="13">
        <v>530</v>
      </c>
      <c r="B533" s="14" t="str">
        <f>"60252023121811020125564"</f>
        <v>60252023121811020125564</v>
      </c>
      <c r="C533" s="15" t="str">
        <f>"罗嘉伟"</f>
        <v>罗嘉伟</v>
      </c>
      <c r="D533" s="15" t="str">
        <f>"男"</f>
        <v>男</v>
      </c>
      <c r="E533" s="16" t="s">
        <v>362</v>
      </c>
      <c r="F533" s="13"/>
    </row>
    <row r="534" spans="1:6" ht="34.5" customHeight="1">
      <c r="A534" s="13">
        <v>531</v>
      </c>
      <c r="B534" s="14" t="str">
        <f>"60252023121811051425603"</f>
        <v>60252023121811051425603</v>
      </c>
      <c r="C534" s="15" t="str">
        <f>"邱明月"</f>
        <v>邱明月</v>
      </c>
      <c r="D534" s="15" t="str">
        <f>"女"</f>
        <v>女</v>
      </c>
      <c r="E534" s="16" t="s">
        <v>144</v>
      </c>
      <c r="F534" s="13"/>
    </row>
    <row r="535" spans="1:6" ht="34.5" customHeight="1">
      <c r="A535" s="13">
        <v>532</v>
      </c>
      <c r="B535" s="14" t="str">
        <f>"60252023121816181427611"</f>
        <v>60252023121816181427611</v>
      </c>
      <c r="C535" s="15" t="str">
        <f>"韩莹"</f>
        <v>韩莹</v>
      </c>
      <c r="D535" s="15" t="str">
        <f>"女"</f>
        <v>女</v>
      </c>
      <c r="E535" s="16" t="s">
        <v>198</v>
      </c>
      <c r="F535" s="13"/>
    </row>
    <row r="536" spans="1:6" ht="34.5" customHeight="1">
      <c r="A536" s="13">
        <v>533</v>
      </c>
      <c r="B536" s="14" t="str">
        <f>"60252023121816194827623"</f>
        <v>60252023121816194827623</v>
      </c>
      <c r="C536" s="15" t="str">
        <f>"薄洋"</f>
        <v>薄洋</v>
      </c>
      <c r="D536" s="15" t="str">
        <f>"女"</f>
        <v>女</v>
      </c>
      <c r="E536" s="16" t="s">
        <v>363</v>
      </c>
      <c r="F536" s="13"/>
    </row>
    <row r="537" spans="1:6" ht="34.5" customHeight="1">
      <c r="A537" s="13">
        <v>534</v>
      </c>
      <c r="B537" s="14" t="str">
        <f>"60252023121816370927734"</f>
        <v>60252023121816370927734</v>
      </c>
      <c r="C537" s="15" t="str">
        <f>"周石林"</f>
        <v>周石林</v>
      </c>
      <c r="D537" s="15" t="str">
        <f>"男"</f>
        <v>男</v>
      </c>
      <c r="E537" s="16" t="s">
        <v>297</v>
      </c>
      <c r="F537" s="13"/>
    </row>
    <row r="538" spans="1:6" ht="34.5" customHeight="1">
      <c r="A538" s="13">
        <v>535</v>
      </c>
      <c r="B538" s="14" t="str">
        <f>"60252023121814302326784"</f>
        <v>60252023121814302326784</v>
      </c>
      <c r="C538" s="15" t="str">
        <f>"吴小丽"</f>
        <v>吴小丽</v>
      </c>
      <c r="D538" s="15" t="str">
        <f>"女"</f>
        <v>女</v>
      </c>
      <c r="E538" s="16" t="s">
        <v>172</v>
      </c>
      <c r="F538" s="13"/>
    </row>
    <row r="539" spans="1:6" ht="34.5" customHeight="1">
      <c r="A539" s="13">
        <v>536</v>
      </c>
      <c r="B539" s="14" t="str">
        <f>"60252023121817022927890"</f>
        <v>60252023121817022927890</v>
      </c>
      <c r="C539" s="15" t="str">
        <f>"王有文"</f>
        <v>王有文</v>
      </c>
      <c r="D539" s="15" t="str">
        <f>"男"</f>
        <v>男</v>
      </c>
      <c r="E539" s="16" t="s">
        <v>364</v>
      </c>
      <c r="F539" s="13"/>
    </row>
    <row r="540" spans="1:6" ht="34.5" customHeight="1">
      <c r="A540" s="13">
        <v>537</v>
      </c>
      <c r="B540" s="14" t="str">
        <f>"60252023121817042327899"</f>
        <v>60252023121817042327899</v>
      </c>
      <c r="C540" s="15" t="str">
        <f>"张可"</f>
        <v>张可</v>
      </c>
      <c r="D540" s="15" t="str">
        <f>"女"</f>
        <v>女</v>
      </c>
      <c r="E540" s="16" t="s">
        <v>365</v>
      </c>
      <c r="F540" s="13"/>
    </row>
    <row r="541" spans="1:6" ht="34.5" customHeight="1">
      <c r="A541" s="13">
        <v>538</v>
      </c>
      <c r="B541" s="14" t="str">
        <f>"60252023121811443725950"</f>
        <v>60252023121811443725950</v>
      </c>
      <c r="C541" s="15" t="str">
        <f>"林志仕"</f>
        <v>林志仕</v>
      </c>
      <c r="D541" s="15" t="str">
        <f>"男"</f>
        <v>男</v>
      </c>
      <c r="E541" s="16" t="s">
        <v>39</v>
      </c>
      <c r="F541" s="13"/>
    </row>
    <row r="542" spans="1:6" ht="34.5" customHeight="1">
      <c r="A542" s="13">
        <v>539</v>
      </c>
      <c r="B542" s="14" t="str">
        <f>"60252023121817174427972"</f>
        <v>60252023121817174427972</v>
      </c>
      <c r="C542" s="15" t="str">
        <f>"陈定科"</f>
        <v>陈定科</v>
      </c>
      <c r="D542" s="15" t="str">
        <f>"男"</f>
        <v>男</v>
      </c>
      <c r="E542" s="16" t="s">
        <v>193</v>
      </c>
      <c r="F542" s="13"/>
    </row>
    <row r="543" spans="1:6" ht="34.5" customHeight="1">
      <c r="A543" s="13">
        <v>540</v>
      </c>
      <c r="B543" s="14" t="str">
        <f>"60252023121817204927982"</f>
        <v>60252023121817204927982</v>
      </c>
      <c r="C543" s="15" t="str">
        <f>"吕娟"</f>
        <v>吕娟</v>
      </c>
      <c r="D543" s="15" t="str">
        <f>"女"</f>
        <v>女</v>
      </c>
      <c r="E543" s="16" t="s">
        <v>93</v>
      </c>
      <c r="F543" s="13"/>
    </row>
    <row r="544" spans="1:6" ht="34.5" customHeight="1">
      <c r="A544" s="13">
        <v>541</v>
      </c>
      <c r="B544" s="14" t="str">
        <f>"60252023121817302228039"</f>
        <v>60252023121817302228039</v>
      </c>
      <c r="C544" s="15" t="str">
        <f>"陈冲"</f>
        <v>陈冲</v>
      </c>
      <c r="D544" s="15" t="str">
        <f>"男"</f>
        <v>男</v>
      </c>
      <c r="E544" s="16" t="s">
        <v>366</v>
      </c>
      <c r="F544" s="13"/>
    </row>
    <row r="545" spans="1:6" ht="34.5" customHeight="1">
      <c r="A545" s="13">
        <v>542</v>
      </c>
      <c r="B545" s="14" t="str">
        <f>"60252023121817190327976"</f>
        <v>60252023121817190327976</v>
      </c>
      <c r="C545" s="15" t="str">
        <f>"符新旭"</f>
        <v>符新旭</v>
      </c>
      <c r="D545" s="15" t="str">
        <f>"男"</f>
        <v>男</v>
      </c>
      <c r="E545" s="16" t="s">
        <v>367</v>
      </c>
      <c r="F545" s="13"/>
    </row>
    <row r="546" spans="1:6" ht="34.5" customHeight="1">
      <c r="A546" s="13">
        <v>543</v>
      </c>
      <c r="B546" s="14" t="str">
        <f>"60252023121817271128021"</f>
        <v>60252023121817271128021</v>
      </c>
      <c r="C546" s="15" t="str">
        <f>"吴胜昔"</f>
        <v>吴胜昔</v>
      </c>
      <c r="D546" s="15" t="str">
        <f>"男"</f>
        <v>男</v>
      </c>
      <c r="E546" s="16" t="s">
        <v>368</v>
      </c>
      <c r="F546" s="13"/>
    </row>
    <row r="547" spans="1:6" ht="34.5" customHeight="1">
      <c r="A547" s="13">
        <v>544</v>
      </c>
      <c r="B547" s="14" t="str">
        <f>"60252023121817311728042"</f>
        <v>60252023121817311728042</v>
      </c>
      <c r="C547" s="15" t="str">
        <f>"陈春吉"</f>
        <v>陈春吉</v>
      </c>
      <c r="D547" s="15" t="str">
        <f>"男"</f>
        <v>男</v>
      </c>
      <c r="E547" s="16" t="s">
        <v>369</v>
      </c>
      <c r="F547" s="13"/>
    </row>
    <row r="548" spans="1:6" ht="34.5" customHeight="1">
      <c r="A548" s="13">
        <v>545</v>
      </c>
      <c r="B548" s="14" t="str">
        <f>"60252023121817543628111"</f>
        <v>60252023121817543628111</v>
      </c>
      <c r="C548" s="15" t="str">
        <f>"刘婉莹"</f>
        <v>刘婉莹</v>
      </c>
      <c r="D548" s="15" t="str">
        <f>"女"</f>
        <v>女</v>
      </c>
      <c r="E548" s="16" t="s">
        <v>106</v>
      </c>
      <c r="F548" s="13"/>
    </row>
    <row r="549" spans="1:6" ht="34.5" customHeight="1">
      <c r="A549" s="13">
        <v>546</v>
      </c>
      <c r="B549" s="14" t="str">
        <f>"60252023121810241525170"</f>
        <v>60252023121810241525170</v>
      </c>
      <c r="C549" s="15" t="str">
        <f>"黄剑胜"</f>
        <v>黄剑胜</v>
      </c>
      <c r="D549" s="15" t="str">
        <f>"男"</f>
        <v>男</v>
      </c>
      <c r="E549" s="16" t="s">
        <v>370</v>
      </c>
      <c r="F549" s="13"/>
    </row>
    <row r="550" spans="1:6" ht="34.5" customHeight="1">
      <c r="A550" s="13">
        <v>547</v>
      </c>
      <c r="B550" s="14" t="str">
        <f>"60252023121817391128068"</f>
        <v>60252023121817391128068</v>
      </c>
      <c r="C550" s="15" t="str">
        <f>"周峻平"</f>
        <v>周峻平</v>
      </c>
      <c r="D550" s="15" t="str">
        <f>"男"</f>
        <v>男</v>
      </c>
      <c r="E550" s="16" t="s">
        <v>371</v>
      </c>
      <c r="F550" s="13"/>
    </row>
    <row r="551" spans="1:6" ht="34.5" customHeight="1">
      <c r="A551" s="13">
        <v>548</v>
      </c>
      <c r="B551" s="14" t="str">
        <f>"60252023121818485328298"</f>
        <v>60252023121818485328298</v>
      </c>
      <c r="C551" s="15" t="str">
        <f>"唐云英"</f>
        <v>唐云英</v>
      </c>
      <c r="D551" s="15" t="str">
        <f>"男"</f>
        <v>男</v>
      </c>
      <c r="E551" s="16" t="s">
        <v>30</v>
      </c>
      <c r="F551" s="13"/>
    </row>
    <row r="552" spans="1:6" ht="34.5" customHeight="1">
      <c r="A552" s="13">
        <v>549</v>
      </c>
      <c r="B552" s="14" t="str">
        <f>"60252023121813400726516"</f>
        <v>60252023121813400726516</v>
      </c>
      <c r="C552" s="15" t="str">
        <f>"王鸿夏"</f>
        <v>王鸿夏</v>
      </c>
      <c r="D552" s="15" t="str">
        <f>"女"</f>
        <v>女</v>
      </c>
      <c r="E552" s="16" t="s">
        <v>372</v>
      </c>
      <c r="F552" s="13"/>
    </row>
    <row r="553" spans="1:6" ht="34.5" customHeight="1">
      <c r="A553" s="13">
        <v>550</v>
      </c>
      <c r="B553" s="14" t="str">
        <f>"60252023121818303628239"</f>
        <v>60252023121818303628239</v>
      </c>
      <c r="C553" s="15" t="str">
        <f>"王銮芳"</f>
        <v>王銮芳</v>
      </c>
      <c r="D553" s="15" t="str">
        <f>"女"</f>
        <v>女</v>
      </c>
      <c r="E553" s="16" t="s">
        <v>182</v>
      </c>
      <c r="F553" s="13"/>
    </row>
    <row r="554" spans="1:6" ht="34.5" customHeight="1">
      <c r="A554" s="13">
        <v>551</v>
      </c>
      <c r="B554" s="14" t="str">
        <f>"60252023121817235328002"</f>
        <v>60252023121817235328002</v>
      </c>
      <c r="C554" s="15" t="str">
        <f>"李英俊"</f>
        <v>李英俊</v>
      </c>
      <c r="D554" s="15" t="str">
        <f>"男"</f>
        <v>男</v>
      </c>
      <c r="E554" s="16" t="s">
        <v>47</v>
      </c>
      <c r="F554" s="13"/>
    </row>
    <row r="555" spans="1:6" ht="34.5" customHeight="1">
      <c r="A555" s="13">
        <v>552</v>
      </c>
      <c r="B555" s="14" t="str">
        <f>"60252023121816060427535"</f>
        <v>60252023121816060427535</v>
      </c>
      <c r="C555" s="15" t="str">
        <f>"符茵茵"</f>
        <v>符茵茵</v>
      </c>
      <c r="D555" s="15" t="str">
        <f>"女"</f>
        <v>女</v>
      </c>
      <c r="E555" s="16" t="s">
        <v>169</v>
      </c>
      <c r="F555" s="13"/>
    </row>
    <row r="556" spans="1:6" ht="34.5" customHeight="1">
      <c r="A556" s="13">
        <v>553</v>
      </c>
      <c r="B556" s="14" t="str">
        <f>"60252023121815233027218"</f>
        <v>60252023121815233027218</v>
      </c>
      <c r="C556" s="15" t="str">
        <f>"彭书望"</f>
        <v>彭书望</v>
      </c>
      <c r="D556" s="15" t="str">
        <f>"男"</f>
        <v>男</v>
      </c>
      <c r="E556" s="16" t="s">
        <v>373</v>
      </c>
      <c r="F556" s="13"/>
    </row>
    <row r="557" spans="1:6" ht="34.5" customHeight="1">
      <c r="A557" s="13">
        <v>554</v>
      </c>
      <c r="B557" s="14" t="str">
        <f>"60252023121820000528595"</f>
        <v>60252023121820000528595</v>
      </c>
      <c r="C557" s="15" t="str">
        <f>"刘家声"</f>
        <v>刘家声</v>
      </c>
      <c r="D557" s="15" t="str">
        <f>"男"</f>
        <v>男</v>
      </c>
      <c r="E557" s="16" t="s">
        <v>374</v>
      </c>
      <c r="F557" s="13"/>
    </row>
    <row r="558" spans="1:6" ht="34.5" customHeight="1">
      <c r="A558" s="13">
        <v>555</v>
      </c>
      <c r="B558" s="14" t="str">
        <f>"60252023121811512725991"</f>
        <v>60252023121811512725991</v>
      </c>
      <c r="C558" s="15" t="str">
        <f>"陈晓玲"</f>
        <v>陈晓玲</v>
      </c>
      <c r="D558" s="15" t="str">
        <f>"女"</f>
        <v>女</v>
      </c>
      <c r="E558" s="16" t="s">
        <v>375</v>
      </c>
      <c r="F558" s="13"/>
    </row>
    <row r="559" spans="1:6" ht="34.5" customHeight="1">
      <c r="A559" s="13">
        <v>556</v>
      </c>
      <c r="B559" s="14" t="str">
        <f>"60252023121820282228720"</f>
        <v>60252023121820282228720</v>
      </c>
      <c r="C559" s="15" t="str">
        <f>"陈正亮"</f>
        <v>陈正亮</v>
      </c>
      <c r="D559" s="15" t="str">
        <f>"男"</f>
        <v>男</v>
      </c>
      <c r="E559" s="16" t="s">
        <v>297</v>
      </c>
      <c r="F559" s="13"/>
    </row>
    <row r="560" spans="1:6" ht="34.5" customHeight="1">
      <c r="A560" s="13">
        <v>557</v>
      </c>
      <c r="B560" s="14" t="str">
        <f>"60252023121820060328623"</f>
        <v>60252023121820060328623</v>
      </c>
      <c r="C560" s="15" t="str">
        <f>"吴杰郎"</f>
        <v>吴杰郎</v>
      </c>
      <c r="D560" s="15" t="str">
        <f>"男"</f>
        <v>男</v>
      </c>
      <c r="E560" s="16" t="s">
        <v>376</v>
      </c>
      <c r="F560" s="13"/>
    </row>
    <row r="561" spans="1:6" ht="34.5" customHeight="1">
      <c r="A561" s="13">
        <v>558</v>
      </c>
      <c r="B561" s="14" t="str">
        <f>"60252023121820500228817"</f>
        <v>60252023121820500228817</v>
      </c>
      <c r="C561" s="15" t="str">
        <f>"陈正汉"</f>
        <v>陈正汉</v>
      </c>
      <c r="D561" s="15" t="str">
        <f>"男"</f>
        <v>男</v>
      </c>
      <c r="E561" s="16" t="s">
        <v>301</v>
      </c>
      <c r="F561" s="13"/>
    </row>
    <row r="562" spans="1:6" ht="34.5" customHeight="1">
      <c r="A562" s="13">
        <v>559</v>
      </c>
      <c r="B562" s="14" t="str">
        <f>"60252023121810092324985"</f>
        <v>60252023121810092324985</v>
      </c>
      <c r="C562" s="15" t="str">
        <f>"符佳琪"</f>
        <v>符佳琪</v>
      </c>
      <c r="D562" s="15" t="str">
        <f>"女"</f>
        <v>女</v>
      </c>
      <c r="E562" s="16" t="s">
        <v>19</v>
      </c>
      <c r="F562" s="13"/>
    </row>
    <row r="563" spans="1:6" ht="34.5" customHeight="1">
      <c r="A563" s="13">
        <v>560</v>
      </c>
      <c r="B563" s="14" t="str">
        <f>"60252023121811253225799"</f>
        <v>60252023121811253225799</v>
      </c>
      <c r="C563" s="15" t="str">
        <f>"黄碗清"</f>
        <v>黄碗清</v>
      </c>
      <c r="D563" s="15" t="str">
        <f>"女"</f>
        <v>女</v>
      </c>
      <c r="E563" s="16" t="s">
        <v>377</v>
      </c>
      <c r="F563" s="13"/>
    </row>
    <row r="564" spans="1:6" ht="34.5" customHeight="1">
      <c r="A564" s="13">
        <v>561</v>
      </c>
      <c r="B564" s="14" t="str">
        <f>"60252023121821324329009"</f>
        <v>60252023121821324329009</v>
      </c>
      <c r="C564" s="15" t="str">
        <f>"黄恺迪"</f>
        <v>黄恺迪</v>
      </c>
      <c r="D564" s="15" t="str">
        <f>"男"</f>
        <v>男</v>
      </c>
      <c r="E564" s="16" t="s">
        <v>311</v>
      </c>
      <c r="F564" s="13"/>
    </row>
    <row r="565" spans="1:6" ht="34.5" customHeight="1">
      <c r="A565" s="13">
        <v>562</v>
      </c>
      <c r="B565" s="14" t="str">
        <f>"60252023121821344529019"</f>
        <v>60252023121821344529019</v>
      </c>
      <c r="C565" s="15" t="str">
        <f>"黄锐大"</f>
        <v>黄锐大</v>
      </c>
      <c r="D565" s="15" t="str">
        <f>"男"</f>
        <v>男</v>
      </c>
      <c r="E565" s="16" t="s">
        <v>378</v>
      </c>
      <c r="F565" s="13"/>
    </row>
    <row r="566" spans="1:6" ht="34.5" customHeight="1">
      <c r="A566" s="13">
        <v>563</v>
      </c>
      <c r="B566" s="14" t="str">
        <f>"60252023121821505129095"</f>
        <v>60252023121821505129095</v>
      </c>
      <c r="C566" s="15" t="str">
        <f>"李娇丽"</f>
        <v>李娇丽</v>
      </c>
      <c r="D566" s="15" t="str">
        <f>"女"</f>
        <v>女</v>
      </c>
      <c r="E566" s="16" t="s">
        <v>77</v>
      </c>
      <c r="F566" s="13"/>
    </row>
    <row r="567" spans="1:6" ht="34.5" customHeight="1">
      <c r="A567" s="13">
        <v>564</v>
      </c>
      <c r="B567" s="14" t="str">
        <f>"60252023121815565027465"</f>
        <v>60252023121815565027465</v>
      </c>
      <c r="C567" s="15" t="str">
        <f>"袁竞博"</f>
        <v>袁竞博</v>
      </c>
      <c r="D567" s="15" t="str">
        <f>"男"</f>
        <v>男</v>
      </c>
      <c r="E567" s="16" t="s">
        <v>379</v>
      </c>
      <c r="F567" s="13"/>
    </row>
    <row r="568" spans="1:6" ht="34.5" customHeight="1">
      <c r="A568" s="13">
        <v>565</v>
      </c>
      <c r="B568" s="14" t="str">
        <f>"60252023121822332929241"</f>
        <v>60252023121822332929241</v>
      </c>
      <c r="C568" s="15" t="str">
        <f>"黄昌南"</f>
        <v>黄昌南</v>
      </c>
      <c r="D568" s="15" t="str">
        <f>"男"</f>
        <v>男</v>
      </c>
      <c r="E568" s="16" t="s">
        <v>380</v>
      </c>
      <c r="F568" s="13"/>
    </row>
    <row r="569" spans="1:6" ht="34.5" customHeight="1">
      <c r="A569" s="13">
        <v>566</v>
      </c>
      <c r="B569" s="14" t="str">
        <f>"60252023121822494829295"</f>
        <v>60252023121822494829295</v>
      </c>
      <c r="C569" s="15" t="str">
        <f>"邢圣业"</f>
        <v>邢圣业</v>
      </c>
      <c r="D569" s="15" t="str">
        <f>"男"</f>
        <v>男</v>
      </c>
      <c r="E569" s="16" t="s">
        <v>84</v>
      </c>
      <c r="F569" s="13"/>
    </row>
    <row r="570" spans="1:6" ht="34.5" customHeight="1">
      <c r="A570" s="13">
        <v>567</v>
      </c>
      <c r="B570" s="14" t="str">
        <f>"60252023121822570329319"</f>
        <v>60252023121822570329319</v>
      </c>
      <c r="C570" s="15" t="str">
        <f>"曾勤"</f>
        <v>曾勤</v>
      </c>
      <c r="D570" s="15" t="str">
        <f>"男"</f>
        <v>男</v>
      </c>
      <c r="E570" s="16" t="s">
        <v>381</v>
      </c>
      <c r="F570" s="13"/>
    </row>
    <row r="571" spans="1:6" ht="34.5" customHeight="1">
      <c r="A571" s="13">
        <v>568</v>
      </c>
      <c r="B571" s="14" t="str">
        <f>"60252023121822214029203"</f>
        <v>60252023121822214029203</v>
      </c>
      <c r="C571" s="15" t="str">
        <f>"卓丽慧"</f>
        <v>卓丽慧</v>
      </c>
      <c r="D571" s="15" t="str">
        <f>"女"</f>
        <v>女</v>
      </c>
      <c r="E571" s="16" t="s">
        <v>382</v>
      </c>
      <c r="F571" s="13"/>
    </row>
    <row r="572" spans="1:6" ht="34.5" customHeight="1">
      <c r="A572" s="13">
        <v>569</v>
      </c>
      <c r="B572" s="14" t="str">
        <f>"60252023121811194325753"</f>
        <v>60252023121811194325753</v>
      </c>
      <c r="C572" s="15" t="str">
        <f>"朱月换"</f>
        <v>朱月换</v>
      </c>
      <c r="D572" s="15" t="str">
        <f>"女"</f>
        <v>女</v>
      </c>
      <c r="E572" s="16" t="s">
        <v>159</v>
      </c>
      <c r="F572" s="13"/>
    </row>
    <row r="573" spans="1:6" ht="34.5" customHeight="1">
      <c r="A573" s="13">
        <v>570</v>
      </c>
      <c r="B573" s="14" t="str">
        <f>"60252023121822595829331"</f>
        <v>60252023121822595829331</v>
      </c>
      <c r="C573" s="15" t="str">
        <f>"陈思帆"</f>
        <v>陈思帆</v>
      </c>
      <c r="D573" s="15" t="str">
        <f>"女"</f>
        <v>女</v>
      </c>
      <c r="E573" s="16" t="s">
        <v>115</v>
      </c>
      <c r="F573" s="13"/>
    </row>
    <row r="574" spans="1:6" ht="34.5" customHeight="1">
      <c r="A574" s="13">
        <v>571</v>
      </c>
      <c r="B574" s="14" t="str">
        <f>"60252023121908152729560"</f>
        <v>60252023121908152729560</v>
      </c>
      <c r="C574" s="15" t="str">
        <f>"赵赞昌"</f>
        <v>赵赞昌</v>
      </c>
      <c r="D574" s="15" t="str">
        <f>"男"</f>
        <v>男</v>
      </c>
      <c r="E574" s="16" t="s">
        <v>383</v>
      </c>
      <c r="F574" s="13"/>
    </row>
    <row r="575" spans="1:6" ht="34.5" customHeight="1">
      <c r="A575" s="13">
        <v>572</v>
      </c>
      <c r="B575" s="14" t="str">
        <f>"60252023121908295729601"</f>
        <v>60252023121908295729601</v>
      </c>
      <c r="C575" s="15" t="str">
        <f>"史振春"</f>
        <v>史振春</v>
      </c>
      <c r="D575" s="15" t="str">
        <f>"男"</f>
        <v>男</v>
      </c>
      <c r="E575" s="16" t="s">
        <v>384</v>
      </c>
      <c r="F575" s="13"/>
    </row>
    <row r="576" spans="1:6" ht="34.5" customHeight="1">
      <c r="A576" s="13">
        <v>573</v>
      </c>
      <c r="B576" s="14" t="str">
        <f>"60252023121908483529670"</f>
        <v>60252023121908483529670</v>
      </c>
      <c r="C576" s="15" t="str">
        <f>"王哲"</f>
        <v>王哲</v>
      </c>
      <c r="D576" s="15" t="str">
        <f>"男"</f>
        <v>男</v>
      </c>
      <c r="E576" s="16" t="s">
        <v>385</v>
      </c>
      <c r="F576" s="13"/>
    </row>
    <row r="577" spans="1:6" ht="34.5" customHeight="1">
      <c r="A577" s="13">
        <v>574</v>
      </c>
      <c r="B577" s="14" t="str">
        <f>"60252023121909233229903"</f>
        <v>60252023121909233229903</v>
      </c>
      <c r="C577" s="15" t="str">
        <f>"覃贞军"</f>
        <v>覃贞军</v>
      </c>
      <c r="D577" s="15" t="str">
        <f>"男"</f>
        <v>男</v>
      </c>
      <c r="E577" s="16" t="s">
        <v>286</v>
      </c>
      <c r="F577" s="13"/>
    </row>
    <row r="578" spans="1:6" ht="34.5" customHeight="1">
      <c r="A578" s="13">
        <v>575</v>
      </c>
      <c r="B578" s="14" t="str">
        <f>"60252023121909294529941"</f>
        <v>60252023121909294529941</v>
      </c>
      <c r="C578" s="15" t="str">
        <f>"卓圆梦"</f>
        <v>卓圆梦</v>
      </c>
      <c r="D578" s="15" t="str">
        <f>"女"</f>
        <v>女</v>
      </c>
      <c r="E578" s="16" t="s">
        <v>205</v>
      </c>
      <c r="F578" s="13"/>
    </row>
    <row r="579" spans="1:6" ht="34.5" customHeight="1">
      <c r="A579" s="13">
        <v>576</v>
      </c>
      <c r="B579" s="14" t="str">
        <f>"60252023121908254629587"</f>
        <v>60252023121908254629587</v>
      </c>
      <c r="C579" s="15" t="str">
        <f>"卓存胜"</f>
        <v>卓存胜</v>
      </c>
      <c r="D579" s="15" t="str">
        <f>"男"</f>
        <v>男</v>
      </c>
      <c r="E579" s="16" t="s">
        <v>386</v>
      </c>
      <c r="F579" s="13"/>
    </row>
    <row r="580" spans="1:6" ht="34.5" customHeight="1">
      <c r="A580" s="13">
        <v>577</v>
      </c>
      <c r="B580" s="14" t="str">
        <f>"60252023121816401327758"</f>
        <v>60252023121816401327758</v>
      </c>
      <c r="C580" s="15" t="str">
        <f>"陈积宙"</f>
        <v>陈积宙</v>
      </c>
      <c r="D580" s="15" t="str">
        <f>"男"</f>
        <v>男</v>
      </c>
      <c r="E580" s="16" t="s">
        <v>236</v>
      </c>
      <c r="F580" s="13"/>
    </row>
    <row r="581" spans="1:6" ht="34.5" customHeight="1">
      <c r="A581" s="13">
        <v>578</v>
      </c>
      <c r="B581" s="14" t="str">
        <f>"60252023121909193229876"</f>
        <v>60252023121909193229876</v>
      </c>
      <c r="C581" s="15" t="str">
        <f>"吉娇妮"</f>
        <v>吉娇妮</v>
      </c>
      <c r="D581" s="15" t="str">
        <f aca="true" t="shared" si="20" ref="D581:D587">"女"</f>
        <v>女</v>
      </c>
      <c r="E581" s="16" t="s">
        <v>387</v>
      </c>
      <c r="F581" s="13"/>
    </row>
    <row r="582" spans="1:6" ht="34.5" customHeight="1">
      <c r="A582" s="13">
        <v>579</v>
      </c>
      <c r="B582" s="14" t="str">
        <f>"60252023121909421430021"</f>
        <v>60252023121909421430021</v>
      </c>
      <c r="C582" s="15" t="str">
        <f>"王宁"</f>
        <v>王宁</v>
      </c>
      <c r="D582" s="15" t="str">
        <f t="shared" si="20"/>
        <v>女</v>
      </c>
      <c r="E582" s="16" t="s">
        <v>206</v>
      </c>
      <c r="F582" s="13"/>
    </row>
    <row r="583" spans="1:6" ht="34.5" customHeight="1">
      <c r="A583" s="13">
        <v>580</v>
      </c>
      <c r="B583" s="14" t="str">
        <f>"60252023121817360728058"</f>
        <v>60252023121817360728058</v>
      </c>
      <c r="C583" s="15" t="str">
        <f>"李子馨"</f>
        <v>李子馨</v>
      </c>
      <c r="D583" s="15" t="str">
        <f t="shared" si="20"/>
        <v>女</v>
      </c>
      <c r="E583" s="16" t="s">
        <v>388</v>
      </c>
      <c r="F583" s="13"/>
    </row>
    <row r="584" spans="1:6" ht="34.5" customHeight="1">
      <c r="A584" s="13">
        <v>581</v>
      </c>
      <c r="B584" s="14" t="str">
        <f>"60252023121910060730163"</f>
        <v>60252023121910060730163</v>
      </c>
      <c r="C584" s="15" t="str">
        <f>"余荟娟"</f>
        <v>余荟娟</v>
      </c>
      <c r="D584" s="15" t="str">
        <f t="shared" si="20"/>
        <v>女</v>
      </c>
      <c r="E584" s="16" t="s">
        <v>337</v>
      </c>
      <c r="F584" s="13"/>
    </row>
    <row r="585" spans="1:6" ht="34.5" customHeight="1">
      <c r="A585" s="13">
        <v>582</v>
      </c>
      <c r="B585" s="14" t="str">
        <f>"60252023121910150030223"</f>
        <v>60252023121910150030223</v>
      </c>
      <c r="C585" s="15" t="str">
        <f>"周盈"</f>
        <v>周盈</v>
      </c>
      <c r="D585" s="15" t="str">
        <f t="shared" si="20"/>
        <v>女</v>
      </c>
      <c r="E585" s="16" t="s">
        <v>50</v>
      </c>
      <c r="F585" s="13"/>
    </row>
    <row r="586" spans="1:6" ht="34.5" customHeight="1">
      <c r="A586" s="13">
        <v>583</v>
      </c>
      <c r="B586" s="14" t="str">
        <f>"60252023121820154828665"</f>
        <v>60252023121820154828665</v>
      </c>
      <c r="C586" s="15" t="str">
        <f>"姚珊"</f>
        <v>姚珊</v>
      </c>
      <c r="D586" s="15" t="str">
        <f t="shared" si="20"/>
        <v>女</v>
      </c>
      <c r="E586" s="16" t="s">
        <v>389</v>
      </c>
      <c r="F586" s="13"/>
    </row>
    <row r="587" spans="1:6" ht="34.5" customHeight="1">
      <c r="A587" s="13">
        <v>584</v>
      </c>
      <c r="B587" s="14" t="str">
        <f>"60252023121910121030200"</f>
        <v>60252023121910121030200</v>
      </c>
      <c r="C587" s="15" t="str">
        <f>"李在"</f>
        <v>李在</v>
      </c>
      <c r="D587" s="15" t="str">
        <f t="shared" si="20"/>
        <v>女</v>
      </c>
      <c r="E587" s="16" t="s">
        <v>390</v>
      </c>
      <c r="F587" s="13"/>
    </row>
    <row r="588" spans="1:6" ht="34.5" customHeight="1">
      <c r="A588" s="13">
        <v>585</v>
      </c>
      <c r="B588" s="14" t="str">
        <f>"60252023121910535230449"</f>
        <v>60252023121910535230449</v>
      </c>
      <c r="C588" s="15" t="str">
        <f>"吴伟源"</f>
        <v>吴伟源</v>
      </c>
      <c r="D588" s="15" t="str">
        <f>"男"</f>
        <v>男</v>
      </c>
      <c r="E588" s="16" t="s">
        <v>373</v>
      </c>
      <c r="F588" s="13"/>
    </row>
    <row r="589" spans="1:6" ht="34.5" customHeight="1">
      <c r="A589" s="13">
        <v>586</v>
      </c>
      <c r="B589" s="14" t="str">
        <f>"60252023121910350030326"</f>
        <v>60252023121910350030326</v>
      </c>
      <c r="C589" s="15" t="str">
        <f>"谢哲"</f>
        <v>谢哲</v>
      </c>
      <c r="D589" s="15" t="str">
        <f>"男"</f>
        <v>男</v>
      </c>
      <c r="E589" s="16" t="s">
        <v>391</v>
      </c>
      <c r="F589" s="13"/>
    </row>
    <row r="590" spans="1:6" ht="34.5" customHeight="1">
      <c r="A590" s="13">
        <v>587</v>
      </c>
      <c r="B590" s="14" t="str">
        <f>"60252023121910191830253"</f>
        <v>60252023121910191830253</v>
      </c>
      <c r="C590" s="15" t="str">
        <f>"陈文挚"</f>
        <v>陈文挚</v>
      </c>
      <c r="D590" s="15" t="str">
        <f>"男"</f>
        <v>男</v>
      </c>
      <c r="E590" s="16" t="s">
        <v>380</v>
      </c>
      <c r="F590" s="13"/>
    </row>
    <row r="591" spans="1:6" ht="34.5" customHeight="1">
      <c r="A591" s="13">
        <v>588</v>
      </c>
      <c r="B591" s="14" t="str">
        <f>"60252023121910274730292"</f>
        <v>60252023121910274730292</v>
      </c>
      <c r="C591" s="15" t="str">
        <f>"林先恒"</f>
        <v>林先恒</v>
      </c>
      <c r="D591" s="15" t="str">
        <f>"男"</f>
        <v>男</v>
      </c>
      <c r="E591" s="16" t="s">
        <v>392</v>
      </c>
      <c r="F591" s="13"/>
    </row>
    <row r="592" spans="1:6" ht="34.5" customHeight="1">
      <c r="A592" s="13">
        <v>589</v>
      </c>
      <c r="B592" s="14" t="str">
        <f>"60252023121815022927056"</f>
        <v>60252023121815022927056</v>
      </c>
      <c r="C592" s="15" t="str">
        <f>"韦百美"</f>
        <v>韦百美</v>
      </c>
      <c r="D592" s="15" t="str">
        <f>"女"</f>
        <v>女</v>
      </c>
      <c r="E592" s="16" t="s">
        <v>393</v>
      </c>
      <c r="F592" s="13"/>
    </row>
    <row r="593" spans="1:6" ht="34.5" customHeight="1">
      <c r="A593" s="13">
        <v>590</v>
      </c>
      <c r="B593" s="14" t="str">
        <f>"60252023121910451630398"</f>
        <v>60252023121910451630398</v>
      </c>
      <c r="C593" s="15" t="str">
        <f>"邓晓真"</f>
        <v>邓晓真</v>
      </c>
      <c r="D593" s="15" t="str">
        <f>"女"</f>
        <v>女</v>
      </c>
      <c r="E593" s="16" t="s">
        <v>95</v>
      </c>
      <c r="F593" s="13"/>
    </row>
    <row r="594" spans="1:6" ht="34.5" customHeight="1">
      <c r="A594" s="13">
        <v>591</v>
      </c>
      <c r="B594" s="14" t="str">
        <f>"60252023121910531230445"</f>
        <v>60252023121910531230445</v>
      </c>
      <c r="C594" s="15" t="str">
        <f>"周玉"</f>
        <v>周玉</v>
      </c>
      <c r="D594" s="15" t="str">
        <f>"女"</f>
        <v>女</v>
      </c>
      <c r="E594" s="16" t="s">
        <v>40</v>
      </c>
      <c r="F594" s="13"/>
    </row>
    <row r="595" spans="1:6" ht="34.5" customHeight="1">
      <c r="A595" s="13">
        <v>592</v>
      </c>
      <c r="B595" s="14" t="str">
        <f>"60252023121911275830623"</f>
        <v>60252023121911275830623</v>
      </c>
      <c r="C595" s="15" t="str">
        <f>"孟春霖"</f>
        <v>孟春霖</v>
      </c>
      <c r="D595" s="15" t="str">
        <f>"男"</f>
        <v>男</v>
      </c>
      <c r="E595" s="16" t="s">
        <v>394</v>
      </c>
      <c r="F595" s="13"/>
    </row>
    <row r="596" spans="1:6" ht="34.5" customHeight="1">
      <c r="A596" s="13">
        <v>593</v>
      </c>
      <c r="B596" s="14" t="str">
        <f>"60252023121911163330564"</f>
        <v>60252023121911163330564</v>
      </c>
      <c r="C596" s="15" t="str">
        <f>"王谨军"</f>
        <v>王谨军</v>
      </c>
      <c r="D596" s="15" t="str">
        <f>"男"</f>
        <v>男</v>
      </c>
      <c r="E596" s="16" t="s">
        <v>395</v>
      </c>
      <c r="F596" s="13"/>
    </row>
    <row r="597" spans="1:6" ht="34.5" customHeight="1">
      <c r="A597" s="13">
        <v>594</v>
      </c>
      <c r="B597" s="14" t="str">
        <f>"60252023121811103725658"</f>
        <v>60252023121811103725658</v>
      </c>
      <c r="C597" s="15" t="str">
        <f>"张彬娜"</f>
        <v>张彬娜</v>
      </c>
      <c r="D597" s="15" t="str">
        <f>"女"</f>
        <v>女</v>
      </c>
      <c r="E597" s="16" t="s">
        <v>187</v>
      </c>
      <c r="F597" s="13"/>
    </row>
    <row r="598" spans="1:6" ht="34.5" customHeight="1">
      <c r="A598" s="13">
        <v>595</v>
      </c>
      <c r="B598" s="14" t="str">
        <f>"60252023121911214830592"</f>
        <v>60252023121911214830592</v>
      </c>
      <c r="C598" s="15" t="str">
        <f>"王业强"</f>
        <v>王业强</v>
      </c>
      <c r="D598" s="15" t="str">
        <f>"男"</f>
        <v>男</v>
      </c>
      <c r="E598" s="16" t="s">
        <v>396</v>
      </c>
      <c r="F598" s="13"/>
    </row>
    <row r="599" spans="1:6" ht="34.5" customHeight="1">
      <c r="A599" s="13">
        <v>596</v>
      </c>
      <c r="B599" s="14" t="str">
        <f>"60252023121911501330710"</f>
        <v>60252023121911501330710</v>
      </c>
      <c r="C599" s="15" t="str">
        <f>"黄怡菓"</f>
        <v>黄怡菓</v>
      </c>
      <c r="D599" s="15" t="str">
        <f>"女"</f>
        <v>女</v>
      </c>
      <c r="E599" s="16" t="s">
        <v>321</v>
      </c>
      <c r="F599" s="13"/>
    </row>
    <row r="600" spans="1:6" ht="34.5" customHeight="1">
      <c r="A600" s="13">
        <v>597</v>
      </c>
      <c r="B600" s="14" t="str">
        <f>"60252023121911453130689"</f>
        <v>60252023121911453130689</v>
      </c>
      <c r="C600" s="15" t="str">
        <f>"陈慧"</f>
        <v>陈慧</v>
      </c>
      <c r="D600" s="15" t="str">
        <f>"女"</f>
        <v>女</v>
      </c>
      <c r="E600" s="16" t="s">
        <v>211</v>
      </c>
      <c r="F600" s="13"/>
    </row>
    <row r="601" spans="1:6" ht="34.5" customHeight="1">
      <c r="A601" s="13">
        <v>598</v>
      </c>
      <c r="B601" s="14" t="str">
        <f>"60252023121911442230685"</f>
        <v>60252023121911442230685</v>
      </c>
      <c r="C601" s="15" t="str">
        <f>"胡筠淑"</f>
        <v>胡筠淑</v>
      </c>
      <c r="D601" s="15" t="str">
        <f>"女"</f>
        <v>女</v>
      </c>
      <c r="E601" s="16" t="s">
        <v>397</v>
      </c>
      <c r="F601" s="13"/>
    </row>
    <row r="602" spans="1:6" ht="34.5" customHeight="1">
      <c r="A602" s="13">
        <v>599</v>
      </c>
      <c r="B602" s="14" t="str">
        <f>"60252023121914290131221"</f>
        <v>60252023121914290131221</v>
      </c>
      <c r="C602" s="15" t="str">
        <f>"冯阳"</f>
        <v>冯阳</v>
      </c>
      <c r="D602" s="15" t="str">
        <f>"男"</f>
        <v>男</v>
      </c>
      <c r="E602" s="16" t="s">
        <v>398</v>
      </c>
      <c r="F602" s="13"/>
    </row>
    <row r="603" spans="1:6" ht="34.5" customHeight="1">
      <c r="A603" s="13">
        <v>600</v>
      </c>
      <c r="B603" s="14" t="str">
        <f>"60252023121900235429462"</f>
        <v>60252023121900235429462</v>
      </c>
      <c r="C603" s="15" t="str">
        <f>"谢宇腾"</f>
        <v>谢宇腾</v>
      </c>
      <c r="D603" s="15" t="str">
        <f>"男"</f>
        <v>男</v>
      </c>
      <c r="E603" s="16" t="s">
        <v>369</v>
      </c>
      <c r="F603" s="13"/>
    </row>
    <row r="604" spans="1:6" ht="34.5" customHeight="1">
      <c r="A604" s="13">
        <v>601</v>
      </c>
      <c r="B604" s="14" t="str">
        <f>"60252023121809042624193"</f>
        <v>60252023121809042624193</v>
      </c>
      <c r="C604" s="15" t="str">
        <f>"苏运亮"</f>
        <v>苏运亮</v>
      </c>
      <c r="D604" s="15" t="str">
        <f>"男"</f>
        <v>男</v>
      </c>
      <c r="E604" s="16" t="s">
        <v>399</v>
      </c>
      <c r="F604" s="13"/>
    </row>
    <row r="605" spans="1:6" ht="34.5" customHeight="1">
      <c r="A605" s="13">
        <v>602</v>
      </c>
      <c r="B605" s="14" t="str">
        <f>"60252023121915181631482"</f>
        <v>60252023121915181631482</v>
      </c>
      <c r="C605" s="15" t="str">
        <f>"王丽美"</f>
        <v>王丽美</v>
      </c>
      <c r="D605" s="15" t="str">
        <f>"女"</f>
        <v>女</v>
      </c>
      <c r="E605" s="16" t="s">
        <v>400</v>
      </c>
      <c r="F605" s="13"/>
    </row>
    <row r="606" spans="1:6" ht="34.5" customHeight="1">
      <c r="A606" s="13">
        <v>603</v>
      </c>
      <c r="B606" s="14" t="str">
        <f>"60252023121915374031578"</f>
        <v>60252023121915374031578</v>
      </c>
      <c r="C606" s="15" t="str">
        <f>"陈惠莲"</f>
        <v>陈惠莲</v>
      </c>
      <c r="D606" s="15" t="str">
        <f>"女"</f>
        <v>女</v>
      </c>
      <c r="E606" s="16" t="s">
        <v>355</v>
      </c>
      <c r="F606" s="13"/>
    </row>
    <row r="607" spans="1:6" ht="34.5" customHeight="1">
      <c r="A607" s="13">
        <v>604</v>
      </c>
      <c r="B607" s="14" t="str">
        <f>"60252023121811061225619"</f>
        <v>60252023121811061225619</v>
      </c>
      <c r="C607" s="15" t="str">
        <f>"黄堂"</f>
        <v>黄堂</v>
      </c>
      <c r="D607" s="15" t="str">
        <f>"男"</f>
        <v>男</v>
      </c>
      <c r="E607" s="16" t="s">
        <v>401</v>
      </c>
      <c r="F607" s="13"/>
    </row>
    <row r="608" spans="1:6" ht="34.5" customHeight="1">
      <c r="A608" s="13">
        <v>605</v>
      </c>
      <c r="B608" s="14" t="str">
        <f>"60252023121916231731814"</f>
        <v>60252023121916231731814</v>
      </c>
      <c r="C608" s="15" t="str">
        <f>"王上龙"</f>
        <v>王上龙</v>
      </c>
      <c r="D608" s="15" t="str">
        <f>"男"</f>
        <v>男</v>
      </c>
      <c r="E608" s="16" t="s">
        <v>402</v>
      </c>
      <c r="F608" s="13"/>
    </row>
    <row r="609" spans="1:6" ht="34.5" customHeight="1">
      <c r="A609" s="13">
        <v>606</v>
      </c>
      <c r="B609" s="14" t="str">
        <f>"60252023121916475631967"</f>
        <v>60252023121916475631967</v>
      </c>
      <c r="C609" s="15" t="str">
        <f>"符新瑜"</f>
        <v>符新瑜</v>
      </c>
      <c r="D609" s="15" t="str">
        <f>"女"</f>
        <v>女</v>
      </c>
      <c r="E609" s="16" t="s">
        <v>403</v>
      </c>
      <c r="F609" s="13"/>
    </row>
    <row r="610" spans="1:6" ht="34.5" customHeight="1">
      <c r="A610" s="13">
        <v>607</v>
      </c>
      <c r="B610" s="14" t="str">
        <f>"60252023121916463431958"</f>
        <v>60252023121916463431958</v>
      </c>
      <c r="C610" s="15" t="str">
        <f>"杨育伦"</f>
        <v>杨育伦</v>
      </c>
      <c r="D610" s="15" t="str">
        <f>"男"</f>
        <v>男</v>
      </c>
      <c r="E610" s="16" t="s">
        <v>404</v>
      </c>
      <c r="F610" s="13"/>
    </row>
    <row r="611" spans="1:6" ht="34.5" customHeight="1">
      <c r="A611" s="13">
        <v>608</v>
      </c>
      <c r="B611" s="14" t="str">
        <f>"60252023121909252229915"</f>
        <v>60252023121909252229915</v>
      </c>
      <c r="C611" s="15" t="str">
        <f>"史燕雯"</f>
        <v>史燕雯</v>
      </c>
      <c r="D611" s="15" t="str">
        <f>"女"</f>
        <v>女</v>
      </c>
      <c r="E611" s="16" t="s">
        <v>405</v>
      </c>
      <c r="F611" s="13"/>
    </row>
    <row r="612" spans="1:6" ht="34.5" customHeight="1">
      <c r="A612" s="13">
        <v>609</v>
      </c>
      <c r="B612" s="14" t="str">
        <f>"60252023121915445331616"</f>
        <v>60252023121915445331616</v>
      </c>
      <c r="C612" s="15" t="str">
        <f>"王育"</f>
        <v>王育</v>
      </c>
      <c r="D612" s="15" t="str">
        <f>"女"</f>
        <v>女</v>
      </c>
      <c r="E612" s="16" t="s">
        <v>406</v>
      </c>
      <c r="F612" s="13"/>
    </row>
    <row r="613" spans="1:6" ht="34.5" customHeight="1">
      <c r="A613" s="13">
        <v>610</v>
      </c>
      <c r="B613" s="14" t="str">
        <f>"60252023121917143132114"</f>
        <v>60252023121917143132114</v>
      </c>
      <c r="C613" s="15" t="str">
        <f>"冯小艳"</f>
        <v>冯小艳</v>
      </c>
      <c r="D613" s="15" t="str">
        <f>"女"</f>
        <v>女</v>
      </c>
      <c r="E613" s="16" t="s">
        <v>407</v>
      </c>
      <c r="F613" s="13"/>
    </row>
    <row r="614" spans="1:6" ht="34.5" customHeight="1">
      <c r="A614" s="13">
        <v>611</v>
      </c>
      <c r="B614" s="14" t="str">
        <f>"60252023121917093632083"</f>
        <v>60252023121917093632083</v>
      </c>
      <c r="C614" s="15" t="str">
        <f>"严朝阳"</f>
        <v>严朝阳</v>
      </c>
      <c r="D614" s="15" t="str">
        <f>"男"</f>
        <v>男</v>
      </c>
      <c r="E614" s="16" t="s">
        <v>39</v>
      </c>
      <c r="F614" s="13"/>
    </row>
    <row r="615" spans="1:6" ht="34.5" customHeight="1">
      <c r="A615" s="13">
        <v>612</v>
      </c>
      <c r="B615" s="14" t="str">
        <f>"60252023121815182327186"</f>
        <v>60252023121815182327186</v>
      </c>
      <c r="C615" s="15" t="str">
        <f>"符方宇"</f>
        <v>符方宇</v>
      </c>
      <c r="D615" s="15" t="str">
        <f>"男"</f>
        <v>男</v>
      </c>
      <c r="E615" s="16" t="s">
        <v>408</v>
      </c>
      <c r="F615" s="13"/>
    </row>
    <row r="616" spans="1:6" ht="34.5" customHeight="1">
      <c r="A616" s="13">
        <v>613</v>
      </c>
      <c r="B616" s="14" t="str">
        <f>"60252023121917323532205"</f>
        <v>60252023121917323532205</v>
      </c>
      <c r="C616" s="15" t="str">
        <f>"王槐婷"</f>
        <v>王槐婷</v>
      </c>
      <c r="D616" s="15" t="str">
        <f>"女"</f>
        <v>女</v>
      </c>
      <c r="E616" s="16" t="s">
        <v>409</v>
      </c>
      <c r="F616" s="13"/>
    </row>
    <row r="617" spans="1:6" ht="34.5" customHeight="1">
      <c r="A617" s="13">
        <v>614</v>
      </c>
      <c r="B617" s="14" t="str">
        <f>"60252023121809182824372"</f>
        <v>60252023121809182824372</v>
      </c>
      <c r="C617" s="15" t="str">
        <f>"吕文琪"</f>
        <v>吕文琪</v>
      </c>
      <c r="D617" s="15" t="str">
        <f>"女"</f>
        <v>女</v>
      </c>
      <c r="E617" s="16" t="s">
        <v>64</v>
      </c>
      <c r="F617" s="13"/>
    </row>
    <row r="618" spans="1:6" ht="34.5" customHeight="1">
      <c r="A618" s="13">
        <v>615</v>
      </c>
      <c r="B618" s="14" t="str">
        <f>"60252023121917311632199"</f>
        <v>60252023121917311632199</v>
      </c>
      <c r="C618" s="15" t="str">
        <f>"黄丽芹"</f>
        <v>黄丽芹</v>
      </c>
      <c r="D618" s="15" t="str">
        <f>"女"</f>
        <v>女</v>
      </c>
      <c r="E618" s="16" t="s">
        <v>86</v>
      </c>
      <c r="F618" s="13"/>
    </row>
    <row r="619" spans="1:6" ht="34.5" customHeight="1">
      <c r="A619" s="13">
        <v>616</v>
      </c>
      <c r="B619" s="14" t="str">
        <f>"60252023121918044032317"</f>
        <v>60252023121918044032317</v>
      </c>
      <c r="C619" s="15" t="str">
        <f>"王柔柔"</f>
        <v>王柔柔</v>
      </c>
      <c r="D619" s="15" t="str">
        <f>"女"</f>
        <v>女</v>
      </c>
      <c r="E619" s="16" t="s">
        <v>285</v>
      </c>
      <c r="F619" s="13"/>
    </row>
    <row r="620" spans="1:6" ht="34.5" customHeight="1">
      <c r="A620" s="13">
        <v>617</v>
      </c>
      <c r="B620" s="14" t="str">
        <f>"60252023121916562032006"</f>
        <v>60252023121916562032006</v>
      </c>
      <c r="C620" s="15" t="str">
        <f>"陈冠帆"</f>
        <v>陈冠帆</v>
      </c>
      <c r="D620" s="15" t="str">
        <f>"男"</f>
        <v>男</v>
      </c>
      <c r="E620" s="16" t="s">
        <v>44</v>
      </c>
      <c r="F620" s="13"/>
    </row>
    <row r="621" spans="1:6" ht="34.5" customHeight="1">
      <c r="A621" s="13">
        <v>618</v>
      </c>
      <c r="B621" s="14" t="str">
        <f>"60252023121900270629465"</f>
        <v>60252023121900270629465</v>
      </c>
      <c r="C621" s="15" t="str">
        <f>"陈泽远"</f>
        <v>陈泽远</v>
      </c>
      <c r="D621" s="15" t="str">
        <f>"男"</f>
        <v>男</v>
      </c>
      <c r="E621" s="16" t="s">
        <v>410</v>
      </c>
      <c r="F621" s="13"/>
    </row>
    <row r="622" spans="1:6" ht="34.5" customHeight="1">
      <c r="A622" s="13">
        <v>619</v>
      </c>
      <c r="B622" s="14" t="str">
        <f>"60252023121817145527962"</f>
        <v>60252023121817145527962</v>
      </c>
      <c r="C622" s="15" t="str">
        <f>"林志毅"</f>
        <v>林志毅</v>
      </c>
      <c r="D622" s="15" t="str">
        <f>"男"</f>
        <v>男</v>
      </c>
      <c r="E622" s="16" t="s">
        <v>411</v>
      </c>
      <c r="F622" s="13"/>
    </row>
    <row r="623" spans="1:6" ht="34.5" customHeight="1">
      <c r="A623" s="13">
        <v>620</v>
      </c>
      <c r="B623" s="14" t="str">
        <f>"60252023121919260132637"</f>
        <v>60252023121919260132637</v>
      </c>
      <c r="C623" s="15" t="str">
        <f>"李诚基"</f>
        <v>李诚基</v>
      </c>
      <c r="D623" s="15" t="str">
        <f>"男"</f>
        <v>男</v>
      </c>
      <c r="E623" s="16" t="s">
        <v>412</v>
      </c>
      <c r="F623" s="13"/>
    </row>
    <row r="624" spans="1:6" ht="34.5" customHeight="1">
      <c r="A624" s="13">
        <v>621</v>
      </c>
      <c r="B624" s="14" t="str">
        <f>"60252023121820304728729"</f>
        <v>60252023121820304728729</v>
      </c>
      <c r="C624" s="15" t="str">
        <f>"王博"</f>
        <v>王博</v>
      </c>
      <c r="D624" s="15" t="str">
        <f>"男"</f>
        <v>男</v>
      </c>
      <c r="E624" s="16" t="s">
        <v>413</v>
      </c>
      <c r="F624" s="13"/>
    </row>
    <row r="625" spans="1:6" ht="34.5" customHeight="1">
      <c r="A625" s="13">
        <v>622</v>
      </c>
      <c r="B625" s="14" t="str">
        <f>"60252023121919294132651"</f>
        <v>60252023121919294132651</v>
      </c>
      <c r="C625" s="15" t="str">
        <f>"李冬霞"</f>
        <v>李冬霞</v>
      </c>
      <c r="D625" s="15" t="str">
        <f>"女"</f>
        <v>女</v>
      </c>
      <c r="E625" s="16" t="s">
        <v>82</v>
      </c>
      <c r="F625" s="13"/>
    </row>
    <row r="626" spans="1:6" ht="34.5" customHeight="1">
      <c r="A626" s="13">
        <v>623</v>
      </c>
      <c r="B626" s="14" t="str">
        <f>"60252023121919594432806"</f>
        <v>60252023121919594432806</v>
      </c>
      <c r="C626" s="15" t="str">
        <f>"王艺辑"</f>
        <v>王艺辑</v>
      </c>
      <c r="D626" s="15" t="str">
        <f>"女"</f>
        <v>女</v>
      </c>
      <c r="E626" s="16" t="s">
        <v>156</v>
      </c>
      <c r="F626" s="13"/>
    </row>
    <row r="627" spans="1:6" ht="34.5" customHeight="1">
      <c r="A627" s="13">
        <v>624</v>
      </c>
      <c r="B627" s="14" t="str">
        <f>"60252023121921055633158"</f>
        <v>60252023121921055633158</v>
      </c>
      <c r="C627" s="15" t="str">
        <f>"陈智振"</f>
        <v>陈智振</v>
      </c>
      <c r="D627" s="15" t="str">
        <f>"男"</f>
        <v>男</v>
      </c>
      <c r="E627" s="16" t="s">
        <v>414</v>
      </c>
      <c r="F627" s="13"/>
    </row>
    <row r="628" spans="1:6" ht="34.5" customHeight="1">
      <c r="A628" s="13">
        <v>625</v>
      </c>
      <c r="B628" s="14" t="str">
        <f>"60252023121913521431075"</f>
        <v>60252023121913521431075</v>
      </c>
      <c r="C628" s="15" t="str">
        <f>"陈秀良"</f>
        <v>陈秀良</v>
      </c>
      <c r="D628" s="15" t="str">
        <f>"女"</f>
        <v>女</v>
      </c>
      <c r="E628" s="16" t="s">
        <v>143</v>
      </c>
      <c r="F628" s="13"/>
    </row>
    <row r="629" spans="1:6" ht="34.5" customHeight="1">
      <c r="A629" s="13">
        <v>626</v>
      </c>
      <c r="B629" s="14" t="str">
        <f>"60252023121921185933241"</f>
        <v>60252023121921185933241</v>
      </c>
      <c r="C629" s="15" t="str">
        <f>"陈礼娟"</f>
        <v>陈礼娟</v>
      </c>
      <c r="D629" s="15" t="str">
        <f>"女"</f>
        <v>女</v>
      </c>
      <c r="E629" s="16" t="s">
        <v>415</v>
      </c>
      <c r="F629" s="13"/>
    </row>
    <row r="630" spans="1:6" ht="34.5" customHeight="1">
      <c r="A630" s="13">
        <v>627</v>
      </c>
      <c r="B630" s="14" t="str">
        <f>"60252023121910150330224"</f>
        <v>60252023121910150330224</v>
      </c>
      <c r="C630" s="15" t="str">
        <f>"陈奕埔"</f>
        <v>陈奕埔</v>
      </c>
      <c r="D630" s="15" t="str">
        <f>"男"</f>
        <v>男</v>
      </c>
      <c r="E630" s="16" t="s">
        <v>416</v>
      </c>
      <c r="F630" s="13"/>
    </row>
    <row r="631" spans="1:6" ht="34.5" customHeight="1">
      <c r="A631" s="13">
        <v>628</v>
      </c>
      <c r="B631" s="14" t="str">
        <f>"60252023121815260127232"</f>
        <v>60252023121815260127232</v>
      </c>
      <c r="C631" s="15" t="str">
        <f>"吉世能"</f>
        <v>吉世能</v>
      </c>
      <c r="D631" s="15" t="str">
        <f>"男"</f>
        <v>男</v>
      </c>
      <c r="E631" s="16" t="s">
        <v>66</v>
      </c>
      <c r="F631" s="13"/>
    </row>
    <row r="632" spans="1:6" ht="34.5" customHeight="1">
      <c r="A632" s="13">
        <v>629</v>
      </c>
      <c r="B632" s="14" t="str">
        <f>"60252023121922130133569"</f>
        <v>60252023121922130133569</v>
      </c>
      <c r="C632" s="15" t="str">
        <f>"冯丝织"</f>
        <v>冯丝织</v>
      </c>
      <c r="D632" s="15" t="str">
        <f>"女"</f>
        <v>女</v>
      </c>
      <c r="E632" s="16" t="s">
        <v>32</v>
      </c>
      <c r="F632" s="13"/>
    </row>
    <row r="633" spans="1:6" ht="34.5" customHeight="1">
      <c r="A633" s="13">
        <v>630</v>
      </c>
      <c r="B633" s="14" t="str">
        <f>"60252023121920235332929"</f>
        <v>60252023121920235332929</v>
      </c>
      <c r="C633" s="15" t="str">
        <f>"王发苗"</f>
        <v>王发苗</v>
      </c>
      <c r="D633" s="15" t="str">
        <f>"男"</f>
        <v>男</v>
      </c>
      <c r="E633" s="16" t="s">
        <v>417</v>
      </c>
      <c r="F633" s="13"/>
    </row>
    <row r="634" spans="1:6" ht="34.5" customHeight="1">
      <c r="A634" s="13">
        <v>631</v>
      </c>
      <c r="B634" s="14" t="str">
        <f>"60252023121922303633663"</f>
        <v>60252023121922303633663</v>
      </c>
      <c r="C634" s="15" t="str">
        <f>"王高天"</f>
        <v>王高天</v>
      </c>
      <c r="D634" s="15" t="str">
        <f>"男"</f>
        <v>男</v>
      </c>
      <c r="E634" s="16" t="s">
        <v>358</v>
      </c>
      <c r="F634" s="13"/>
    </row>
    <row r="635" spans="1:6" ht="34.5" customHeight="1">
      <c r="A635" s="13">
        <v>632</v>
      </c>
      <c r="B635" s="14" t="str">
        <f>"60252023122000074733997"</f>
        <v>60252023122000074733997</v>
      </c>
      <c r="C635" s="15" t="str">
        <f>"黄茹仙"</f>
        <v>黄茹仙</v>
      </c>
      <c r="D635" s="15" t="str">
        <f>"女"</f>
        <v>女</v>
      </c>
      <c r="E635" s="16" t="s">
        <v>214</v>
      </c>
      <c r="F635" s="13"/>
    </row>
    <row r="636" spans="1:6" ht="34.5" customHeight="1">
      <c r="A636" s="13">
        <v>633</v>
      </c>
      <c r="B636" s="14" t="str">
        <f>"60252023122000320134032"</f>
        <v>60252023122000320134032</v>
      </c>
      <c r="C636" s="15" t="str">
        <f>"苏利珍"</f>
        <v>苏利珍</v>
      </c>
      <c r="D636" s="15" t="str">
        <f>"女"</f>
        <v>女</v>
      </c>
      <c r="E636" s="16" t="s">
        <v>418</v>
      </c>
      <c r="F636" s="13"/>
    </row>
    <row r="637" spans="1:6" ht="34.5" customHeight="1">
      <c r="A637" s="13">
        <v>634</v>
      </c>
      <c r="B637" s="14" t="str">
        <f>"60252023122008230934228"</f>
        <v>60252023122008230934228</v>
      </c>
      <c r="C637" s="15" t="str">
        <f>"叶泰昕"</f>
        <v>叶泰昕</v>
      </c>
      <c r="D637" s="15" t="str">
        <f>"男"</f>
        <v>男</v>
      </c>
      <c r="E637" s="16" t="s">
        <v>370</v>
      </c>
      <c r="F637" s="13"/>
    </row>
    <row r="638" spans="1:6" ht="34.5" customHeight="1">
      <c r="A638" s="13">
        <v>635</v>
      </c>
      <c r="B638" s="14" t="str">
        <f>"60252023121812400826236"</f>
        <v>60252023121812400826236</v>
      </c>
      <c r="C638" s="15" t="str">
        <f>"黎维信"</f>
        <v>黎维信</v>
      </c>
      <c r="D638" s="15" t="str">
        <f>"男"</f>
        <v>男</v>
      </c>
      <c r="E638" s="16" t="s">
        <v>419</v>
      </c>
      <c r="F638" s="13"/>
    </row>
    <row r="639" spans="1:6" ht="34.5" customHeight="1">
      <c r="A639" s="13">
        <v>636</v>
      </c>
      <c r="B639" s="14" t="str">
        <f>"60252023122009241534554"</f>
        <v>60252023122009241534554</v>
      </c>
      <c r="C639" s="15" t="str">
        <f>"林银花"</f>
        <v>林银花</v>
      </c>
      <c r="D639" s="15" t="str">
        <f aca="true" t="shared" si="21" ref="D639:D646">"女"</f>
        <v>女</v>
      </c>
      <c r="E639" s="16" t="s">
        <v>114</v>
      </c>
      <c r="F639" s="13"/>
    </row>
    <row r="640" spans="1:6" ht="34.5" customHeight="1">
      <c r="A640" s="13">
        <v>637</v>
      </c>
      <c r="B640" s="14" t="str">
        <f>"60252023122009540934735"</f>
        <v>60252023122009540934735</v>
      </c>
      <c r="C640" s="15" t="str">
        <f>"张钟凌"</f>
        <v>张钟凌</v>
      </c>
      <c r="D640" s="15" t="str">
        <f t="shared" si="21"/>
        <v>女</v>
      </c>
      <c r="E640" s="16" t="s">
        <v>420</v>
      </c>
      <c r="F640" s="13"/>
    </row>
    <row r="641" spans="1:6" ht="34.5" customHeight="1">
      <c r="A641" s="13">
        <v>638</v>
      </c>
      <c r="B641" s="14" t="str">
        <f>"60252023121910180030247"</f>
        <v>60252023121910180030247</v>
      </c>
      <c r="C641" s="15" t="str">
        <f>"王瑶萍"</f>
        <v>王瑶萍</v>
      </c>
      <c r="D641" s="15" t="str">
        <f t="shared" si="21"/>
        <v>女</v>
      </c>
      <c r="E641" s="16" t="s">
        <v>21</v>
      </c>
      <c r="F641" s="13"/>
    </row>
    <row r="642" spans="1:6" ht="34.5" customHeight="1">
      <c r="A642" s="13">
        <v>639</v>
      </c>
      <c r="B642" s="14" t="str">
        <f>"60252023122009122834480"</f>
        <v>60252023122009122834480</v>
      </c>
      <c r="C642" s="15" t="str">
        <f>"林金花"</f>
        <v>林金花</v>
      </c>
      <c r="D642" s="15" t="str">
        <f t="shared" si="21"/>
        <v>女</v>
      </c>
      <c r="E642" s="16" t="s">
        <v>421</v>
      </c>
      <c r="F642" s="13"/>
    </row>
    <row r="643" spans="1:6" ht="34.5" customHeight="1">
      <c r="A643" s="13">
        <v>640</v>
      </c>
      <c r="B643" s="14" t="str">
        <f>"60252023121916335331873"</f>
        <v>60252023121916335331873</v>
      </c>
      <c r="C643" s="15" t="str">
        <f>"王归"</f>
        <v>王归</v>
      </c>
      <c r="D643" s="15" t="str">
        <f t="shared" si="21"/>
        <v>女</v>
      </c>
      <c r="E643" s="16" t="s">
        <v>421</v>
      </c>
      <c r="F643" s="13"/>
    </row>
    <row r="644" spans="1:6" ht="34.5" customHeight="1">
      <c r="A644" s="13">
        <v>641</v>
      </c>
      <c r="B644" s="14" t="str">
        <f>"60252023122010510935090"</f>
        <v>60252023122010510935090</v>
      </c>
      <c r="C644" s="15" t="str">
        <f>"朱敏"</f>
        <v>朱敏</v>
      </c>
      <c r="D644" s="15" t="str">
        <f t="shared" si="21"/>
        <v>女</v>
      </c>
      <c r="E644" s="16" t="s">
        <v>388</v>
      </c>
      <c r="F644" s="13"/>
    </row>
    <row r="645" spans="1:6" ht="34.5" customHeight="1">
      <c r="A645" s="13">
        <v>642</v>
      </c>
      <c r="B645" s="14" t="str">
        <f>"60252023122010133734854"</f>
        <v>60252023122010133734854</v>
      </c>
      <c r="C645" s="15" t="str">
        <f>"王舒俏"</f>
        <v>王舒俏</v>
      </c>
      <c r="D645" s="15" t="str">
        <f t="shared" si="21"/>
        <v>女</v>
      </c>
      <c r="E645" s="16" t="s">
        <v>50</v>
      </c>
      <c r="F645" s="13"/>
    </row>
    <row r="646" spans="1:6" ht="34.5" customHeight="1">
      <c r="A646" s="13">
        <v>643</v>
      </c>
      <c r="B646" s="14" t="str">
        <f>"60252023121910480030415"</f>
        <v>60252023121910480030415</v>
      </c>
      <c r="C646" s="15" t="str">
        <f>"邱芷茵"</f>
        <v>邱芷茵</v>
      </c>
      <c r="D646" s="15" t="str">
        <f t="shared" si="21"/>
        <v>女</v>
      </c>
      <c r="E646" s="16" t="s">
        <v>73</v>
      </c>
      <c r="F646" s="13"/>
    </row>
    <row r="647" spans="1:6" ht="34.5" customHeight="1">
      <c r="A647" s="13">
        <v>644</v>
      </c>
      <c r="B647" s="14" t="str">
        <f>"60252023122011164035277"</f>
        <v>60252023122011164035277</v>
      </c>
      <c r="C647" s="15" t="str">
        <f>"王明旭"</f>
        <v>王明旭</v>
      </c>
      <c r="D647" s="15" t="str">
        <f>"男"</f>
        <v>男</v>
      </c>
      <c r="E647" s="16" t="s">
        <v>301</v>
      </c>
      <c r="F647" s="13"/>
    </row>
    <row r="648" spans="1:6" ht="34.5" customHeight="1">
      <c r="A648" s="13">
        <v>645</v>
      </c>
      <c r="B648" s="14" t="str">
        <f>"60252023122011042035192"</f>
        <v>60252023122011042035192</v>
      </c>
      <c r="C648" s="15" t="str">
        <f>"陈晓卓"</f>
        <v>陈晓卓</v>
      </c>
      <c r="D648" s="15" t="str">
        <f>"男"</f>
        <v>男</v>
      </c>
      <c r="E648" s="16" t="s">
        <v>422</v>
      </c>
      <c r="F648" s="13"/>
    </row>
    <row r="649" spans="1:6" ht="34.5" customHeight="1">
      <c r="A649" s="13">
        <v>646</v>
      </c>
      <c r="B649" s="14" t="str">
        <f>"60252023122011195335297"</f>
        <v>60252023122011195335297</v>
      </c>
      <c r="C649" s="15" t="str">
        <f>"吴达显"</f>
        <v>吴达显</v>
      </c>
      <c r="D649" s="15" t="str">
        <f>"男"</f>
        <v>男</v>
      </c>
      <c r="E649" s="16" t="s">
        <v>413</v>
      </c>
      <c r="F649" s="13"/>
    </row>
    <row r="650" spans="1:6" ht="34.5" customHeight="1">
      <c r="A650" s="13">
        <v>647</v>
      </c>
      <c r="B650" s="14" t="str">
        <f>"60252023121921391433378"</f>
        <v>60252023121921391433378</v>
      </c>
      <c r="C650" s="15" t="str">
        <f>"陈辉森"</f>
        <v>陈辉森</v>
      </c>
      <c r="D650" s="15" t="str">
        <f>"男"</f>
        <v>男</v>
      </c>
      <c r="E650" s="16" t="s">
        <v>423</v>
      </c>
      <c r="F650" s="13"/>
    </row>
    <row r="651" spans="1:6" ht="34.5" customHeight="1">
      <c r="A651" s="13">
        <v>648</v>
      </c>
      <c r="B651" s="14" t="str">
        <f>"60252023122011170635280"</f>
        <v>60252023122011170635280</v>
      </c>
      <c r="C651" s="15" t="str">
        <f>"刘静"</f>
        <v>刘静</v>
      </c>
      <c r="D651" s="15" t="str">
        <f>"女"</f>
        <v>女</v>
      </c>
      <c r="E651" s="16" t="s">
        <v>182</v>
      </c>
      <c r="F651" s="13"/>
    </row>
    <row r="652" spans="1:6" ht="34.5" customHeight="1">
      <c r="A652" s="13">
        <v>649</v>
      </c>
      <c r="B652" s="14" t="str">
        <f>"60252023122011280335350"</f>
        <v>60252023122011280335350</v>
      </c>
      <c r="C652" s="15" t="str">
        <f>"胡晓妍"</f>
        <v>胡晓妍</v>
      </c>
      <c r="D652" s="15" t="str">
        <f>"女"</f>
        <v>女</v>
      </c>
      <c r="E652" s="16" t="s">
        <v>424</v>
      </c>
      <c r="F652" s="13"/>
    </row>
    <row r="653" spans="1:6" ht="34.5" customHeight="1">
      <c r="A653" s="13">
        <v>650</v>
      </c>
      <c r="B653" s="14" t="str">
        <f>"60252023121921334333335"</f>
        <v>60252023121921334333335</v>
      </c>
      <c r="C653" s="15" t="str">
        <f>"郑仁清"</f>
        <v>郑仁清</v>
      </c>
      <c r="D653" s="15" t="str">
        <f>"男"</f>
        <v>男</v>
      </c>
      <c r="E653" s="16" t="s">
        <v>369</v>
      </c>
      <c r="F653" s="13"/>
    </row>
    <row r="654" spans="1:6" ht="34.5" customHeight="1">
      <c r="A654" s="13">
        <v>651</v>
      </c>
      <c r="B654" s="14" t="str">
        <f>"60252023122012545735830"</f>
        <v>60252023122012545735830</v>
      </c>
      <c r="C654" s="15" t="str">
        <f>"李金琪"</f>
        <v>李金琪</v>
      </c>
      <c r="D654" s="15" t="str">
        <f>"男"</f>
        <v>男</v>
      </c>
      <c r="E654" s="16" t="s">
        <v>359</v>
      </c>
      <c r="F654" s="13"/>
    </row>
    <row r="655" spans="1:6" ht="34.5" customHeight="1">
      <c r="A655" s="13">
        <v>652</v>
      </c>
      <c r="B655" s="14" t="str">
        <f>"60252023122013195435971"</f>
        <v>60252023122013195435971</v>
      </c>
      <c r="C655" s="15" t="str">
        <f>"李海莹"</f>
        <v>李海莹</v>
      </c>
      <c r="D655" s="15" t="str">
        <f>"女"</f>
        <v>女</v>
      </c>
      <c r="E655" s="16" t="s">
        <v>425</v>
      </c>
      <c r="F655" s="13"/>
    </row>
    <row r="656" spans="1:6" ht="34.5" customHeight="1">
      <c r="A656" s="13">
        <v>653</v>
      </c>
      <c r="B656" s="14" t="str">
        <f>"60252023122013192935966"</f>
        <v>60252023122013192935966</v>
      </c>
      <c r="C656" s="15" t="str">
        <f>"陈蔓绮"</f>
        <v>陈蔓绮</v>
      </c>
      <c r="D656" s="15" t="str">
        <f>"女"</f>
        <v>女</v>
      </c>
      <c r="E656" s="16" t="s">
        <v>92</v>
      </c>
      <c r="F656" s="13"/>
    </row>
    <row r="657" spans="1:6" ht="34.5" customHeight="1">
      <c r="A657" s="13">
        <v>654</v>
      </c>
      <c r="B657" s="14" t="str">
        <f>"60252023122011494035463"</f>
        <v>60252023122011494035463</v>
      </c>
      <c r="C657" s="15" t="str">
        <f>"吴明"</f>
        <v>吴明</v>
      </c>
      <c r="D657" s="15" t="str">
        <f>"女"</f>
        <v>女</v>
      </c>
      <c r="E657" s="16" t="s">
        <v>426</v>
      </c>
      <c r="F657" s="13"/>
    </row>
    <row r="658" spans="1:6" ht="34.5" customHeight="1">
      <c r="A658" s="13">
        <v>655</v>
      </c>
      <c r="B658" s="14" t="str">
        <f>"60252023122010345934986"</f>
        <v>60252023122010345934986</v>
      </c>
      <c r="C658" s="15" t="str">
        <f>"黄莹艳"</f>
        <v>黄莹艳</v>
      </c>
      <c r="D658" s="15" t="str">
        <f>"女"</f>
        <v>女</v>
      </c>
      <c r="E658" s="16" t="s">
        <v>191</v>
      </c>
      <c r="F658" s="13"/>
    </row>
    <row r="659" spans="1:6" ht="34.5" customHeight="1">
      <c r="A659" s="13">
        <v>656</v>
      </c>
      <c r="B659" s="14" t="str">
        <f>"60252023122014143036296"</f>
        <v>60252023122014143036296</v>
      </c>
      <c r="C659" s="15" t="str">
        <f>"刘至伦"</f>
        <v>刘至伦</v>
      </c>
      <c r="D659" s="15" t="str">
        <f>"男"</f>
        <v>男</v>
      </c>
      <c r="E659" s="16" t="s">
        <v>427</v>
      </c>
      <c r="F659" s="13"/>
    </row>
    <row r="660" spans="1:6" ht="34.5" customHeight="1">
      <c r="A660" s="13">
        <v>657</v>
      </c>
      <c r="B660" s="14" t="str">
        <f>"60252023121921240433280"</f>
        <v>60252023121921240433280</v>
      </c>
      <c r="C660" s="15" t="str">
        <f>"蔡普彬"</f>
        <v>蔡普彬</v>
      </c>
      <c r="D660" s="15" t="str">
        <f>"男"</f>
        <v>男</v>
      </c>
      <c r="E660" s="16" t="s">
        <v>340</v>
      </c>
      <c r="F660" s="13"/>
    </row>
    <row r="661" spans="1:6" ht="34.5" customHeight="1">
      <c r="A661" s="13">
        <v>658</v>
      </c>
      <c r="B661" s="14" t="str">
        <f>"60252023121918343732438"</f>
        <v>60252023121918343732438</v>
      </c>
      <c r="C661" s="15" t="str">
        <f>"钟莹"</f>
        <v>钟莹</v>
      </c>
      <c r="D661" s="15" t="str">
        <f>"女"</f>
        <v>女</v>
      </c>
      <c r="E661" s="16" t="s">
        <v>303</v>
      </c>
      <c r="F661" s="13"/>
    </row>
    <row r="662" spans="1:6" ht="34.5" customHeight="1">
      <c r="A662" s="13">
        <v>659</v>
      </c>
      <c r="B662" s="14" t="str">
        <f>"60252023122015544937173"</f>
        <v>60252023122015544937173</v>
      </c>
      <c r="C662" s="15" t="str">
        <f>"王炬登"</f>
        <v>王炬登</v>
      </c>
      <c r="D662" s="15" t="str">
        <f>"男"</f>
        <v>男</v>
      </c>
      <c r="E662" s="16" t="s">
        <v>428</v>
      </c>
      <c r="F662" s="13"/>
    </row>
    <row r="663" spans="1:6" ht="34.5" customHeight="1">
      <c r="A663" s="13">
        <v>660</v>
      </c>
      <c r="B663" s="14" t="str">
        <f>"60252023122015415837075"</f>
        <v>60252023122015415837075</v>
      </c>
      <c r="C663" s="15" t="str">
        <f>"郭燕"</f>
        <v>郭燕</v>
      </c>
      <c r="D663" s="15" t="str">
        <f>"女"</f>
        <v>女</v>
      </c>
      <c r="E663" s="16" t="s">
        <v>14</v>
      </c>
      <c r="F663" s="13"/>
    </row>
    <row r="664" spans="1:6" ht="34.5" customHeight="1">
      <c r="A664" s="13">
        <v>661</v>
      </c>
      <c r="B664" s="14" t="str">
        <f>"60252023122015502837147"</f>
        <v>60252023122015502837147</v>
      </c>
      <c r="C664" s="15" t="str">
        <f>"符家鸿"</f>
        <v>符家鸿</v>
      </c>
      <c r="D664" s="15" t="str">
        <f>"男"</f>
        <v>男</v>
      </c>
      <c r="E664" s="16" t="s">
        <v>335</v>
      </c>
      <c r="F664" s="13"/>
    </row>
    <row r="665" spans="1:6" ht="34.5" customHeight="1">
      <c r="A665" s="13">
        <v>662</v>
      </c>
      <c r="B665" s="14" t="str">
        <f>"60252023122016151337204"</f>
        <v>60252023122016151337204</v>
      </c>
      <c r="C665" s="15" t="str">
        <f>"王群驹"</f>
        <v>王群驹</v>
      </c>
      <c r="D665" s="15" t="str">
        <f>"男"</f>
        <v>男</v>
      </c>
      <c r="E665" s="16" t="s">
        <v>44</v>
      </c>
      <c r="F665" s="13"/>
    </row>
    <row r="666" spans="1:6" ht="34.5" customHeight="1">
      <c r="A666" s="13">
        <v>663</v>
      </c>
      <c r="B666" s="14" t="str">
        <f>"60252023122016163637206"</f>
        <v>60252023122016163637206</v>
      </c>
      <c r="C666" s="15" t="str">
        <f>"王家容"</f>
        <v>王家容</v>
      </c>
      <c r="D666" s="15" t="str">
        <f>"女"</f>
        <v>女</v>
      </c>
      <c r="E666" s="16" t="s">
        <v>426</v>
      </c>
      <c r="F666" s="13"/>
    </row>
    <row r="667" spans="1:6" ht="34.5" customHeight="1">
      <c r="A667" s="13">
        <v>664</v>
      </c>
      <c r="B667" s="14" t="str">
        <f>"60252023122015224136887"</f>
        <v>60252023122015224136887</v>
      </c>
      <c r="C667" s="15" t="str">
        <f>"林志高"</f>
        <v>林志高</v>
      </c>
      <c r="D667" s="15" t="str">
        <f>"男"</f>
        <v>男</v>
      </c>
      <c r="E667" s="16" t="s">
        <v>429</v>
      </c>
      <c r="F667" s="13"/>
    </row>
    <row r="668" spans="1:6" ht="34.5" customHeight="1">
      <c r="A668" s="13">
        <v>665</v>
      </c>
      <c r="B668" s="14" t="str">
        <f>"60252023122016341337216"</f>
        <v>60252023122016341337216</v>
      </c>
      <c r="C668" s="15" t="str">
        <f>"陆忠剑"</f>
        <v>陆忠剑</v>
      </c>
      <c r="D668" s="15" t="str">
        <f>"男"</f>
        <v>男</v>
      </c>
      <c r="E668" s="16" t="s">
        <v>430</v>
      </c>
      <c r="F668" s="13"/>
    </row>
    <row r="669" spans="1:6" ht="34.5" customHeight="1">
      <c r="A669" s="13">
        <v>666</v>
      </c>
      <c r="B669" s="14" t="str">
        <f>"60252023121916441331944"</f>
        <v>60252023121916441331944</v>
      </c>
      <c r="C669" s="15" t="str">
        <f>"袁满秀"</f>
        <v>袁满秀</v>
      </c>
      <c r="D669" s="15" t="str">
        <f>"女"</f>
        <v>女</v>
      </c>
      <c r="E669" s="16" t="s">
        <v>431</v>
      </c>
      <c r="F669" s="13"/>
    </row>
    <row r="670" spans="1:6" ht="34.5" customHeight="1">
      <c r="A670" s="13">
        <v>667</v>
      </c>
      <c r="B670" s="14" t="str">
        <f>"60252023122016580537223"</f>
        <v>60252023122016580537223</v>
      </c>
      <c r="C670" s="15" t="str">
        <f>"陈志增"</f>
        <v>陈志增</v>
      </c>
      <c r="D670" s="15" t="str">
        <f>"男"</f>
        <v>男</v>
      </c>
      <c r="E670" s="16" t="s">
        <v>432</v>
      </c>
      <c r="F670" s="13"/>
    </row>
    <row r="671" spans="1:6" ht="34.5" customHeight="1">
      <c r="A671" s="13">
        <v>668</v>
      </c>
      <c r="B671" s="14" t="str">
        <f>"60252023122017011537228"</f>
        <v>60252023122017011537228</v>
      </c>
      <c r="C671" s="15" t="str">
        <f>"黄巧贤"</f>
        <v>黄巧贤</v>
      </c>
      <c r="D671" s="15" t="str">
        <f>"女"</f>
        <v>女</v>
      </c>
      <c r="E671" s="16" t="s">
        <v>144</v>
      </c>
      <c r="F671" s="13"/>
    </row>
    <row r="672" spans="1:6" ht="34.5" customHeight="1">
      <c r="A672" s="13">
        <v>669</v>
      </c>
      <c r="B672" s="14" t="str">
        <f>"60252023122017030537230"</f>
        <v>60252023122017030537230</v>
      </c>
      <c r="C672" s="15" t="str">
        <f>"李达波"</f>
        <v>李达波</v>
      </c>
      <c r="D672" s="15" t="str">
        <f>"男"</f>
        <v>男</v>
      </c>
      <c r="E672" s="16" t="s">
        <v>364</v>
      </c>
      <c r="F672" s="13"/>
    </row>
    <row r="673" spans="1:6" ht="34.5" customHeight="1">
      <c r="A673" s="13">
        <v>670</v>
      </c>
      <c r="B673" s="14" t="str">
        <f>"60252023122012395635746"</f>
        <v>60252023122012395635746</v>
      </c>
      <c r="C673" s="15" t="str">
        <f>"陈伟娟"</f>
        <v>陈伟娟</v>
      </c>
      <c r="D673" s="15" t="str">
        <f>"女"</f>
        <v>女</v>
      </c>
      <c r="E673" s="16" t="s">
        <v>433</v>
      </c>
      <c r="F673" s="13"/>
    </row>
    <row r="674" spans="1:6" ht="34.5" customHeight="1">
      <c r="A674" s="13">
        <v>671</v>
      </c>
      <c r="B674" s="14" t="str">
        <f>"60252023122017384237272"</f>
        <v>60252023122017384237272</v>
      </c>
      <c r="C674" s="15" t="str">
        <f>"郑月新"</f>
        <v>郑月新</v>
      </c>
      <c r="D674" s="15" t="str">
        <f>"女"</f>
        <v>女</v>
      </c>
      <c r="E674" s="16" t="s">
        <v>308</v>
      </c>
      <c r="F674" s="13"/>
    </row>
    <row r="675" spans="1:6" ht="34.5" customHeight="1">
      <c r="A675" s="13">
        <v>672</v>
      </c>
      <c r="B675" s="14" t="str">
        <f>"60252023121810471625404"</f>
        <v>60252023121810471625404</v>
      </c>
      <c r="C675" s="15" t="str">
        <f>"罗广睿"</f>
        <v>罗广睿</v>
      </c>
      <c r="D675" s="15" t="str">
        <f>"男"</f>
        <v>男</v>
      </c>
      <c r="E675" s="16" t="s">
        <v>434</v>
      </c>
      <c r="F675" s="13"/>
    </row>
    <row r="676" spans="1:6" ht="34.5" customHeight="1">
      <c r="A676" s="13">
        <v>673</v>
      </c>
      <c r="B676" s="14" t="str">
        <f>"60252023121919265532641"</f>
        <v>60252023121919265532641</v>
      </c>
      <c r="C676" s="15" t="str">
        <f>"梁振轩"</f>
        <v>梁振轩</v>
      </c>
      <c r="D676" s="15" t="str">
        <f>"男"</f>
        <v>男</v>
      </c>
      <c r="E676" s="16" t="s">
        <v>435</v>
      </c>
      <c r="F676" s="13"/>
    </row>
    <row r="677" spans="1:6" ht="34.5" customHeight="1">
      <c r="A677" s="13">
        <v>674</v>
      </c>
      <c r="B677" s="14" t="str">
        <f>"60252023122018060337294"</f>
        <v>60252023122018060337294</v>
      </c>
      <c r="C677" s="15" t="str">
        <f>"吉慧娘"</f>
        <v>吉慧娘</v>
      </c>
      <c r="D677" s="15" t="str">
        <f>"女"</f>
        <v>女</v>
      </c>
      <c r="E677" s="16" t="s">
        <v>436</v>
      </c>
      <c r="F677" s="13"/>
    </row>
    <row r="678" spans="1:6" ht="34.5" customHeight="1">
      <c r="A678" s="13">
        <v>675</v>
      </c>
      <c r="B678" s="14" t="str">
        <f>"60252023122019141737327"</f>
        <v>60252023122019141737327</v>
      </c>
      <c r="C678" s="15" t="str">
        <f>"楼家旺"</f>
        <v>楼家旺</v>
      </c>
      <c r="D678" s="15" t="str">
        <f>"男"</f>
        <v>男</v>
      </c>
      <c r="E678" s="16" t="s">
        <v>437</v>
      </c>
      <c r="F678" s="13"/>
    </row>
    <row r="679" spans="1:6" ht="34.5" customHeight="1">
      <c r="A679" s="13">
        <v>676</v>
      </c>
      <c r="B679" s="14" t="str">
        <f>"60252023122019321737330"</f>
        <v>60252023122019321737330</v>
      </c>
      <c r="C679" s="15" t="str">
        <f>"陈高业"</f>
        <v>陈高业</v>
      </c>
      <c r="D679" s="15" t="str">
        <f>"男"</f>
        <v>男</v>
      </c>
      <c r="E679" s="16" t="s">
        <v>438</v>
      </c>
      <c r="F679" s="13"/>
    </row>
    <row r="680" spans="1:6" ht="34.5" customHeight="1">
      <c r="A680" s="13">
        <v>677</v>
      </c>
      <c r="B680" s="14" t="str">
        <f>"60252023122018545337320"</f>
        <v>60252023122018545337320</v>
      </c>
      <c r="C680" s="15" t="str">
        <f>"林蒂"</f>
        <v>林蒂</v>
      </c>
      <c r="D680" s="15" t="str">
        <f>"男"</f>
        <v>男</v>
      </c>
      <c r="E680" s="16" t="s">
        <v>439</v>
      </c>
      <c r="F680" s="13"/>
    </row>
    <row r="681" spans="1:6" ht="34.5" customHeight="1">
      <c r="A681" s="13">
        <v>678</v>
      </c>
      <c r="B681" s="14" t="str">
        <f>"60252023122019591637343"</f>
        <v>60252023122019591637343</v>
      </c>
      <c r="C681" s="15" t="str">
        <f>"谢越涛"</f>
        <v>谢越涛</v>
      </c>
      <c r="D681" s="15" t="str">
        <f>"男"</f>
        <v>男</v>
      </c>
      <c r="E681" s="16" t="s">
        <v>370</v>
      </c>
      <c r="F681" s="13"/>
    </row>
    <row r="682" spans="1:6" ht="34.5" customHeight="1">
      <c r="A682" s="13">
        <v>679</v>
      </c>
      <c r="B682" s="14" t="str">
        <f>"60252023121821163828938"</f>
        <v>60252023121821163828938</v>
      </c>
      <c r="C682" s="15" t="str">
        <f>"杨慧莹"</f>
        <v>杨慧莹</v>
      </c>
      <c r="D682" s="15" t="str">
        <f>"女"</f>
        <v>女</v>
      </c>
      <c r="E682" s="16" t="s">
        <v>440</v>
      </c>
      <c r="F682" s="13"/>
    </row>
    <row r="683" spans="1:6" ht="34.5" customHeight="1">
      <c r="A683" s="13">
        <v>680</v>
      </c>
      <c r="B683" s="14" t="str">
        <f>"60252023122020493237377"</f>
        <v>60252023122020493237377</v>
      </c>
      <c r="C683" s="15" t="str">
        <f>"谢立带"</f>
        <v>谢立带</v>
      </c>
      <c r="D683" s="15" t="str">
        <f>"女"</f>
        <v>女</v>
      </c>
      <c r="E683" s="16" t="s">
        <v>441</v>
      </c>
      <c r="F683" s="13"/>
    </row>
    <row r="684" spans="1:6" ht="34.5" customHeight="1">
      <c r="A684" s="13">
        <v>681</v>
      </c>
      <c r="B684" s="14" t="str">
        <f>"60252023122021085537389"</f>
        <v>60252023122021085537389</v>
      </c>
      <c r="C684" s="15" t="str">
        <f>"叶琳琳"</f>
        <v>叶琳琳</v>
      </c>
      <c r="D684" s="15" t="str">
        <f>"女"</f>
        <v>女</v>
      </c>
      <c r="E684" s="16" t="s">
        <v>406</v>
      </c>
      <c r="F684" s="13"/>
    </row>
    <row r="685" spans="1:6" ht="34.5" customHeight="1">
      <c r="A685" s="13">
        <v>682</v>
      </c>
      <c r="B685" s="14" t="str">
        <f>"60252023121908484829672"</f>
        <v>60252023121908484829672</v>
      </c>
      <c r="C685" s="15" t="str">
        <f>"文继明"</f>
        <v>文继明</v>
      </c>
      <c r="D685" s="15" t="str">
        <f>"男"</f>
        <v>男</v>
      </c>
      <c r="E685" s="16" t="s">
        <v>442</v>
      </c>
      <c r="F685" s="13"/>
    </row>
    <row r="686" spans="1:6" ht="34.5" customHeight="1">
      <c r="A686" s="13">
        <v>683</v>
      </c>
      <c r="B686" s="14" t="str">
        <f>"60252023121821101528897"</f>
        <v>60252023121821101528897</v>
      </c>
      <c r="C686" s="15" t="str">
        <f>"颜添琪"</f>
        <v>颜添琪</v>
      </c>
      <c r="D686" s="15" t="str">
        <f>"男"</f>
        <v>男</v>
      </c>
      <c r="E686" s="16" t="s">
        <v>443</v>
      </c>
      <c r="F686" s="13"/>
    </row>
    <row r="687" spans="1:6" ht="34.5" customHeight="1">
      <c r="A687" s="13">
        <v>684</v>
      </c>
      <c r="B687" s="14" t="str">
        <f>"60252023121917374932225"</f>
        <v>60252023121917374932225</v>
      </c>
      <c r="C687" s="15" t="str">
        <f>"王诗怡"</f>
        <v>王诗怡</v>
      </c>
      <c r="D687" s="15" t="str">
        <f>"女"</f>
        <v>女</v>
      </c>
      <c r="E687" s="16" t="s">
        <v>194</v>
      </c>
      <c r="F687" s="13"/>
    </row>
    <row r="688" spans="1:6" ht="34.5" customHeight="1">
      <c r="A688" s="13">
        <v>685</v>
      </c>
      <c r="B688" s="14" t="str">
        <f>"60252023122023024037433"</f>
        <v>60252023122023024037433</v>
      </c>
      <c r="C688" s="15" t="str">
        <f>"王开源"</f>
        <v>王开源</v>
      </c>
      <c r="D688" s="15" t="str">
        <f>"男"</f>
        <v>男</v>
      </c>
      <c r="E688" s="16" t="s">
        <v>444</v>
      </c>
      <c r="F688" s="13"/>
    </row>
    <row r="689" spans="1:6" ht="34.5" customHeight="1">
      <c r="A689" s="13">
        <v>686</v>
      </c>
      <c r="B689" s="14" t="str">
        <f>"60252023122101531237449"</f>
        <v>60252023122101531237449</v>
      </c>
      <c r="C689" s="15" t="str">
        <f>"吴开发"</f>
        <v>吴开发</v>
      </c>
      <c r="D689" s="15" t="str">
        <f>"男"</f>
        <v>男</v>
      </c>
      <c r="E689" s="16" t="s">
        <v>364</v>
      </c>
      <c r="F689" s="13"/>
    </row>
    <row r="690" spans="1:6" ht="34.5" customHeight="1">
      <c r="A690" s="13">
        <v>687</v>
      </c>
      <c r="B690" s="14" t="str">
        <f>"60252023122108341637461"</f>
        <v>60252023122108341637461</v>
      </c>
      <c r="C690" s="15" t="str">
        <f>"黄东梁"</f>
        <v>黄东梁</v>
      </c>
      <c r="D690" s="15" t="str">
        <f>"男"</f>
        <v>男</v>
      </c>
      <c r="E690" s="16" t="s">
        <v>89</v>
      </c>
      <c r="F690" s="13"/>
    </row>
    <row r="691" spans="1:6" ht="34.5" customHeight="1">
      <c r="A691" s="13">
        <v>688</v>
      </c>
      <c r="B691" s="14" t="str">
        <f>"60252023121809345024572"</f>
        <v>60252023121809345024572</v>
      </c>
      <c r="C691" s="15" t="str">
        <f>"张智森"</f>
        <v>张智森</v>
      </c>
      <c r="D691" s="15" t="str">
        <f>"男"</f>
        <v>男</v>
      </c>
      <c r="E691" s="16" t="s">
        <v>193</v>
      </c>
      <c r="F691" s="13"/>
    </row>
    <row r="692" spans="1:6" ht="34.5" customHeight="1">
      <c r="A692" s="13">
        <v>689</v>
      </c>
      <c r="B692" s="14" t="str">
        <f>"60252023122108192737456"</f>
        <v>60252023122108192737456</v>
      </c>
      <c r="C692" s="15" t="str">
        <f>"陈雅姿"</f>
        <v>陈雅姿</v>
      </c>
      <c r="D692" s="15" t="str">
        <f>"女"</f>
        <v>女</v>
      </c>
      <c r="E692" s="16" t="s">
        <v>77</v>
      </c>
      <c r="F692" s="13"/>
    </row>
    <row r="693" spans="1:6" ht="34.5" customHeight="1">
      <c r="A693" s="13">
        <v>690</v>
      </c>
      <c r="B693" s="14" t="str">
        <f>"60252023122108552337466"</f>
        <v>60252023122108552337466</v>
      </c>
      <c r="C693" s="15" t="str">
        <f>"羊鸿斌"</f>
        <v>羊鸿斌</v>
      </c>
      <c r="D693" s="15" t="str">
        <f>"男"</f>
        <v>男</v>
      </c>
      <c r="E693" s="16" t="s">
        <v>445</v>
      </c>
      <c r="F693" s="13"/>
    </row>
    <row r="694" spans="1:6" ht="34.5" customHeight="1">
      <c r="A694" s="13">
        <v>691</v>
      </c>
      <c r="B694" s="14" t="str">
        <f>"60252023122109301537490"</f>
        <v>60252023122109301537490</v>
      </c>
      <c r="C694" s="15" t="str">
        <f>"谢长侬"</f>
        <v>谢长侬</v>
      </c>
      <c r="D694" s="15" t="str">
        <f>"男"</f>
        <v>男</v>
      </c>
      <c r="E694" s="16" t="s">
        <v>446</v>
      </c>
      <c r="F694" s="13"/>
    </row>
    <row r="695" spans="1:6" ht="34.5" customHeight="1">
      <c r="A695" s="13">
        <v>692</v>
      </c>
      <c r="B695" s="14" t="str">
        <f>"60252023122109281637488"</f>
        <v>60252023122109281637488</v>
      </c>
      <c r="C695" s="15" t="str">
        <f>"蔡親海"</f>
        <v>蔡親海</v>
      </c>
      <c r="D695" s="15" t="str">
        <f>"男"</f>
        <v>男</v>
      </c>
      <c r="E695" s="16" t="s">
        <v>447</v>
      </c>
      <c r="F695" s="13"/>
    </row>
    <row r="696" spans="1:6" ht="34.5" customHeight="1">
      <c r="A696" s="13">
        <v>693</v>
      </c>
      <c r="B696" s="14" t="str">
        <f>"60252023122110031037514"</f>
        <v>60252023122110031037514</v>
      </c>
      <c r="C696" s="15" t="str">
        <f>"王伟萌"</f>
        <v>王伟萌</v>
      </c>
      <c r="D696" s="15" t="str">
        <f>"男"</f>
        <v>男</v>
      </c>
      <c r="E696" s="16" t="s">
        <v>340</v>
      </c>
      <c r="F696" s="13"/>
    </row>
    <row r="697" spans="1:6" ht="34.5" customHeight="1">
      <c r="A697" s="13">
        <v>694</v>
      </c>
      <c r="B697" s="14" t="str">
        <f>"60252023122110180037531"</f>
        <v>60252023122110180037531</v>
      </c>
      <c r="C697" s="15" t="str">
        <f>"赵开静"</f>
        <v>赵开静</v>
      </c>
      <c r="D697" s="15" t="str">
        <f>"女"</f>
        <v>女</v>
      </c>
      <c r="E697" s="16" t="s">
        <v>448</v>
      </c>
      <c r="F697" s="13"/>
    </row>
    <row r="698" spans="1:6" ht="34.5" customHeight="1">
      <c r="A698" s="13">
        <v>695</v>
      </c>
      <c r="B698" s="14" t="str">
        <f>"60252023122110044137518"</f>
        <v>60252023122110044137518</v>
      </c>
      <c r="C698" s="15" t="str">
        <f>"周子薇"</f>
        <v>周子薇</v>
      </c>
      <c r="D698" s="15" t="str">
        <f>"女"</f>
        <v>女</v>
      </c>
      <c r="E698" s="16" t="s">
        <v>156</v>
      </c>
      <c r="F698" s="13"/>
    </row>
    <row r="699" spans="1:6" ht="34.5" customHeight="1">
      <c r="A699" s="13">
        <v>696</v>
      </c>
      <c r="B699" s="14" t="str">
        <f>"60252023122110232537543"</f>
        <v>60252023122110232537543</v>
      </c>
      <c r="C699" s="15" t="str">
        <f>"郭玫萱"</f>
        <v>郭玫萱</v>
      </c>
      <c r="D699" s="15" t="str">
        <f>"女"</f>
        <v>女</v>
      </c>
      <c r="E699" s="16" t="s">
        <v>105</v>
      </c>
      <c r="F699" s="13"/>
    </row>
    <row r="700" spans="1:6" ht="34.5" customHeight="1">
      <c r="A700" s="13">
        <v>697</v>
      </c>
      <c r="B700" s="14" t="str">
        <f>"60252023122110073637521"</f>
        <v>60252023122110073637521</v>
      </c>
      <c r="C700" s="15" t="str">
        <f>"王光满"</f>
        <v>王光满</v>
      </c>
      <c r="D700" s="15" t="str">
        <f>"男"</f>
        <v>男</v>
      </c>
      <c r="E700" s="16" t="s">
        <v>370</v>
      </c>
      <c r="F700" s="13"/>
    </row>
    <row r="701" spans="1:6" ht="34.5" customHeight="1">
      <c r="A701" s="13">
        <v>698</v>
      </c>
      <c r="B701" s="14" t="str">
        <f>"60252023122110385637572"</f>
        <v>60252023122110385637572</v>
      </c>
      <c r="C701" s="15" t="str">
        <f>"朱葛"</f>
        <v>朱葛</v>
      </c>
      <c r="D701" s="15" t="str">
        <f>"女"</f>
        <v>女</v>
      </c>
      <c r="E701" s="16" t="s">
        <v>285</v>
      </c>
      <c r="F701" s="13"/>
    </row>
    <row r="702" spans="1:6" ht="34.5" customHeight="1">
      <c r="A702" s="13">
        <v>699</v>
      </c>
      <c r="B702" s="14" t="str">
        <f>"60252023122111033037598"</f>
        <v>60252023122111033037598</v>
      </c>
      <c r="C702" s="15" t="str">
        <f>"廖燕青"</f>
        <v>廖燕青</v>
      </c>
      <c r="D702" s="15" t="str">
        <f>"女"</f>
        <v>女</v>
      </c>
      <c r="E702" s="16" t="s">
        <v>69</v>
      </c>
      <c r="F702" s="13"/>
    </row>
    <row r="703" spans="1:6" ht="34.5" customHeight="1">
      <c r="A703" s="13">
        <v>700</v>
      </c>
      <c r="B703" s="14" t="str">
        <f>"60252023122111192637613"</f>
        <v>60252023122111192637613</v>
      </c>
      <c r="C703" s="15" t="str">
        <f>"文崖新"</f>
        <v>文崖新</v>
      </c>
      <c r="D703" s="15" t="str">
        <f>"男"</f>
        <v>男</v>
      </c>
      <c r="E703" s="16" t="s">
        <v>449</v>
      </c>
      <c r="F703" s="13"/>
    </row>
    <row r="704" spans="1:6" ht="34.5" customHeight="1">
      <c r="A704" s="13">
        <v>701</v>
      </c>
      <c r="B704" s="14" t="str">
        <f>"60252023122110505937591"</f>
        <v>60252023122110505937591</v>
      </c>
      <c r="C704" s="15" t="str">
        <f>"王珍娜"</f>
        <v>王珍娜</v>
      </c>
      <c r="D704" s="15" t="str">
        <f>"女"</f>
        <v>女</v>
      </c>
      <c r="E704" s="16" t="s">
        <v>217</v>
      </c>
      <c r="F704" s="13"/>
    </row>
    <row r="705" spans="1:6" ht="34.5" customHeight="1">
      <c r="A705" s="13">
        <v>702</v>
      </c>
      <c r="B705" s="14" t="str">
        <f>"60252023122111493337638"</f>
        <v>60252023122111493337638</v>
      </c>
      <c r="C705" s="15" t="str">
        <f>"黄梅"</f>
        <v>黄梅</v>
      </c>
      <c r="D705" s="15" t="str">
        <f>"女"</f>
        <v>女</v>
      </c>
      <c r="E705" s="16" t="s">
        <v>400</v>
      </c>
      <c r="F705" s="13"/>
    </row>
    <row r="706" spans="1:6" ht="34.5" customHeight="1">
      <c r="A706" s="13">
        <v>703</v>
      </c>
      <c r="B706" s="14" t="str">
        <f>"60252023121910354630330"</f>
        <v>60252023121910354630330</v>
      </c>
      <c r="C706" s="15" t="str">
        <f>"李觉祥"</f>
        <v>李觉祥</v>
      </c>
      <c r="D706" s="15" t="str">
        <f>"男"</f>
        <v>男</v>
      </c>
      <c r="E706" s="16" t="s">
        <v>450</v>
      </c>
      <c r="F706" s="13"/>
    </row>
    <row r="707" spans="1:6" ht="34.5" customHeight="1">
      <c r="A707" s="13">
        <v>704</v>
      </c>
      <c r="B707" s="14" t="str">
        <f>"60252023122112523537675"</f>
        <v>60252023122112523537675</v>
      </c>
      <c r="C707" s="15" t="str">
        <f>"李冰"</f>
        <v>李冰</v>
      </c>
      <c r="D707" s="15" t="str">
        <f>"女"</f>
        <v>女</v>
      </c>
      <c r="E707" s="16" t="s">
        <v>68</v>
      </c>
      <c r="F707" s="13"/>
    </row>
    <row r="708" spans="1:6" ht="34.5" customHeight="1">
      <c r="A708" s="13">
        <v>705</v>
      </c>
      <c r="B708" s="14" t="str">
        <f>"60252023122113043937689"</f>
        <v>60252023122113043937689</v>
      </c>
      <c r="C708" s="15" t="str">
        <f>"韦少峥"</f>
        <v>韦少峥</v>
      </c>
      <c r="D708" s="15" t="str">
        <f>"男"</f>
        <v>男</v>
      </c>
      <c r="E708" s="16" t="s">
        <v>451</v>
      </c>
      <c r="F708" s="13"/>
    </row>
    <row r="709" spans="1:6" ht="34.5" customHeight="1">
      <c r="A709" s="13">
        <v>706</v>
      </c>
      <c r="B709" s="14" t="str">
        <f>"60252023122110334537564"</f>
        <v>60252023122110334537564</v>
      </c>
      <c r="C709" s="15" t="str">
        <f>"符丽婷"</f>
        <v>符丽婷</v>
      </c>
      <c r="D709" s="15" t="str">
        <f>"女"</f>
        <v>女</v>
      </c>
      <c r="E709" s="16" t="s">
        <v>111</v>
      </c>
      <c r="F709" s="13"/>
    </row>
    <row r="710" spans="1:6" ht="34.5" customHeight="1">
      <c r="A710" s="13">
        <v>707</v>
      </c>
      <c r="B710" s="14" t="str">
        <f>"60252023122109445437502"</f>
        <v>60252023122109445437502</v>
      </c>
      <c r="C710" s="15" t="str">
        <f>"冯山娇"</f>
        <v>冯山娇</v>
      </c>
      <c r="D710" s="15" t="str">
        <f>"女"</f>
        <v>女</v>
      </c>
      <c r="E710" s="16" t="s">
        <v>77</v>
      </c>
      <c r="F710" s="13"/>
    </row>
    <row r="711" spans="1:6" ht="34.5" customHeight="1">
      <c r="A711" s="13">
        <v>708</v>
      </c>
      <c r="B711" s="14" t="str">
        <f>"60252023122017100037232"</f>
        <v>60252023122017100037232</v>
      </c>
      <c r="C711" s="15" t="str">
        <f>"张悦琦"</f>
        <v>张悦琦</v>
      </c>
      <c r="D711" s="15" t="str">
        <f>"女"</f>
        <v>女</v>
      </c>
      <c r="E711" s="16" t="s">
        <v>111</v>
      </c>
      <c r="F711" s="13"/>
    </row>
    <row r="712" spans="1:6" ht="34.5" customHeight="1">
      <c r="A712" s="13">
        <v>709</v>
      </c>
      <c r="B712" s="14" t="str">
        <f>"60252023122115292237771"</f>
        <v>60252023122115292237771</v>
      </c>
      <c r="C712" s="15" t="str">
        <f>"崔文霜"</f>
        <v>崔文霜</v>
      </c>
      <c r="D712" s="15" t="str">
        <f>"女"</f>
        <v>女</v>
      </c>
      <c r="E712" s="16" t="s">
        <v>172</v>
      </c>
      <c r="F712" s="13"/>
    </row>
    <row r="713" spans="1:6" ht="34.5" customHeight="1">
      <c r="A713" s="13">
        <v>710</v>
      </c>
      <c r="B713" s="14" t="str">
        <f>"60252023122115595137793"</f>
        <v>60252023122115595137793</v>
      </c>
      <c r="C713" s="15" t="str">
        <f>"冯云嵩"</f>
        <v>冯云嵩</v>
      </c>
      <c r="D713" s="15" t="str">
        <f>"男"</f>
        <v>男</v>
      </c>
      <c r="E713" s="16" t="s">
        <v>452</v>
      </c>
      <c r="F713" s="13"/>
    </row>
    <row r="714" spans="1:6" ht="34.5" customHeight="1">
      <c r="A714" s="13">
        <v>711</v>
      </c>
      <c r="B714" s="14" t="str">
        <f>"60252023122014103436265"</f>
        <v>60252023122014103436265</v>
      </c>
      <c r="C714" s="15" t="str">
        <f>"黄佳园"</f>
        <v>黄佳园</v>
      </c>
      <c r="D714" s="15" t="str">
        <f>"女"</f>
        <v>女</v>
      </c>
      <c r="E714" s="16" t="s">
        <v>63</v>
      </c>
      <c r="F714" s="13"/>
    </row>
    <row r="715" spans="1:6" ht="34.5" customHeight="1">
      <c r="A715" s="13">
        <v>712</v>
      </c>
      <c r="B715" s="14" t="str">
        <f>"60252023121919562832790"</f>
        <v>60252023121919562832790</v>
      </c>
      <c r="C715" s="15" t="str">
        <f>"周梅莲"</f>
        <v>周梅莲</v>
      </c>
      <c r="D715" s="15" t="str">
        <f>"女"</f>
        <v>女</v>
      </c>
      <c r="E715" s="16" t="s">
        <v>172</v>
      </c>
      <c r="F715" s="13"/>
    </row>
    <row r="716" spans="1:6" ht="34.5" customHeight="1">
      <c r="A716" s="13">
        <v>713</v>
      </c>
      <c r="B716" s="14" t="str">
        <f>"60252023122116375737822"</f>
        <v>60252023122116375737822</v>
      </c>
      <c r="C716" s="15" t="str">
        <f>"王翔克"</f>
        <v>王翔克</v>
      </c>
      <c r="D716" s="15" t="str">
        <f aca="true" t="shared" si="22" ref="D716:D722">"男"</f>
        <v>男</v>
      </c>
      <c r="E716" s="16" t="s">
        <v>391</v>
      </c>
      <c r="F716" s="13"/>
    </row>
    <row r="717" spans="1:6" ht="34.5" customHeight="1">
      <c r="A717" s="13">
        <v>714</v>
      </c>
      <c r="B717" s="14" t="str">
        <f>"60252023122109063137473"</f>
        <v>60252023122109063137473</v>
      </c>
      <c r="C717" s="15" t="str">
        <f>"林斯旺"</f>
        <v>林斯旺</v>
      </c>
      <c r="D717" s="15" t="str">
        <f t="shared" si="22"/>
        <v>男</v>
      </c>
      <c r="E717" s="16" t="s">
        <v>17</v>
      </c>
      <c r="F717" s="13"/>
    </row>
    <row r="718" spans="1:6" ht="34.5" customHeight="1">
      <c r="A718" s="13">
        <v>715</v>
      </c>
      <c r="B718" s="14" t="str">
        <f>"60252023122021430337405"</f>
        <v>60252023122021430337405</v>
      </c>
      <c r="C718" s="15" t="str">
        <f>"吴定立"</f>
        <v>吴定立</v>
      </c>
      <c r="D718" s="15" t="str">
        <f t="shared" si="22"/>
        <v>男</v>
      </c>
      <c r="E718" s="16" t="s">
        <v>453</v>
      </c>
      <c r="F718" s="13"/>
    </row>
    <row r="719" spans="1:6" ht="34.5" customHeight="1">
      <c r="A719" s="13">
        <v>716</v>
      </c>
      <c r="B719" s="14" t="str">
        <f>"60252023121919053632556"</f>
        <v>60252023121919053632556</v>
      </c>
      <c r="C719" s="15" t="str">
        <f>"李超龙"</f>
        <v>李超龙</v>
      </c>
      <c r="D719" s="15" t="str">
        <f t="shared" si="22"/>
        <v>男</v>
      </c>
      <c r="E719" s="16" t="s">
        <v>218</v>
      </c>
      <c r="F719" s="13"/>
    </row>
    <row r="720" spans="1:6" ht="34.5" customHeight="1">
      <c r="A720" s="13">
        <v>717</v>
      </c>
      <c r="B720" s="14" t="str">
        <f>"60252023121814401826867"</f>
        <v>60252023121814401826867</v>
      </c>
      <c r="C720" s="15" t="str">
        <f>"李运鸿"</f>
        <v>李运鸿</v>
      </c>
      <c r="D720" s="15" t="str">
        <f t="shared" si="22"/>
        <v>男</v>
      </c>
      <c r="E720" s="16" t="s">
        <v>454</v>
      </c>
      <c r="F720" s="13"/>
    </row>
    <row r="721" spans="1:6" ht="34.5" customHeight="1">
      <c r="A721" s="13">
        <v>718</v>
      </c>
      <c r="B721" s="14" t="str">
        <f>"60252023122117371137867"</f>
        <v>60252023122117371137867</v>
      </c>
      <c r="C721" s="15" t="str">
        <f>"李振宇"</f>
        <v>李振宇</v>
      </c>
      <c r="D721" s="15" t="str">
        <f t="shared" si="22"/>
        <v>男</v>
      </c>
      <c r="E721" s="16" t="s">
        <v>455</v>
      </c>
      <c r="F721" s="13"/>
    </row>
    <row r="722" spans="1:6" ht="34.5" customHeight="1">
      <c r="A722" s="13">
        <v>719</v>
      </c>
      <c r="B722" s="14" t="str">
        <f>"60252023121909071229795"</f>
        <v>60252023121909071229795</v>
      </c>
      <c r="C722" s="15" t="str">
        <f>"陈元贵"</f>
        <v>陈元贵</v>
      </c>
      <c r="D722" s="15" t="str">
        <f t="shared" si="22"/>
        <v>男</v>
      </c>
      <c r="E722" s="16" t="s">
        <v>44</v>
      </c>
      <c r="F722" s="13"/>
    </row>
    <row r="723" spans="1:6" ht="34.5" customHeight="1">
      <c r="A723" s="13">
        <v>720</v>
      </c>
      <c r="B723" s="14" t="str">
        <f>"60252023122108463437465"</f>
        <v>60252023122108463437465</v>
      </c>
      <c r="C723" s="15" t="str">
        <f>"符小苹"</f>
        <v>符小苹</v>
      </c>
      <c r="D723" s="15" t="str">
        <f>"女"</f>
        <v>女</v>
      </c>
      <c r="E723" s="16" t="s">
        <v>456</v>
      </c>
      <c r="F723" s="13"/>
    </row>
    <row r="724" spans="1:6" ht="34.5" customHeight="1">
      <c r="A724" s="13">
        <v>721</v>
      </c>
      <c r="B724" s="14" t="str">
        <f>"60252023122118443037897"</f>
        <v>60252023122118443037897</v>
      </c>
      <c r="C724" s="15" t="str">
        <f>"符气健"</f>
        <v>符气健</v>
      </c>
      <c r="D724" s="15" t="str">
        <f>"男"</f>
        <v>男</v>
      </c>
      <c r="E724" s="16" t="s">
        <v>306</v>
      </c>
      <c r="F724" s="13"/>
    </row>
    <row r="725" spans="1:6" ht="34.5" customHeight="1">
      <c r="A725" s="13">
        <v>722</v>
      </c>
      <c r="B725" s="14" t="str">
        <f>"60252023121915310931544"</f>
        <v>60252023121915310931544</v>
      </c>
      <c r="C725" s="15" t="str">
        <f>"郑鑫康"</f>
        <v>郑鑫康</v>
      </c>
      <c r="D725" s="15" t="str">
        <f>"男"</f>
        <v>男</v>
      </c>
      <c r="E725" s="16" t="s">
        <v>378</v>
      </c>
      <c r="F725" s="13"/>
    </row>
    <row r="726" spans="1:6" ht="34.5" customHeight="1">
      <c r="A726" s="13">
        <v>723</v>
      </c>
      <c r="B726" s="14" t="str">
        <f>"60252023122120424937946"</f>
        <v>60252023122120424937946</v>
      </c>
      <c r="C726" s="15" t="str">
        <f>"李军丽"</f>
        <v>李军丽</v>
      </c>
      <c r="D726" s="15" t="str">
        <f>"女"</f>
        <v>女</v>
      </c>
      <c r="E726" s="16" t="s">
        <v>200</v>
      </c>
      <c r="F726" s="13"/>
    </row>
    <row r="727" spans="1:6" ht="34.5" customHeight="1">
      <c r="A727" s="13">
        <v>724</v>
      </c>
      <c r="B727" s="14" t="str">
        <f>"60252023122022311537420"</f>
        <v>60252023122022311537420</v>
      </c>
      <c r="C727" s="15" t="str">
        <f>"符建姬"</f>
        <v>符建姬</v>
      </c>
      <c r="D727" s="15" t="str">
        <f>"女"</f>
        <v>女</v>
      </c>
      <c r="E727" s="16" t="s">
        <v>457</v>
      </c>
      <c r="F727" s="13"/>
    </row>
    <row r="728" spans="1:6" ht="34.5" customHeight="1">
      <c r="A728" s="13">
        <v>725</v>
      </c>
      <c r="B728" s="14" t="str">
        <f>"60252023122121512137969"</f>
        <v>60252023122121512137969</v>
      </c>
      <c r="C728" s="15" t="str">
        <f>"李玉如"</f>
        <v>李玉如</v>
      </c>
      <c r="D728" s="15" t="str">
        <f>"女"</f>
        <v>女</v>
      </c>
      <c r="E728" s="16" t="s">
        <v>187</v>
      </c>
      <c r="F728" s="13"/>
    </row>
    <row r="729" spans="1:6" ht="34.5" customHeight="1">
      <c r="A729" s="13">
        <v>726</v>
      </c>
      <c r="B729" s="14" t="str">
        <f>"60252023122011082635231"</f>
        <v>60252023122011082635231</v>
      </c>
      <c r="C729" s="15" t="str">
        <f>"陈存达"</f>
        <v>陈存达</v>
      </c>
      <c r="D729" s="15" t="str">
        <f>"男"</f>
        <v>男</v>
      </c>
      <c r="E729" s="16" t="s">
        <v>16</v>
      </c>
      <c r="F729" s="13"/>
    </row>
    <row r="730" spans="1:6" ht="34.5" customHeight="1">
      <c r="A730" s="13">
        <v>727</v>
      </c>
      <c r="B730" s="14" t="str">
        <f>"60252023122116454437830"</f>
        <v>60252023122116454437830</v>
      </c>
      <c r="C730" s="15" t="str">
        <f>"苟雨浓"</f>
        <v>苟雨浓</v>
      </c>
      <c r="D730" s="15" t="str">
        <f>"男"</f>
        <v>男</v>
      </c>
      <c r="E730" s="16" t="s">
        <v>458</v>
      </c>
      <c r="F730" s="13"/>
    </row>
    <row r="731" spans="1:6" ht="34.5" customHeight="1">
      <c r="A731" s="13">
        <v>728</v>
      </c>
      <c r="B731" s="14" t="str">
        <f>"60252023122209153638036"</f>
        <v>60252023122209153638036</v>
      </c>
      <c r="C731" s="15" t="str">
        <f>"陈晓红"</f>
        <v>陈晓红</v>
      </c>
      <c r="D731" s="15" t="str">
        <f>"女"</f>
        <v>女</v>
      </c>
      <c r="E731" s="16" t="s">
        <v>36</v>
      </c>
      <c r="F731" s="13"/>
    </row>
    <row r="732" spans="1:6" ht="34.5" customHeight="1">
      <c r="A732" s="13">
        <v>729</v>
      </c>
      <c r="B732" s="14" t="str">
        <f>"60252023122209173538040"</f>
        <v>60252023122209173538040</v>
      </c>
      <c r="C732" s="15" t="str">
        <f>"林小娟"</f>
        <v>林小娟</v>
      </c>
      <c r="D732" s="15" t="str">
        <f>"女"</f>
        <v>女</v>
      </c>
      <c r="E732" s="16" t="s">
        <v>406</v>
      </c>
      <c r="F732" s="13"/>
    </row>
    <row r="733" spans="1:6" ht="34.5" customHeight="1">
      <c r="A733" s="13">
        <v>730</v>
      </c>
      <c r="B733" s="14" t="str">
        <f>"60252023122209224038045"</f>
        <v>60252023122209224038045</v>
      </c>
      <c r="C733" s="15" t="str">
        <f>"高生科"</f>
        <v>高生科</v>
      </c>
      <c r="D733" s="15" t="str">
        <f>"男"</f>
        <v>男</v>
      </c>
      <c r="E733" s="16" t="s">
        <v>459</v>
      </c>
      <c r="F733" s="13"/>
    </row>
    <row r="734" spans="1:6" ht="34.5" customHeight="1">
      <c r="A734" s="13">
        <v>731</v>
      </c>
      <c r="B734" s="14" t="str">
        <f>"60252023122209444138064"</f>
        <v>60252023122209444138064</v>
      </c>
      <c r="C734" s="15" t="str">
        <f>"王英怀"</f>
        <v>王英怀</v>
      </c>
      <c r="D734" s="15" t="str">
        <f aca="true" t="shared" si="23" ref="D734:D740">"女"</f>
        <v>女</v>
      </c>
      <c r="E734" s="16" t="s">
        <v>106</v>
      </c>
      <c r="F734" s="13"/>
    </row>
    <row r="735" spans="1:6" ht="34.5" customHeight="1">
      <c r="A735" s="13">
        <v>732</v>
      </c>
      <c r="B735" s="14" t="str">
        <f>"60252023122210011438080"</f>
        <v>60252023122210011438080</v>
      </c>
      <c r="C735" s="15" t="str">
        <f>"唐小晶"</f>
        <v>唐小晶</v>
      </c>
      <c r="D735" s="15" t="str">
        <f t="shared" si="23"/>
        <v>女</v>
      </c>
      <c r="E735" s="16" t="s">
        <v>460</v>
      </c>
      <c r="F735" s="13"/>
    </row>
    <row r="736" spans="1:6" ht="34.5" customHeight="1">
      <c r="A736" s="13">
        <v>733</v>
      </c>
      <c r="B736" s="14" t="str">
        <f>"60252023122210004738078"</f>
        <v>60252023122210004738078</v>
      </c>
      <c r="C736" s="15" t="str">
        <f>"陈颖"</f>
        <v>陈颖</v>
      </c>
      <c r="D736" s="15" t="str">
        <f t="shared" si="23"/>
        <v>女</v>
      </c>
      <c r="E736" s="16" t="s">
        <v>461</v>
      </c>
      <c r="F736" s="13"/>
    </row>
    <row r="737" spans="1:6" ht="34.5" customHeight="1">
      <c r="A737" s="13">
        <v>734</v>
      </c>
      <c r="B737" s="14" t="str">
        <f>"60252023122114055237718"</f>
        <v>60252023122114055237718</v>
      </c>
      <c r="C737" s="15" t="str">
        <f>"王秋芳"</f>
        <v>王秋芳</v>
      </c>
      <c r="D737" s="15" t="str">
        <f t="shared" si="23"/>
        <v>女</v>
      </c>
      <c r="E737" s="16" t="s">
        <v>462</v>
      </c>
      <c r="F737" s="13"/>
    </row>
    <row r="738" spans="1:6" ht="34.5" customHeight="1">
      <c r="A738" s="13">
        <v>735</v>
      </c>
      <c r="B738" s="14" t="str">
        <f>"60252023122210552638135"</f>
        <v>60252023122210552638135</v>
      </c>
      <c r="C738" s="15" t="str">
        <f>"杨萍"</f>
        <v>杨萍</v>
      </c>
      <c r="D738" s="15" t="str">
        <f t="shared" si="23"/>
        <v>女</v>
      </c>
      <c r="E738" s="16" t="s">
        <v>58</v>
      </c>
      <c r="F738" s="13"/>
    </row>
    <row r="739" spans="1:6" ht="34.5" customHeight="1">
      <c r="A739" s="13">
        <v>736</v>
      </c>
      <c r="B739" s="14" t="str">
        <f>"60252023122211161638155"</f>
        <v>60252023122211161638155</v>
      </c>
      <c r="C739" s="15" t="str">
        <f>"王丽文"</f>
        <v>王丽文</v>
      </c>
      <c r="D739" s="15" t="str">
        <f t="shared" si="23"/>
        <v>女</v>
      </c>
      <c r="E739" s="16" t="s">
        <v>68</v>
      </c>
      <c r="F739" s="13"/>
    </row>
    <row r="740" spans="1:6" ht="34.5" customHeight="1">
      <c r="A740" s="13">
        <v>737</v>
      </c>
      <c r="B740" s="14" t="str">
        <f>"60252023122117430037872"</f>
        <v>60252023122117430037872</v>
      </c>
      <c r="C740" s="15" t="str">
        <f>"陈舒"</f>
        <v>陈舒</v>
      </c>
      <c r="D740" s="15" t="str">
        <f t="shared" si="23"/>
        <v>女</v>
      </c>
      <c r="E740" s="16" t="s">
        <v>214</v>
      </c>
      <c r="F740" s="13"/>
    </row>
    <row r="741" spans="1:6" ht="34.5" customHeight="1">
      <c r="A741" s="13">
        <v>738</v>
      </c>
      <c r="B741" s="14" t="str">
        <f>"60252023122123305337992"</f>
        <v>60252023122123305337992</v>
      </c>
      <c r="C741" s="15" t="str">
        <f>"林如海"</f>
        <v>林如海</v>
      </c>
      <c r="D741" s="15" t="str">
        <f>"男"</f>
        <v>男</v>
      </c>
      <c r="E741" s="16" t="s">
        <v>395</v>
      </c>
      <c r="F741" s="13"/>
    </row>
    <row r="742" spans="1:6" ht="34.5" customHeight="1">
      <c r="A742" s="13">
        <v>739</v>
      </c>
      <c r="B742" s="14" t="str">
        <f>"60252023122212210938209"</f>
        <v>60252023122212210938209</v>
      </c>
      <c r="C742" s="15" t="str">
        <f>"符瑞女"</f>
        <v>符瑞女</v>
      </c>
      <c r="D742" s="15" t="str">
        <f>"女"</f>
        <v>女</v>
      </c>
      <c r="E742" s="16" t="s">
        <v>77</v>
      </c>
      <c r="F742" s="13"/>
    </row>
    <row r="743" spans="1:6" ht="34.5" customHeight="1">
      <c r="A743" s="13">
        <v>740</v>
      </c>
      <c r="B743" s="14" t="str">
        <f>"60252023122020230937364"</f>
        <v>60252023122020230937364</v>
      </c>
      <c r="C743" s="15" t="str">
        <f>"符春草"</f>
        <v>符春草</v>
      </c>
      <c r="D743" s="15" t="str">
        <f>"女"</f>
        <v>女</v>
      </c>
      <c r="E743" s="16" t="s">
        <v>463</v>
      </c>
      <c r="F743" s="13"/>
    </row>
    <row r="744" spans="1:6" ht="34.5" customHeight="1">
      <c r="A744" s="13">
        <v>741</v>
      </c>
      <c r="B744" s="14" t="str">
        <f>"60252023122212554538225"</f>
        <v>60252023122212554538225</v>
      </c>
      <c r="C744" s="15" t="str">
        <f>"吴斌"</f>
        <v>吴斌</v>
      </c>
      <c r="D744" s="15" t="str">
        <f>"男"</f>
        <v>男</v>
      </c>
      <c r="E744" s="16" t="s">
        <v>394</v>
      </c>
      <c r="F744" s="13"/>
    </row>
    <row r="745" spans="1:6" ht="34.5" customHeight="1">
      <c r="A745" s="13">
        <v>742</v>
      </c>
      <c r="B745" s="14" t="str">
        <f>"60252023121816474227803"</f>
        <v>60252023121816474227803</v>
      </c>
      <c r="C745" s="15" t="str">
        <f>"卢雨果"</f>
        <v>卢雨果</v>
      </c>
      <c r="D745" s="15" t="str">
        <f>"男"</f>
        <v>男</v>
      </c>
      <c r="E745" s="16" t="s">
        <v>464</v>
      </c>
      <c r="F745" s="13"/>
    </row>
    <row r="746" spans="1:6" ht="34.5" customHeight="1">
      <c r="A746" s="13">
        <v>743</v>
      </c>
      <c r="B746" s="14" t="str">
        <f>"60252023122215084138283"</f>
        <v>60252023122215084138283</v>
      </c>
      <c r="C746" s="15" t="str">
        <f>"韦泽权"</f>
        <v>韦泽权</v>
      </c>
      <c r="D746" s="15" t="str">
        <f>"男"</f>
        <v>男</v>
      </c>
      <c r="E746" s="16" t="s">
        <v>379</v>
      </c>
      <c r="F746" s="13"/>
    </row>
    <row r="747" spans="1:6" ht="34.5" customHeight="1">
      <c r="A747" s="13">
        <v>744</v>
      </c>
      <c r="B747" s="14" t="str">
        <f>"60252023122211165238158"</f>
        <v>60252023122211165238158</v>
      </c>
      <c r="C747" s="15" t="str">
        <f>"吴秀菊"</f>
        <v>吴秀菊</v>
      </c>
      <c r="D747" s="15" t="str">
        <f>"女"</f>
        <v>女</v>
      </c>
      <c r="E747" s="16" t="s">
        <v>165</v>
      </c>
      <c r="F747" s="13"/>
    </row>
    <row r="748" spans="1:6" ht="34.5" customHeight="1">
      <c r="A748" s="13">
        <v>745</v>
      </c>
      <c r="B748" s="14" t="str">
        <f>"60252023122215452838326"</f>
        <v>60252023122215452838326</v>
      </c>
      <c r="C748" s="15" t="str">
        <f>"陈萍"</f>
        <v>陈萍</v>
      </c>
      <c r="D748" s="15" t="str">
        <f>"女"</f>
        <v>女</v>
      </c>
      <c r="E748" s="16" t="s">
        <v>115</v>
      </c>
      <c r="F748" s="13"/>
    </row>
    <row r="749" spans="1:6" ht="34.5" customHeight="1">
      <c r="A749" s="13">
        <v>746</v>
      </c>
      <c r="B749" s="14" t="str">
        <f>"60252023122215550638333"</f>
        <v>60252023122215550638333</v>
      </c>
      <c r="C749" s="15" t="str">
        <f>"莫雪妮"</f>
        <v>莫雪妮</v>
      </c>
      <c r="D749" s="15" t="str">
        <f>"女"</f>
        <v>女</v>
      </c>
      <c r="E749" s="16" t="s">
        <v>465</v>
      </c>
      <c r="F749" s="13"/>
    </row>
    <row r="750" spans="1:6" ht="34.5" customHeight="1">
      <c r="A750" s="13">
        <v>747</v>
      </c>
      <c r="B750" s="14" t="str">
        <f>"60252023122216234538356"</f>
        <v>60252023122216234538356</v>
      </c>
      <c r="C750" s="15" t="str">
        <f>"罗功诗"</f>
        <v>罗功诗</v>
      </c>
      <c r="D750" s="15" t="str">
        <f>"男"</f>
        <v>男</v>
      </c>
      <c r="E750" s="16" t="s">
        <v>47</v>
      </c>
      <c r="F750" s="13"/>
    </row>
    <row r="751" spans="1:6" ht="34.5" customHeight="1">
      <c r="A751" s="13">
        <v>748</v>
      </c>
      <c r="B751" s="14" t="str">
        <f>"60252023122216590038394"</f>
        <v>60252023122216590038394</v>
      </c>
      <c r="C751" s="15" t="str">
        <f>"王琳文"</f>
        <v>王琳文</v>
      </c>
      <c r="D751" s="15" t="str">
        <f>"女"</f>
        <v>女</v>
      </c>
      <c r="E751" s="16" t="s">
        <v>182</v>
      </c>
      <c r="F751" s="13"/>
    </row>
    <row r="752" spans="1:6" ht="34.5" customHeight="1">
      <c r="A752" s="13">
        <v>749</v>
      </c>
      <c r="B752" s="14" t="str">
        <f>"60252023122217294138414"</f>
        <v>60252023122217294138414</v>
      </c>
      <c r="C752" s="15" t="str">
        <f>"黄永成"</f>
        <v>黄永成</v>
      </c>
      <c r="D752" s="15" t="str">
        <f>"男"</f>
        <v>男</v>
      </c>
      <c r="E752" s="16" t="s">
        <v>466</v>
      </c>
      <c r="F752" s="13"/>
    </row>
    <row r="753" spans="1:6" ht="34.5" customHeight="1">
      <c r="A753" s="13">
        <v>750</v>
      </c>
      <c r="B753" s="14" t="str">
        <f>"60252023122218550538460"</f>
        <v>60252023122218550538460</v>
      </c>
      <c r="C753" s="15" t="str">
        <f>"许宇善"</f>
        <v>许宇善</v>
      </c>
      <c r="D753" s="15" t="str">
        <f>"男"</f>
        <v>男</v>
      </c>
      <c r="E753" s="16" t="s">
        <v>396</v>
      </c>
      <c r="F753" s="13"/>
    </row>
    <row r="754" spans="1:6" ht="34.5" customHeight="1">
      <c r="A754" s="13">
        <v>751</v>
      </c>
      <c r="B754" s="14" t="str">
        <f>"60252023122219191738473"</f>
        <v>60252023122219191738473</v>
      </c>
      <c r="C754" s="15" t="str">
        <f>"徐小妹"</f>
        <v>徐小妹</v>
      </c>
      <c r="D754" s="15" t="str">
        <f>"女"</f>
        <v>女</v>
      </c>
      <c r="E754" s="16" t="s">
        <v>467</v>
      </c>
      <c r="F754" s="13"/>
    </row>
    <row r="755" spans="1:6" ht="34.5" customHeight="1">
      <c r="A755" s="13">
        <v>752</v>
      </c>
      <c r="B755" s="14" t="str">
        <f>"60252023122220013038498"</f>
        <v>60252023122220013038498</v>
      </c>
      <c r="C755" s="15" t="str">
        <f>"徐涛"</f>
        <v>徐涛</v>
      </c>
      <c r="D755" s="15" t="str">
        <f>"男"</f>
        <v>男</v>
      </c>
      <c r="E755" s="16" t="s">
        <v>468</v>
      </c>
      <c r="F755" s="13"/>
    </row>
    <row r="756" spans="1:6" ht="34.5" customHeight="1">
      <c r="A756" s="13">
        <v>753</v>
      </c>
      <c r="B756" s="14" t="str">
        <f>"60252023122220070738502"</f>
        <v>60252023122220070738502</v>
      </c>
      <c r="C756" s="15" t="str">
        <f>"李兴婉"</f>
        <v>李兴婉</v>
      </c>
      <c r="D756" s="15" t="str">
        <f aca="true" t="shared" si="24" ref="D756:D761">"女"</f>
        <v>女</v>
      </c>
      <c r="E756" s="16" t="s">
        <v>469</v>
      </c>
      <c r="F756" s="13"/>
    </row>
    <row r="757" spans="1:6" ht="34.5" customHeight="1">
      <c r="A757" s="13">
        <v>754</v>
      </c>
      <c r="B757" s="14" t="str">
        <f>"60252023122221035738530"</f>
        <v>60252023122221035738530</v>
      </c>
      <c r="C757" s="15" t="str">
        <f>"林天杏"</f>
        <v>林天杏</v>
      </c>
      <c r="D757" s="15" t="str">
        <f t="shared" si="24"/>
        <v>女</v>
      </c>
      <c r="E757" s="16" t="s">
        <v>470</v>
      </c>
      <c r="F757" s="13"/>
    </row>
    <row r="758" spans="1:6" ht="34.5" customHeight="1">
      <c r="A758" s="13">
        <v>755</v>
      </c>
      <c r="B758" s="14" t="str">
        <f>"60252023122221034438529"</f>
        <v>60252023122221034438529</v>
      </c>
      <c r="C758" s="15" t="str">
        <f>"陈娇珍"</f>
        <v>陈娇珍</v>
      </c>
      <c r="D758" s="15" t="str">
        <f t="shared" si="24"/>
        <v>女</v>
      </c>
      <c r="E758" s="16" t="s">
        <v>471</v>
      </c>
      <c r="F758" s="13"/>
    </row>
    <row r="759" spans="1:6" ht="34.5" customHeight="1">
      <c r="A759" s="13">
        <v>756</v>
      </c>
      <c r="B759" s="14" t="str">
        <f>"60252023122221140038534"</f>
        <v>60252023122221140038534</v>
      </c>
      <c r="C759" s="15" t="str">
        <f>"麦心懿"</f>
        <v>麦心懿</v>
      </c>
      <c r="D759" s="15" t="str">
        <f t="shared" si="24"/>
        <v>女</v>
      </c>
      <c r="E759" s="16" t="s">
        <v>472</v>
      </c>
      <c r="F759" s="13"/>
    </row>
    <row r="760" spans="1:6" ht="34.5" customHeight="1">
      <c r="A760" s="13">
        <v>757</v>
      </c>
      <c r="B760" s="14" t="str">
        <f>"60252023122221112638531"</f>
        <v>60252023122221112638531</v>
      </c>
      <c r="C760" s="15" t="str">
        <f>"陈书锌"</f>
        <v>陈书锌</v>
      </c>
      <c r="D760" s="15" t="str">
        <f t="shared" si="24"/>
        <v>女</v>
      </c>
      <c r="E760" s="16" t="s">
        <v>473</v>
      </c>
      <c r="F760" s="13"/>
    </row>
    <row r="761" spans="1:6" ht="34.5" customHeight="1">
      <c r="A761" s="13">
        <v>758</v>
      </c>
      <c r="B761" s="14" t="str">
        <f>"60252023122221582438550"</f>
        <v>60252023122221582438550</v>
      </c>
      <c r="C761" s="15" t="str">
        <f>"吴日快"</f>
        <v>吴日快</v>
      </c>
      <c r="D761" s="15" t="str">
        <f t="shared" si="24"/>
        <v>女</v>
      </c>
      <c r="E761" s="16" t="s">
        <v>129</v>
      </c>
      <c r="F761" s="13"/>
    </row>
    <row r="762" spans="1:6" ht="34.5" customHeight="1">
      <c r="A762" s="13">
        <v>759</v>
      </c>
      <c r="B762" s="14" t="str">
        <f>"60252023122221535438547"</f>
        <v>60252023122221535438547</v>
      </c>
      <c r="C762" s="15" t="str">
        <f>"王咸涛"</f>
        <v>王咸涛</v>
      </c>
      <c r="D762" s="15" t="str">
        <f>"男"</f>
        <v>男</v>
      </c>
      <c r="E762" s="16" t="s">
        <v>474</v>
      </c>
      <c r="F762" s="13"/>
    </row>
    <row r="763" spans="1:6" ht="34.5" customHeight="1">
      <c r="A763" s="13">
        <v>760</v>
      </c>
      <c r="B763" s="14" t="str">
        <f>"60252023122222320738556"</f>
        <v>60252023122222320738556</v>
      </c>
      <c r="C763" s="15" t="str">
        <f>"陈腊梅"</f>
        <v>陈腊梅</v>
      </c>
      <c r="D763" s="15" t="str">
        <f>"女"</f>
        <v>女</v>
      </c>
      <c r="E763" s="16" t="s">
        <v>475</v>
      </c>
      <c r="F763" s="13"/>
    </row>
    <row r="764" spans="1:6" ht="34.5" customHeight="1">
      <c r="A764" s="13">
        <v>761</v>
      </c>
      <c r="B764" s="14" t="str">
        <f>"60252023122223554138564"</f>
        <v>60252023122223554138564</v>
      </c>
      <c r="C764" s="15" t="str">
        <f>"符建婷"</f>
        <v>符建婷</v>
      </c>
      <c r="D764" s="15" t="str">
        <f>"女"</f>
        <v>女</v>
      </c>
      <c r="E764" s="16" t="s">
        <v>200</v>
      </c>
      <c r="F764" s="13"/>
    </row>
    <row r="765" spans="1:6" ht="34.5" customHeight="1">
      <c r="A765" s="13">
        <v>762</v>
      </c>
      <c r="B765" s="14" t="str">
        <f>"60252023122310211239129"</f>
        <v>60252023122310211239129</v>
      </c>
      <c r="C765" s="15" t="str">
        <f>"周晓婷"</f>
        <v>周晓婷</v>
      </c>
      <c r="D765" s="15" t="str">
        <f>"女"</f>
        <v>女</v>
      </c>
      <c r="E765" s="16" t="s">
        <v>165</v>
      </c>
      <c r="F765" s="13"/>
    </row>
    <row r="766" spans="1:6" ht="34.5" customHeight="1">
      <c r="A766" s="13">
        <v>763</v>
      </c>
      <c r="B766" s="14" t="str">
        <f>"60252023122310384239208"</f>
        <v>60252023122310384239208</v>
      </c>
      <c r="C766" s="15" t="str">
        <f>"黄锐"</f>
        <v>黄锐</v>
      </c>
      <c r="D766" s="15" t="str">
        <f>"男"</f>
        <v>男</v>
      </c>
      <c r="E766" s="16" t="s">
        <v>474</v>
      </c>
      <c r="F766" s="13"/>
    </row>
    <row r="767" spans="1:6" ht="34.5" customHeight="1">
      <c r="A767" s="13">
        <v>764</v>
      </c>
      <c r="B767" s="14" t="str">
        <f>"60252023122312004039471"</f>
        <v>60252023122312004039471</v>
      </c>
      <c r="C767" s="15" t="str">
        <f>"何丽红"</f>
        <v>何丽红</v>
      </c>
      <c r="D767" s="15" t="str">
        <f>"女"</f>
        <v>女</v>
      </c>
      <c r="E767" s="16" t="s">
        <v>476</v>
      </c>
      <c r="F767" s="13"/>
    </row>
    <row r="768" spans="1:6" ht="34.5" customHeight="1">
      <c r="A768" s="13">
        <v>765</v>
      </c>
      <c r="B768" s="14" t="str">
        <f>"60252023122217374238420"</f>
        <v>60252023122217374238420</v>
      </c>
      <c r="C768" s="15" t="str">
        <f>"林峰俊"</f>
        <v>林峰俊</v>
      </c>
      <c r="D768" s="15" t="str">
        <f>"男"</f>
        <v>男</v>
      </c>
      <c r="E768" s="16" t="s">
        <v>369</v>
      </c>
      <c r="F768" s="13"/>
    </row>
    <row r="769" spans="1:6" ht="34.5" customHeight="1">
      <c r="A769" s="13">
        <v>766</v>
      </c>
      <c r="B769" s="14" t="str">
        <f>"60252023122011202935303"</f>
        <v>60252023122011202935303</v>
      </c>
      <c r="C769" s="15" t="str">
        <f>"戴海敏"</f>
        <v>戴海敏</v>
      </c>
      <c r="D769" s="15" t="str">
        <f>"女"</f>
        <v>女</v>
      </c>
      <c r="E769" s="16" t="s">
        <v>226</v>
      </c>
      <c r="F769" s="13"/>
    </row>
    <row r="770" spans="1:6" ht="34.5" customHeight="1">
      <c r="A770" s="13">
        <v>767</v>
      </c>
      <c r="B770" s="14" t="str">
        <f>"60252023122313351739715"</f>
        <v>60252023122313351739715</v>
      </c>
      <c r="C770" s="15" t="str">
        <f>"张初开"</f>
        <v>张初开</v>
      </c>
      <c r="D770" s="15" t="str">
        <f>"女"</f>
        <v>女</v>
      </c>
      <c r="E770" s="16" t="s">
        <v>108</v>
      </c>
      <c r="F770" s="13"/>
    </row>
    <row r="771" spans="1:6" ht="34.5" customHeight="1">
      <c r="A771" s="13">
        <v>768</v>
      </c>
      <c r="B771" s="14" t="str">
        <f>"60252023122314250939802"</f>
        <v>60252023122314250939802</v>
      </c>
      <c r="C771" s="15" t="str">
        <f>"陈光宇"</f>
        <v>陈光宇</v>
      </c>
      <c r="D771" s="15" t="str">
        <f>"男"</f>
        <v>男</v>
      </c>
      <c r="E771" s="16" t="s">
        <v>477</v>
      </c>
      <c r="F771" s="13"/>
    </row>
    <row r="772" spans="1:6" ht="34.5" customHeight="1">
      <c r="A772" s="13">
        <v>769</v>
      </c>
      <c r="B772" s="14" t="str">
        <f>"60252023122315021839864"</f>
        <v>60252023122315021839864</v>
      </c>
      <c r="C772" s="15" t="str">
        <f>"关珊珊"</f>
        <v>关珊珊</v>
      </c>
      <c r="D772" s="15" t="str">
        <f>"女"</f>
        <v>女</v>
      </c>
      <c r="E772" s="16" t="s">
        <v>64</v>
      </c>
      <c r="F772" s="13"/>
    </row>
    <row r="773" spans="1:6" ht="34.5" customHeight="1">
      <c r="A773" s="13">
        <v>770</v>
      </c>
      <c r="B773" s="14" t="str">
        <f>"60252023122315121939877"</f>
        <v>60252023122315121939877</v>
      </c>
      <c r="C773" s="15" t="str">
        <f>"陈昱妃"</f>
        <v>陈昱妃</v>
      </c>
      <c r="D773" s="15" t="str">
        <f>"女"</f>
        <v>女</v>
      </c>
      <c r="E773" s="16" t="s">
        <v>97</v>
      </c>
      <c r="F773" s="13"/>
    </row>
    <row r="774" spans="1:6" ht="34.5" customHeight="1">
      <c r="A774" s="13">
        <v>771</v>
      </c>
      <c r="B774" s="14" t="str">
        <f>"60252023122019093037325"</f>
        <v>60252023122019093037325</v>
      </c>
      <c r="C774" s="15" t="str">
        <f>"王诗泉"</f>
        <v>王诗泉</v>
      </c>
      <c r="D774" s="15" t="str">
        <f>"女"</f>
        <v>女</v>
      </c>
      <c r="E774" s="16" t="s">
        <v>277</v>
      </c>
      <c r="F774" s="13"/>
    </row>
    <row r="775" spans="1:6" ht="34.5" customHeight="1">
      <c r="A775" s="13">
        <v>772</v>
      </c>
      <c r="B775" s="14" t="str">
        <f>"60252023121809123624303"</f>
        <v>60252023121809123624303</v>
      </c>
      <c r="C775" s="15" t="str">
        <f>"王琦"</f>
        <v>王琦</v>
      </c>
      <c r="D775" s="15" t="str">
        <f>"男"</f>
        <v>男</v>
      </c>
      <c r="E775" s="16" t="s">
        <v>478</v>
      </c>
      <c r="F775" s="13"/>
    </row>
    <row r="776" spans="1:6" ht="34.5" customHeight="1">
      <c r="A776" s="13">
        <v>773</v>
      </c>
      <c r="B776" s="14" t="str">
        <f>"60252023122316352240026"</f>
        <v>60252023122316352240026</v>
      </c>
      <c r="C776" s="15" t="str">
        <f>"冯琼浩"</f>
        <v>冯琼浩</v>
      </c>
      <c r="D776" s="15" t="str">
        <f>"男"</f>
        <v>男</v>
      </c>
      <c r="E776" s="16" t="s">
        <v>477</v>
      </c>
      <c r="F776" s="13"/>
    </row>
    <row r="777" spans="1:6" ht="34.5" customHeight="1">
      <c r="A777" s="13">
        <v>774</v>
      </c>
      <c r="B777" s="14" t="str">
        <f>"60252023122316131239982"</f>
        <v>60252023122316131239982</v>
      </c>
      <c r="C777" s="15" t="str">
        <f>"黄碧甜"</f>
        <v>黄碧甜</v>
      </c>
      <c r="D777" s="15" t="str">
        <f>"女"</f>
        <v>女</v>
      </c>
      <c r="E777" s="16" t="s">
        <v>99</v>
      </c>
      <c r="F777" s="13"/>
    </row>
    <row r="778" spans="1:6" ht="34.5" customHeight="1">
      <c r="A778" s="13">
        <v>775</v>
      </c>
      <c r="B778" s="14" t="str">
        <f>"60252023122319463640291"</f>
        <v>60252023122319463640291</v>
      </c>
      <c r="C778" s="15" t="str">
        <f>"王若竹"</f>
        <v>王若竹</v>
      </c>
      <c r="D778" s="15" t="str">
        <f>"女"</f>
        <v>女</v>
      </c>
      <c r="E778" s="16" t="s">
        <v>479</v>
      </c>
      <c r="F778" s="13"/>
    </row>
    <row r="779" spans="1:6" ht="34.5" customHeight="1">
      <c r="A779" s="13">
        <v>776</v>
      </c>
      <c r="B779" s="14" t="str">
        <f>"60252023122318064940147"</f>
        <v>60252023122318064940147</v>
      </c>
      <c r="C779" s="15" t="str">
        <f>"黄精"</f>
        <v>黄精</v>
      </c>
      <c r="D779" s="15" t="str">
        <f>"男"</f>
        <v>男</v>
      </c>
      <c r="E779" s="16" t="s">
        <v>193</v>
      </c>
      <c r="F779" s="13"/>
    </row>
    <row r="780" spans="1:6" ht="34.5" customHeight="1">
      <c r="A780" s="13">
        <v>777</v>
      </c>
      <c r="B780" s="14" t="str">
        <f>"60252023122319574340309"</f>
        <v>60252023122319574340309</v>
      </c>
      <c r="C780" s="15" t="str">
        <f>"徐冬雪"</f>
        <v>徐冬雪</v>
      </c>
      <c r="D780" s="15" t="str">
        <f>"女"</f>
        <v>女</v>
      </c>
      <c r="E780" s="16" t="s">
        <v>480</v>
      </c>
      <c r="F780" s="13"/>
    </row>
    <row r="781" spans="1:6" ht="34.5" customHeight="1">
      <c r="A781" s="13">
        <v>778</v>
      </c>
      <c r="B781" s="14" t="str">
        <f>"60252023122321214340451"</f>
        <v>60252023122321214340451</v>
      </c>
      <c r="C781" s="15" t="str">
        <f>"黄健豪"</f>
        <v>黄健豪</v>
      </c>
      <c r="D781" s="15" t="str">
        <f>"男"</f>
        <v>男</v>
      </c>
      <c r="E781" s="16" t="s">
        <v>481</v>
      </c>
      <c r="F781" s="13"/>
    </row>
    <row r="782" spans="1:6" ht="34.5" customHeight="1">
      <c r="A782" s="13">
        <v>779</v>
      </c>
      <c r="B782" s="14" t="str">
        <f>"60252023122321382640480"</f>
        <v>60252023122321382640480</v>
      </c>
      <c r="C782" s="15" t="str">
        <f>"陈爱桃"</f>
        <v>陈爱桃</v>
      </c>
      <c r="D782" s="15" t="str">
        <f>"女"</f>
        <v>女</v>
      </c>
      <c r="E782" s="16" t="s">
        <v>119</v>
      </c>
      <c r="F782" s="13"/>
    </row>
    <row r="783" spans="1:6" ht="34.5" customHeight="1">
      <c r="A783" s="13">
        <v>780</v>
      </c>
      <c r="B783" s="14" t="str">
        <f>"60252023121815414927357"</f>
        <v>60252023121815414927357</v>
      </c>
      <c r="C783" s="15" t="str">
        <f>"牙举童"</f>
        <v>牙举童</v>
      </c>
      <c r="D783" s="15" t="str">
        <f>"男"</f>
        <v>男</v>
      </c>
      <c r="E783" s="16" t="s">
        <v>482</v>
      </c>
      <c r="F783" s="13"/>
    </row>
    <row r="784" spans="1:6" ht="34.5" customHeight="1">
      <c r="A784" s="13">
        <v>781</v>
      </c>
      <c r="B784" s="14" t="str">
        <f>"60252023122411500140815"</f>
        <v>60252023122411500140815</v>
      </c>
      <c r="C784" s="15" t="str">
        <f>"羊发全"</f>
        <v>羊发全</v>
      </c>
      <c r="D784" s="15" t="str">
        <f>"男"</f>
        <v>男</v>
      </c>
      <c r="E784" s="16" t="s">
        <v>483</v>
      </c>
      <c r="F784" s="13"/>
    </row>
    <row r="785" spans="1:6" ht="34.5" customHeight="1">
      <c r="A785" s="13">
        <v>782</v>
      </c>
      <c r="B785" s="14" t="str">
        <f>"60252023122412024040824"</f>
        <v>60252023122412024040824</v>
      </c>
      <c r="C785" s="15" t="str">
        <f>"郑景真"</f>
        <v>郑景真</v>
      </c>
      <c r="D785" s="15" t="str">
        <f>"男"</f>
        <v>男</v>
      </c>
      <c r="E785" s="16" t="s">
        <v>364</v>
      </c>
      <c r="F785" s="13"/>
    </row>
    <row r="786" spans="1:6" ht="34.5" customHeight="1">
      <c r="A786" s="13">
        <v>783</v>
      </c>
      <c r="B786" s="14" t="str">
        <f>"60252023122414272440952"</f>
        <v>60252023122414272440952</v>
      </c>
      <c r="C786" s="15" t="str">
        <f>"李佳凝"</f>
        <v>李佳凝</v>
      </c>
      <c r="D786" s="15" t="str">
        <f>"女"</f>
        <v>女</v>
      </c>
      <c r="E786" s="16" t="s">
        <v>106</v>
      </c>
      <c r="F786" s="13"/>
    </row>
    <row r="787" spans="1:6" ht="34.5" customHeight="1">
      <c r="A787" s="13">
        <v>784</v>
      </c>
      <c r="B787" s="14" t="str">
        <f>"60252023122415162941001"</f>
        <v>60252023122415162941001</v>
      </c>
      <c r="C787" s="15" t="str">
        <f>"肖秉权"</f>
        <v>肖秉权</v>
      </c>
      <c r="D787" s="15" t="str">
        <f>"男"</f>
        <v>男</v>
      </c>
      <c r="E787" s="16" t="s">
        <v>484</v>
      </c>
      <c r="F787" s="13"/>
    </row>
    <row r="788" spans="1:6" ht="34.5" customHeight="1">
      <c r="A788" s="13">
        <v>785</v>
      </c>
      <c r="B788" s="14" t="str">
        <f>"60252023122415495741029"</f>
        <v>60252023122415495741029</v>
      </c>
      <c r="C788" s="15" t="str">
        <f>"云永乐"</f>
        <v>云永乐</v>
      </c>
      <c r="D788" s="15" t="str">
        <f>"男"</f>
        <v>男</v>
      </c>
      <c r="E788" s="16" t="s">
        <v>81</v>
      </c>
      <c r="F788" s="13"/>
    </row>
    <row r="789" spans="1:6" ht="34.5" customHeight="1">
      <c r="A789" s="13">
        <v>786</v>
      </c>
      <c r="B789" s="14" t="str">
        <f>"60252023121910484730421"</f>
        <v>60252023121910484730421</v>
      </c>
      <c r="C789" s="15" t="str">
        <f>"梁定伟"</f>
        <v>梁定伟</v>
      </c>
      <c r="D789" s="15" t="str">
        <f>"男"</f>
        <v>男</v>
      </c>
      <c r="E789" s="16" t="s">
        <v>485</v>
      </c>
      <c r="F789" s="13"/>
    </row>
    <row r="790" spans="1:6" ht="34.5" customHeight="1">
      <c r="A790" s="13">
        <v>787</v>
      </c>
      <c r="B790" s="14" t="str">
        <f>"60252023122416522641079"</f>
        <v>60252023122416522641079</v>
      </c>
      <c r="C790" s="15" t="str">
        <f>"钟海清"</f>
        <v>钟海清</v>
      </c>
      <c r="D790" s="15" t="str">
        <f>"女"</f>
        <v>女</v>
      </c>
      <c r="E790" s="16" t="s">
        <v>406</v>
      </c>
      <c r="F790" s="13"/>
    </row>
    <row r="791" spans="1:6" ht="34.5" customHeight="1">
      <c r="A791" s="13">
        <v>788</v>
      </c>
      <c r="B791" s="14" t="str">
        <f>"60252023122417181141096"</f>
        <v>60252023122417181141096</v>
      </c>
      <c r="C791" s="15" t="str">
        <f>"黄书静"</f>
        <v>黄书静</v>
      </c>
      <c r="D791" s="15" t="str">
        <f>"女"</f>
        <v>女</v>
      </c>
      <c r="E791" s="16" t="s">
        <v>21</v>
      </c>
      <c r="F791" s="13"/>
    </row>
    <row r="792" spans="1:6" ht="34.5" customHeight="1">
      <c r="A792" s="13">
        <v>789</v>
      </c>
      <c r="B792" s="14" t="str">
        <f>"60252023122416291341063"</f>
        <v>60252023122416291341063</v>
      </c>
      <c r="C792" s="15" t="str">
        <f>"张懿"</f>
        <v>张懿</v>
      </c>
      <c r="D792" s="15" t="str">
        <f>"男"</f>
        <v>男</v>
      </c>
      <c r="E792" s="16" t="s">
        <v>486</v>
      </c>
      <c r="F792" s="13"/>
    </row>
    <row r="793" spans="1:6" ht="34.5" customHeight="1">
      <c r="A793" s="13">
        <v>790</v>
      </c>
      <c r="B793" s="14" t="str">
        <f>"60252023122417374541107"</f>
        <v>60252023122417374541107</v>
      </c>
      <c r="C793" s="15" t="str">
        <f>"杨全鸿"</f>
        <v>杨全鸿</v>
      </c>
      <c r="D793" s="15" t="str">
        <f>"男"</f>
        <v>男</v>
      </c>
      <c r="E793" s="16" t="s">
        <v>487</v>
      </c>
      <c r="F793" s="13"/>
    </row>
    <row r="794" spans="1:6" ht="34.5" customHeight="1">
      <c r="A794" s="13">
        <v>791</v>
      </c>
      <c r="B794" s="14" t="str">
        <f>"60252023122417411441110"</f>
        <v>60252023122417411441110</v>
      </c>
      <c r="C794" s="15" t="str">
        <f>"张芳舒"</f>
        <v>张芳舒</v>
      </c>
      <c r="D794" s="15" t="str">
        <f>"女"</f>
        <v>女</v>
      </c>
      <c r="E794" s="16" t="s">
        <v>488</v>
      </c>
      <c r="F794" s="13"/>
    </row>
    <row r="795" spans="1:6" ht="34.5" customHeight="1">
      <c r="A795" s="13">
        <v>792</v>
      </c>
      <c r="B795" s="14" t="str">
        <f>"60252023121920221932918"</f>
        <v>60252023121920221932918</v>
      </c>
      <c r="C795" s="15" t="str">
        <f>"蔡昱乐"</f>
        <v>蔡昱乐</v>
      </c>
      <c r="D795" s="15" t="str">
        <f>"男"</f>
        <v>男</v>
      </c>
      <c r="E795" s="16" t="s">
        <v>489</v>
      </c>
      <c r="F795" s="13"/>
    </row>
    <row r="796" spans="1:6" ht="34.5" customHeight="1">
      <c r="A796" s="13">
        <v>793</v>
      </c>
      <c r="B796" s="14" t="str">
        <f>"60252023122418093541133"</f>
        <v>60252023122418093541133</v>
      </c>
      <c r="C796" s="15" t="str">
        <f>"李博锐"</f>
        <v>李博锐</v>
      </c>
      <c r="D796" s="15" t="str">
        <f>"男"</f>
        <v>男</v>
      </c>
      <c r="E796" s="16" t="s">
        <v>361</v>
      </c>
      <c r="F796" s="13"/>
    </row>
    <row r="797" spans="1:6" ht="34.5" customHeight="1">
      <c r="A797" s="13">
        <v>794</v>
      </c>
      <c r="B797" s="14" t="str">
        <f>"60252023122411430540807"</f>
        <v>60252023122411430540807</v>
      </c>
      <c r="C797" s="15" t="str">
        <f>"王雄"</f>
        <v>王雄</v>
      </c>
      <c r="D797" s="15" t="str">
        <f>"男"</f>
        <v>男</v>
      </c>
      <c r="E797" s="16" t="s">
        <v>490</v>
      </c>
      <c r="F797" s="13"/>
    </row>
    <row r="798" spans="1:6" ht="34.5" customHeight="1">
      <c r="A798" s="13">
        <v>795</v>
      </c>
      <c r="B798" s="14" t="str">
        <f>"60252023122017572137288"</f>
        <v>60252023122017572137288</v>
      </c>
      <c r="C798" s="15" t="str">
        <f>"唐春燕"</f>
        <v>唐春燕</v>
      </c>
      <c r="D798" s="15" t="str">
        <f>"女"</f>
        <v>女</v>
      </c>
      <c r="E798" s="16" t="s">
        <v>158</v>
      </c>
      <c r="F798" s="13"/>
    </row>
    <row r="799" spans="1:6" ht="34.5" customHeight="1">
      <c r="A799" s="13">
        <v>796</v>
      </c>
      <c r="B799" s="14" t="str">
        <f>"60252023122419500841216"</f>
        <v>60252023122419500841216</v>
      </c>
      <c r="C799" s="15" t="str">
        <f>"陈娇虹"</f>
        <v>陈娇虹</v>
      </c>
      <c r="D799" s="15" t="str">
        <f>"女"</f>
        <v>女</v>
      </c>
      <c r="E799" s="16" t="s">
        <v>491</v>
      </c>
      <c r="F799" s="13"/>
    </row>
    <row r="800" spans="1:6" ht="34.5" customHeight="1">
      <c r="A800" s="13">
        <v>797</v>
      </c>
      <c r="B800" s="14" t="str">
        <f>"60252023122420232441247"</f>
        <v>60252023122420232441247</v>
      </c>
      <c r="C800" s="15" t="str">
        <f>"赵佳力"</f>
        <v>赵佳力</v>
      </c>
      <c r="D800" s="15" t="str">
        <f>"女"</f>
        <v>女</v>
      </c>
      <c r="E800" s="16" t="s">
        <v>492</v>
      </c>
      <c r="F800" s="13"/>
    </row>
    <row r="801" spans="1:6" ht="34.5" customHeight="1">
      <c r="A801" s="13">
        <v>798</v>
      </c>
      <c r="B801" s="14" t="str">
        <f>"60252023122419402441207"</f>
        <v>60252023122419402441207</v>
      </c>
      <c r="C801" s="15" t="str">
        <f>"林文聪"</f>
        <v>林文聪</v>
      </c>
      <c r="D801" s="15" t="str">
        <f>"男"</f>
        <v>男</v>
      </c>
      <c r="E801" s="16" t="s">
        <v>236</v>
      </c>
      <c r="F801" s="13"/>
    </row>
    <row r="802" spans="1:6" ht="34.5" customHeight="1">
      <c r="A802" s="13">
        <v>799</v>
      </c>
      <c r="B802" s="14" t="str">
        <f>"60252023122420410241268"</f>
        <v>60252023122420410241268</v>
      </c>
      <c r="C802" s="15" t="str">
        <f>"王祥"</f>
        <v>王祥</v>
      </c>
      <c r="D802" s="15" t="str">
        <f>"男"</f>
        <v>男</v>
      </c>
      <c r="E802" s="16" t="s">
        <v>493</v>
      </c>
      <c r="F802" s="13"/>
    </row>
    <row r="803" spans="1:6" ht="34.5" customHeight="1">
      <c r="A803" s="13">
        <v>800</v>
      </c>
      <c r="B803" s="14" t="str">
        <f>"60252023122420404341267"</f>
        <v>60252023122420404341267</v>
      </c>
      <c r="C803" s="15" t="str">
        <f>"郑光耀"</f>
        <v>郑光耀</v>
      </c>
      <c r="D803" s="15" t="str">
        <f>"男"</f>
        <v>男</v>
      </c>
      <c r="E803" s="16" t="s">
        <v>494</v>
      </c>
      <c r="F803" s="13"/>
    </row>
    <row r="804" spans="1:6" ht="34.5" customHeight="1">
      <c r="A804" s="13">
        <v>801</v>
      </c>
      <c r="B804" s="14" t="str">
        <f>"60252023122220114838505"</f>
        <v>60252023122220114838505</v>
      </c>
      <c r="C804" s="15" t="str">
        <f>"佘嘉妍"</f>
        <v>佘嘉妍</v>
      </c>
      <c r="D804" s="15" t="str">
        <f>"女"</f>
        <v>女</v>
      </c>
      <c r="E804" s="16" t="s">
        <v>495</v>
      </c>
      <c r="F804" s="13"/>
    </row>
    <row r="805" spans="1:6" ht="34.5" customHeight="1">
      <c r="A805" s="13">
        <v>802</v>
      </c>
      <c r="B805" s="14" t="str">
        <f>"60252023122421131041297"</f>
        <v>60252023122421131041297</v>
      </c>
      <c r="C805" s="15" t="str">
        <f>"林学晓"</f>
        <v>林学晓</v>
      </c>
      <c r="D805" s="15" t="str">
        <f>"男"</f>
        <v>男</v>
      </c>
      <c r="E805" s="16" t="s">
        <v>306</v>
      </c>
      <c r="F805" s="13"/>
    </row>
    <row r="806" spans="1:6" ht="34.5" customHeight="1">
      <c r="A806" s="13">
        <v>803</v>
      </c>
      <c r="B806" s="14" t="str">
        <f>"60252023122220355738523"</f>
        <v>60252023122220355738523</v>
      </c>
      <c r="C806" s="15" t="str">
        <f>"罗召南"</f>
        <v>罗召南</v>
      </c>
      <c r="D806" s="15" t="str">
        <f>"女"</f>
        <v>女</v>
      </c>
      <c r="E806" s="16" t="s">
        <v>496</v>
      </c>
      <c r="F806" s="13"/>
    </row>
    <row r="807" spans="1:6" ht="34.5" customHeight="1">
      <c r="A807" s="13">
        <v>804</v>
      </c>
      <c r="B807" s="14" t="str">
        <f>"60252023122423545141407"</f>
        <v>60252023122423545141407</v>
      </c>
      <c r="C807" s="15" t="str">
        <f>"陈金宁"</f>
        <v>陈金宁</v>
      </c>
      <c r="D807" s="15" t="str">
        <f>"男"</f>
        <v>男</v>
      </c>
      <c r="E807" s="16" t="s">
        <v>497</v>
      </c>
      <c r="F807" s="13"/>
    </row>
    <row r="808" spans="1:6" ht="34.5" customHeight="1">
      <c r="A808" s="13">
        <v>805</v>
      </c>
      <c r="B808" s="14" t="str">
        <f>"60252023121821240328968"</f>
        <v>60252023121821240328968</v>
      </c>
      <c r="C808" s="15" t="str">
        <f>"郑池"</f>
        <v>郑池</v>
      </c>
      <c r="D808" s="15" t="str">
        <f>"男"</f>
        <v>男</v>
      </c>
      <c r="E808" s="16" t="s">
        <v>498</v>
      </c>
      <c r="F808" s="13"/>
    </row>
    <row r="809" spans="1:6" ht="34.5" customHeight="1">
      <c r="A809" s="13">
        <v>806</v>
      </c>
      <c r="B809" s="14" t="str">
        <f>"60252023122508462641491"</f>
        <v>60252023122508462641491</v>
      </c>
      <c r="C809" s="15" t="str">
        <f>"严彩金"</f>
        <v>严彩金</v>
      </c>
      <c r="D809" s="15" t="str">
        <f>"女"</f>
        <v>女</v>
      </c>
      <c r="E809" s="16" t="s">
        <v>13</v>
      </c>
      <c r="F809" s="13"/>
    </row>
    <row r="810" spans="1:6" ht="34.5" customHeight="1">
      <c r="A810" s="13">
        <v>807</v>
      </c>
      <c r="B810" s="14" t="str">
        <f>"60252023122412034440827"</f>
        <v>60252023122412034440827</v>
      </c>
      <c r="C810" s="15" t="str">
        <f>"卓上晶"</f>
        <v>卓上晶</v>
      </c>
      <c r="D810" s="15" t="str">
        <f>"男"</f>
        <v>男</v>
      </c>
      <c r="E810" s="16" t="s">
        <v>445</v>
      </c>
      <c r="F810" s="13"/>
    </row>
    <row r="811" spans="1:6" ht="34.5" customHeight="1">
      <c r="A811" s="13">
        <v>808</v>
      </c>
      <c r="B811" s="14" t="str">
        <f>"60252023122510023241763"</f>
        <v>60252023122510023241763</v>
      </c>
      <c r="C811" s="15" t="str">
        <f>"李婧文"</f>
        <v>李婧文</v>
      </c>
      <c r="D811" s="15" t="str">
        <f>"女"</f>
        <v>女</v>
      </c>
      <c r="E811" s="16" t="s">
        <v>68</v>
      </c>
      <c r="F811" s="13"/>
    </row>
    <row r="812" spans="1:6" ht="34.5" customHeight="1">
      <c r="A812" s="13">
        <v>809</v>
      </c>
      <c r="B812" s="14" t="str">
        <f>"60252023121809382624610"</f>
        <v>60252023121809382624610</v>
      </c>
      <c r="C812" s="15" t="str">
        <f>"袁哲"</f>
        <v>袁哲</v>
      </c>
      <c r="D812" s="15" t="str">
        <f>"女"</f>
        <v>女</v>
      </c>
      <c r="E812" s="16" t="s">
        <v>499</v>
      </c>
      <c r="F812" s="13"/>
    </row>
    <row r="813" spans="1:6" ht="34.5" customHeight="1">
      <c r="A813" s="13">
        <v>810</v>
      </c>
      <c r="B813" s="14" t="str">
        <f>"60252023122510185641826"</f>
        <v>60252023122510185641826</v>
      </c>
      <c r="C813" s="15" t="str">
        <f>"杨馥源"</f>
        <v>杨馥源</v>
      </c>
      <c r="D813" s="15" t="str">
        <f>"女"</f>
        <v>女</v>
      </c>
      <c r="E813" s="16" t="s">
        <v>156</v>
      </c>
      <c r="F813" s="13"/>
    </row>
    <row r="814" spans="1:6" ht="34.5" customHeight="1">
      <c r="A814" s="13">
        <v>811</v>
      </c>
      <c r="B814" s="14" t="str">
        <f>"60252023122510495541932"</f>
        <v>60252023122510495541932</v>
      </c>
      <c r="C814" s="15" t="str">
        <f>"黄淑钰"</f>
        <v>黄淑钰</v>
      </c>
      <c r="D814" s="15" t="str">
        <f>"女"</f>
        <v>女</v>
      </c>
      <c r="E814" s="16" t="s">
        <v>67</v>
      </c>
      <c r="F814" s="13"/>
    </row>
    <row r="815" spans="1:6" ht="34.5" customHeight="1">
      <c r="A815" s="13">
        <v>812</v>
      </c>
      <c r="B815" s="14" t="str">
        <f>"60252023122123023037985"</f>
        <v>60252023122123023037985</v>
      </c>
      <c r="C815" s="15" t="str">
        <f>"符尚玲"</f>
        <v>符尚玲</v>
      </c>
      <c r="D815" s="15" t="str">
        <f>"女"</f>
        <v>女</v>
      </c>
      <c r="E815" s="16" t="s">
        <v>96</v>
      </c>
      <c r="F815" s="13"/>
    </row>
    <row r="816" spans="1:6" ht="34.5" customHeight="1">
      <c r="A816" s="13">
        <v>813</v>
      </c>
      <c r="B816" s="14" t="str">
        <f>"60252023122011563235495"</f>
        <v>60252023122011563235495</v>
      </c>
      <c r="C816" s="15" t="str">
        <f>"李明渡"</f>
        <v>李明渡</v>
      </c>
      <c r="D816" s="15" t="str">
        <f>"男"</f>
        <v>男</v>
      </c>
      <c r="E816" s="16" t="s">
        <v>500</v>
      </c>
      <c r="F816" s="13"/>
    </row>
    <row r="817" spans="1:6" ht="34.5" customHeight="1">
      <c r="A817" s="13">
        <v>814</v>
      </c>
      <c r="B817" s="14" t="str">
        <f>"60252023122511012941960"</f>
        <v>60252023122511012941960</v>
      </c>
      <c r="C817" s="15" t="str">
        <f>"邱波瀚"</f>
        <v>邱波瀚</v>
      </c>
      <c r="D817" s="15" t="str">
        <f>"男"</f>
        <v>男</v>
      </c>
      <c r="E817" s="16" t="s">
        <v>17</v>
      </c>
      <c r="F817" s="13"/>
    </row>
    <row r="818" spans="1:6" ht="34.5" customHeight="1">
      <c r="A818" s="13">
        <v>815</v>
      </c>
      <c r="B818" s="14" t="str">
        <f>"60252023122511274442027"</f>
        <v>60252023122511274442027</v>
      </c>
      <c r="C818" s="15" t="str">
        <f>"吴君"</f>
        <v>吴君</v>
      </c>
      <c r="D818" s="15" t="str">
        <f>"女"</f>
        <v>女</v>
      </c>
      <c r="E818" s="16" t="s">
        <v>501</v>
      </c>
      <c r="F818" s="13"/>
    </row>
    <row r="819" spans="1:6" ht="34.5" customHeight="1">
      <c r="A819" s="13">
        <v>816</v>
      </c>
      <c r="B819" s="14" t="str">
        <f>"60252023121919411132704"</f>
        <v>60252023121919411132704</v>
      </c>
      <c r="C819" s="15" t="str">
        <f>"陈林林"</f>
        <v>陈林林</v>
      </c>
      <c r="D819" s="15" t="str">
        <f>"女"</f>
        <v>女</v>
      </c>
      <c r="E819" s="16" t="s">
        <v>406</v>
      </c>
      <c r="F819" s="13"/>
    </row>
    <row r="820" spans="1:6" ht="34.5" customHeight="1">
      <c r="A820" s="13">
        <v>817</v>
      </c>
      <c r="B820" s="14" t="str">
        <f>"60252023122512494342207"</f>
        <v>60252023122512494342207</v>
      </c>
      <c r="C820" s="15" t="str">
        <f>"高小瑜"</f>
        <v>高小瑜</v>
      </c>
      <c r="D820" s="15" t="str">
        <f>"女"</f>
        <v>女</v>
      </c>
      <c r="E820" s="16" t="s">
        <v>502</v>
      </c>
      <c r="F820" s="13"/>
    </row>
    <row r="821" spans="1:6" ht="34.5" customHeight="1">
      <c r="A821" s="13">
        <v>818</v>
      </c>
      <c r="B821" s="14" t="str">
        <f>"60252023122510403741900"</f>
        <v>60252023122510403741900</v>
      </c>
      <c r="C821" s="15" t="str">
        <f>"张岩"</f>
        <v>张岩</v>
      </c>
      <c r="D821" s="15" t="str">
        <f>"女"</f>
        <v>女</v>
      </c>
      <c r="E821" s="16" t="s">
        <v>503</v>
      </c>
      <c r="F821" s="13"/>
    </row>
    <row r="822" spans="1:6" ht="34.5" customHeight="1">
      <c r="A822" s="13">
        <v>819</v>
      </c>
      <c r="B822" s="14" t="str">
        <f>"60252023122514340342382"</f>
        <v>60252023122514340342382</v>
      </c>
      <c r="C822" s="15" t="str">
        <f>"冯桃"</f>
        <v>冯桃</v>
      </c>
      <c r="D822" s="15" t="str">
        <f>"女"</f>
        <v>女</v>
      </c>
      <c r="E822" s="16" t="s">
        <v>182</v>
      </c>
      <c r="F822" s="13"/>
    </row>
    <row r="823" spans="1:6" ht="34.5" customHeight="1">
      <c r="A823" s="13">
        <v>820</v>
      </c>
      <c r="B823" s="14" t="str">
        <f>"60252023122513030542230"</f>
        <v>60252023122513030542230</v>
      </c>
      <c r="C823" s="15" t="str">
        <f>"符良斌"</f>
        <v>符良斌</v>
      </c>
      <c r="D823" s="15" t="str">
        <f>"男"</f>
        <v>男</v>
      </c>
      <c r="E823" s="16" t="s">
        <v>504</v>
      </c>
      <c r="F823" s="13"/>
    </row>
    <row r="824" spans="1:6" ht="34.5" customHeight="1">
      <c r="A824" s="13">
        <v>821</v>
      </c>
      <c r="B824" s="14" t="str">
        <f>"60252023122513352442283"</f>
        <v>60252023122513352442283</v>
      </c>
      <c r="C824" s="15" t="str">
        <f>"林斯彬"</f>
        <v>林斯彬</v>
      </c>
      <c r="D824" s="15" t="str">
        <f>"男"</f>
        <v>男</v>
      </c>
      <c r="E824" s="16" t="s">
        <v>505</v>
      </c>
      <c r="F824" s="13"/>
    </row>
    <row r="825" spans="1:6" ht="34.5" customHeight="1">
      <c r="A825" s="13">
        <v>822</v>
      </c>
      <c r="B825" s="14" t="str">
        <f>"60252023122514365242388"</f>
        <v>60252023122514365242388</v>
      </c>
      <c r="C825" s="15" t="str">
        <f>"王春燕"</f>
        <v>王春燕</v>
      </c>
      <c r="D825" s="15" t="str">
        <f>"女"</f>
        <v>女</v>
      </c>
      <c r="E825" s="16" t="s">
        <v>68</v>
      </c>
      <c r="F825" s="13"/>
    </row>
    <row r="826" spans="1:6" ht="34.5" customHeight="1">
      <c r="A826" s="13">
        <v>823</v>
      </c>
      <c r="B826" s="14" t="str">
        <f>"60252023122516173442618"</f>
        <v>60252023122516173442618</v>
      </c>
      <c r="C826" s="15" t="str">
        <f>"何俏"</f>
        <v>何俏</v>
      </c>
      <c r="D826" s="15" t="str">
        <f>"女"</f>
        <v>女</v>
      </c>
      <c r="E826" s="16" t="s">
        <v>94</v>
      </c>
      <c r="F826" s="13"/>
    </row>
    <row r="827" spans="1:6" ht="34.5" customHeight="1">
      <c r="A827" s="13">
        <v>824</v>
      </c>
      <c r="B827" s="14" t="str">
        <f>"60252023122516233142630"</f>
        <v>60252023122516233142630</v>
      </c>
      <c r="C827" s="15" t="str">
        <f>"林菁"</f>
        <v>林菁</v>
      </c>
      <c r="D827" s="15" t="str">
        <f>"女"</f>
        <v>女</v>
      </c>
      <c r="E827" s="16" t="s">
        <v>214</v>
      </c>
      <c r="F827" s="13"/>
    </row>
    <row r="828" spans="1:6" ht="34.5" customHeight="1">
      <c r="A828" s="13">
        <v>825</v>
      </c>
      <c r="B828" s="14" t="str">
        <f>"60252023122516370542655"</f>
        <v>60252023122516370542655</v>
      </c>
      <c r="C828" s="15" t="str">
        <f>"陈丁盈"</f>
        <v>陈丁盈</v>
      </c>
      <c r="D828" s="15" t="str">
        <f>"女"</f>
        <v>女</v>
      </c>
      <c r="E828" s="16" t="s">
        <v>197</v>
      </c>
      <c r="F828" s="13"/>
    </row>
    <row r="829" spans="1:6" ht="34.5" customHeight="1">
      <c r="A829" s="13">
        <v>826</v>
      </c>
      <c r="B829" s="14" t="str">
        <f>"60252023121809485624736"</f>
        <v>60252023121809485624736</v>
      </c>
      <c r="C829" s="15" t="str">
        <f>"李裕炜"</f>
        <v>李裕炜</v>
      </c>
      <c r="D829" s="15" t="str">
        <f>"男"</f>
        <v>男</v>
      </c>
      <c r="E829" s="16" t="s">
        <v>489</v>
      </c>
      <c r="F829" s="13"/>
    </row>
    <row r="830" spans="1:6" ht="34.5" customHeight="1">
      <c r="A830" s="13">
        <v>827</v>
      </c>
      <c r="B830" s="14" t="str">
        <f>"60252023122516471942683"</f>
        <v>60252023122516471942683</v>
      </c>
      <c r="C830" s="15" t="str">
        <f>"王润虹"</f>
        <v>王润虹</v>
      </c>
      <c r="D830" s="15" t="str">
        <f>"女"</f>
        <v>女</v>
      </c>
      <c r="E830" s="16" t="s">
        <v>265</v>
      </c>
      <c r="F830" s="13"/>
    </row>
    <row r="831" spans="1:6" ht="34.5" customHeight="1">
      <c r="A831" s="13">
        <v>828</v>
      </c>
      <c r="B831" s="14" t="str">
        <f>"60252023122517180642732"</f>
        <v>60252023122517180642732</v>
      </c>
      <c r="C831" s="15" t="str">
        <f>"李栋"</f>
        <v>李栋</v>
      </c>
      <c r="D831" s="15" t="str">
        <f>"男"</f>
        <v>男</v>
      </c>
      <c r="E831" s="16" t="s">
        <v>410</v>
      </c>
      <c r="F831" s="13"/>
    </row>
    <row r="832" spans="1:6" ht="34.5" customHeight="1">
      <c r="A832" s="13">
        <v>829</v>
      </c>
      <c r="B832" s="14" t="str">
        <f>"60252023122518391642843"</f>
        <v>60252023122518391642843</v>
      </c>
      <c r="C832" s="15" t="str">
        <f>"周颖"</f>
        <v>周颖</v>
      </c>
      <c r="D832" s="15" t="str">
        <f>"女"</f>
        <v>女</v>
      </c>
      <c r="E832" s="16" t="s">
        <v>506</v>
      </c>
      <c r="F832" s="13"/>
    </row>
    <row r="833" spans="1:6" ht="34.5" customHeight="1">
      <c r="A833" s="13">
        <v>830</v>
      </c>
      <c r="B833" s="14" t="str">
        <f>"60252023122520060942956"</f>
        <v>60252023122520060942956</v>
      </c>
      <c r="C833" s="15" t="str">
        <f>"吴秀峰"</f>
        <v>吴秀峰</v>
      </c>
      <c r="D833" s="15" t="str">
        <f>"男"</f>
        <v>男</v>
      </c>
      <c r="E833" s="16" t="s">
        <v>507</v>
      </c>
      <c r="F833" s="13"/>
    </row>
    <row r="834" spans="1:6" ht="34.5" customHeight="1">
      <c r="A834" s="13">
        <v>831</v>
      </c>
      <c r="B834" s="14" t="str">
        <f>"60252023122513311042276"</f>
        <v>60252023122513311042276</v>
      </c>
      <c r="C834" s="15" t="str">
        <f>"周冬菊"</f>
        <v>周冬菊</v>
      </c>
      <c r="D834" s="15" t="str">
        <f>"女"</f>
        <v>女</v>
      </c>
      <c r="E834" s="16" t="s">
        <v>191</v>
      </c>
      <c r="F834" s="13"/>
    </row>
    <row r="835" spans="1:6" ht="34.5" customHeight="1">
      <c r="A835" s="13">
        <v>832</v>
      </c>
      <c r="B835" s="14" t="str">
        <f>"60252023122419364741200"</f>
        <v>60252023122419364741200</v>
      </c>
      <c r="C835" s="15" t="str">
        <f>"吴文霞"</f>
        <v>吴文霞</v>
      </c>
      <c r="D835" s="15" t="str">
        <f>"女"</f>
        <v>女</v>
      </c>
      <c r="E835" s="16" t="s">
        <v>68</v>
      </c>
      <c r="F835" s="13"/>
    </row>
    <row r="836" spans="1:6" ht="34.5" customHeight="1">
      <c r="A836" s="13">
        <v>833</v>
      </c>
      <c r="B836" s="14" t="str">
        <f>"60252023122520534343042"</f>
        <v>60252023122520534343042</v>
      </c>
      <c r="C836" s="15" t="str">
        <f>"郑昌月"</f>
        <v>郑昌月</v>
      </c>
      <c r="D836" s="15" t="str">
        <f>"女"</f>
        <v>女</v>
      </c>
      <c r="E836" s="16" t="s">
        <v>179</v>
      </c>
      <c r="F836" s="13"/>
    </row>
    <row r="837" spans="1:6" ht="34.5" customHeight="1">
      <c r="A837" s="13">
        <v>834</v>
      </c>
      <c r="B837" s="14" t="str">
        <f>"60252023122521001843051"</f>
        <v>60252023122521001843051</v>
      </c>
      <c r="C837" s="15" t="str">
        <f>"石玉莉"</f>
        <v>石玉莉</v>
      </c>
      <c r="D837" s="15" t="str">
        <f>"女"</f>
        <v>女</v>
      </c>
      <c r="E837" s="16" t="s">
        <v>56</v>
      </c>
      <c r="F837" s="13"/>
    </row>
    <row r="838" spans="1:6" ht="34.5" customHeight="1">
      <c r="A838" s="13">
        <v>835</v>
      </c>
      <c r="B838" s="14" t="str">
        <f>"60252023122521354843129"</f>
        <v>60252023122521354843129</v>
      </c>
      <c r="C838" s="15" t="str">
        <f>"吴毓杰"</f>
        <v>吴毓杰</v>
      </c>
      <c r="D838" s="15" t="str">
        <f>"男"</f>
        <v>男</v>
      </c>
      <c r="E838" s="16" t="s">
        <v>386</v>
      </c>
      <c r="F838" s="13"/>
    </row>
    <row r="839" spans="1:6" ht="34.5" customHeight="1">
      <c r="A839" s="13">
        <v>836</v>
      </c>
      <c r="B839" s="14" t="str">
        <f>"60252023122521351943127"</f>
        <v>60252023122521351943127</v>
      </c>
      <c r="C839" s="15" t="str">
        <f>"陈井吉"</f>
        <v>陈井吉</v>
      </c>
      <c r="D839" s="15" t="str">
        <f>"男"</f>
        <v>男</v>
      </c>
      <c r="E839" s="16" t="s">
        <v>508</v>
      </c>
      <c r="F839" s="13"/>
    </row>
    <row r="840" spans="1:6" ht="34.5" customHeight="1">
      <c r="A840" s="13">
        <v>837</v>
      </c>
      <c r="B840" s="14" t="str">
        <f>"60252023122423404741400"</f>
        <v>60252023122423404741400</v>
      </c>
      <c r="C840" s="15" t="str">
        <f>"黄什"</f>
        <v>黄什</v>
      </c>
      <c r="D840" s="15" t="str">
        <f>"男"</f>
        <v>男</v>
      </c>
      <c r="E840" s="16" t="s">
        <v>509</v>
      </c>
      <c r="F840" s="13"/>
    </row>
    <row r="841" spans="1:6" ht="34.5" customHeight="1">
      <c r="A841" s="13">
        <v>838</v>
      </c>
      <c r="B841" s="14" t="str">
        <f>"60252023122521345743125"</f>
        <v>60252023122521345743125</v>
      </c>
      <c r="C841" s="15" t="str">
        <f>"谭婷尹"</f>
        <v>谭婷尹</v>
      </c>
      <c r="D841" s="15" t="str">
        <f>"女"</f>
        <v>女</v>
      </c>
      <c r="E841" s="16" t="s">
        <v>63</v>
      </c>
      <c r="F841" s="13"/>
    </row>
    <row r="842" spans="1:6" ht="34.5" customHeight="1">
      <c r="A842" s="13">
        <v>839</v>
      </c>
      <c r="B842" s="14" t="str">
        <f>"60252023122211570938190"</f>
        <v>60252023122211570938190</v>
      </c>
      <c r="C842" s="15" t="str">
        <f>"陈奕新"</f>
        <v>陈奕新</v>
      </c>
      <c r="D842" s="15" t="str">
        <f>"男"</f>
        <v>男</v>
      </c>
      <c r="E842" s="16" t="s">
        <v>510</v>
      </c>
      <c r="F842" s="13"/>
    </row>
    <row r="843" spans="1:6" ht="34.5" customHeight="1">
      <c r="A843" s="13">
        <v>840</v>
      </c>
      <c r="B843" s="14" t="str">
        <f>"60252023122523092043251"</f>
        <v>60252023122523092043251</v>
      </c>
      <c r="C843" s="15" t="str">
        <f>"符金炜"</f>
        <v>符金炜</v>
      </c>
      <c r="D843" s="15" t="str">
        <f>"男"</f>
        <v>男</v>
      </c>
      <c r="E843" s="16" t="s">
        <v>429</v>
      </c>
      <c r="F843" s="13"/>
    </row>
    <row r="844" spans="1:6" ht="34.5" customHeight="1">
      <c r="A844" s="13">
        <v>841</v>
      </c>
      <c r="B844" s="14" t="str">
        <f>"60252023122523161443256"</f>
        <v>60252023122523161443256</v>
      </c>
      <c r="C844" s="15" t="str">
        <f>"黄菲菲"</f>
        <v>黄菲菲</v>
      </c>
      <c r="D844" s="15" t="str">
        <f>"女"</f>
        <v>女</v>
      </c>
      <c r="E844" s="16" t="s">
        <v>19</v>
      </c>
      <c r="F844" s="13"/>
    </row>
    <row r="845" spans="1:6" ht="34.5" customHeight="1">
      <c r="A845" s="13">
        <v>842</v>
      </c>
      <c r="B845" s="14" t="str">
        <f>"60252023122523151743255"</f>
        <v>60252023122523151743255</v>
      </c>
      <c r="C845" s="15" t="str">
        <f>"李江汉"</f>
        <v>李江汉</v>
      </c>
      <c r="D845" s="15" t="str">
        <f>"男"</f>
        <v>男</v>
      </c>
      <c r="E845" s="16" t="s">
        <v>193</v>
      </c>
      <c r="F845" s="13"/>
    </row>
    <row r="846" spans="1:6" ht="34.5" customHeight="1">
      <c r="A846" s="13">
        <v>843</v>
      </c>
      <c r="B846" s="14" t="str">
        <f>"60252023121821435629067"</f>
        <v>60252023121821435629067</v>
      </c>
      <c r="C846" s="15" t="str">
        <f>"许梅林"</f>
        <v>许梅林</v>
      </c>
      <c r="D846" s="15" t="str">
        <f>"男"</f>
        <v>男</v>
      </c>
      <c r="E846" s="16" t="s">
        <v>511</v>
      </c>
      <c r="F846" s="13"/>
    </row>
    <row r="847" spans="1:6" ht="34.5" customHeight="1">
      <c r="A847" s="13">
        <v>844</v>
      </c>
      <c r="B847" s="14" t="str">
        <f>"60252023122521235943105"</f>
        <v>60252023122521235943105</v>
      </c>
      <c r="C847" s="15" t="str">
        <f>"陈思爱"</f>
        <v>陈思爱</v>
      </c>
      <c r="D847" s="15" t="str">
        <f>"女"</f>
        <v>女</v>
      </c>
      <c r="E847" s="16" t="s">
        <v>250</v>
      </c>
      <c r="F847" s="13"/>
    </row>
    <row r="848" spans="1:6" ht="34.5" customHeight="1">
      <c r="A848" s="13">
        <v>845</v>
      </c>
      <c r="B848" s="14" t="str">
        <f>"60252023122600503943303"</f>
        <v>60252023122600503943303</v>
      </c>
      <c r="C848" s="15" t="str">
        <f>"刘嘉美"</f>
        <v>刘嘉美</v>
      </c>
      <c r="D848" s="15" t="str">
        <f>"女"</f>
        <v>女</v>
      </c>
      <c r="E848" s="16" t="s">
        <v>512</v>
      </c>
      <c r="F848" s="13"/>
    </row>
    <row r="849" spans="1:6" ht="34.5" customHeight="1">
      <c r="A849" s="13">
        <v>846</v>
      </c>
      <c r="B849" s="14" t="str">
        <f>"60252023122215432338322"</f>
        <v>60252023122215432338322</v>
      </c>
      <c r="C849" s="15" t="str">
        <f>"赵佳佳"</f>
        <v>赵佳佳</v>
      </c>
      <c r="D849" s="15" t="str">
        <f>"女"</f>
        <v>女</v>
      </c>
      <c r="E849" s="16" t="s">
        <v>513</v>
      </c>
      <c r="F849" s="13"/>
    </row>
    <row r="850" spans="1:6" ht="34.5" customHeight="1">
      <c r="A850" s="13">
        <v>847</v>
      </c>
      <c r="B850" s="14" t="str">
        <f>"60252023122608552043360"</f>
        <v>60252023122608552043360</v>
      </c>
      <c r="C850" s="15" t="str">
        <f>"陈朝熙"</f>
        <v>陈朝熙</v>
      </c>
      <c r="D850" s="15" t="str">
        <f>"男"</f>
        <v>男</v>
      </c>
      <c r="E850" s="16" t="s">
        <v>485</v>
      </c>
      <c r="F850" s="13"/>
    </row>
    <row r="851" spans="1:6" ht="34.5" customHeight="1">
      <c r="A851" s="13">
        <v>848</v>
      </c>
      <c r="B851" s="14" t="str">
        <f>"60252023122609594043481"</f>
        <v>60252023122609594043481</v>
      </c>
      <c r="C851" s="15" t="str">
        <f>"朱景秀"</f>
        <v>朱景秀</v>
      </c>
      <c r="D851" s="15" t="str">
        <f>"女"</f>
        <v>女</v>
      </c>
      <c r="E851" s="16" t="s">
        <v>321</v>
      </c>
      <c r="F851" s="13"/>
    </row>
    <row r="852" spans="1:6" ht="34.5" customHeight="1">
      <c r="A852" s="13">
        <v>849</v>
      </c>
      <c r="B852" s="14" t="str">
        <f>"60252023122610090743495"</f>
        <v>60252023122610090743495</v>
      </c>
      <c r="C852" s="15" t="str">
        <f>"江小妹"</f>
        <v>江小妹</v>
      </c>
      <c r="D852" s="15" t="str">
        <f>"女"</f>
        <v>女</v>
      </c>
      <c r="E852" s="16" t="s">
        <v>514</v>
      </c>
      <c r="F852" s="13"/>
    </row>
    <row r="853" spans="1:6" ht="34.5" customHeight="1">
      <c r="A853" s="13">
        <v>850</v>
      </c>
      <c r="B853" s="14" t="str">
        <f>"60252023122609374843437"</f>
        <v>60252023122609374843437</v>
      </c>
      <c r="C853" s="15" t="str">
        <f>"陈程竹"</f>
        <v>陈程竹</v>
      </c>
      <c r="D853" s="15" t="str">
        <f>"女"</f>
        <v>女</v>
      </c>
      <c r="E853" s="16" t="s">
        <v>114</v>
      </c>
      <c r="F853" s="13"/>
    </row>
    <row r="854" spans="1:6" ht="34.5" customHeight="1">
      <c r="A854" s="13">
        <v>851</v>
      </c>
      <c r="B854" s="14" t="str">
        <f>"60252023122610145043518"</f>
        <v>60252023122610145043518</v>
      </c>
      <c r="C854" s="15" t="str">
        <f>"胡展纲"</f>
        <v>胡展纲</v>
      </c>
      <c r="D854" s="15" t="str">
        <f>"男"</f>
        <v>男</v>
      </c>
      <c r="E854" s="16" t="s">
        <v>384</v>
      </c>
      <c r="F854" s="13"/>
    </row>
    <row r="855" spans="1:6" ht="34.5" customHeight="1">
      <c r="A855" s="13">
        <v>852</v>
      </c>
      <c r="B855" s="14" t="str">
        <f>"60252023122610584043630"</f>
        <v>60252023122610584043630</v>
      </c>
      <c r="C855" s="15" t="str">
        <f>"张倩倩"</f>
        <v>张倩倩</v>
      </c>
      <c r="D855" s="15" t="str">
        <f>"女"</f>
        <v>女</v>
      </c>
      <c r="E855" s="16" t="s">
        <v>63</v>
      </c>
      <c r="F855" s="13"/>
    </row>
    <row r="856" spans="1:6" ht="34.5" customHeight="1">
      <c r="A856" s="13">
        <v>853</v>
      </c>
      <c r="B856" s="14" t="str">
        <f>"60252023122611061743650"</f>
        <v>60252023122611061743650</v>
      </c>
      <c r="C856" s="14" t="str">
        <f>" 曾卫平"</f>
        <v> 曾卫平</v>
      </c>
      <c r="D856" s="15" t="str">
        <f>"男"</f>
        <v>男</v>
      </c>
      <c r="E856" s="16" t="s">
        <v>515</v>
      </c>
      <c r="F856" s="13"/>
    </row>
    <row r="857" spans="1:6" ht="34.5" customHeight="1">
      <c r="A857" s="13">
        <v>854</v>
      </c>
      <c r="B857" s="14" t="str">
        <f>"60252023122611254243682"</f>
        <v>60252023122611254243682</v>
      </c>
      <c r="C857" s="15" t="str">
        <f>"李明惠"</f>
        <v>李明惠</v>
      </c>
      <c r="D857" s="15" t="str">
        <f>"女"</f>
        <v>女</v>
      </c>
      <c r="E857" s="16" t="s">
        <v>22</v>
      </c>
      <c r="F857" s="13"/>
    </row>
    <row r="858" spans="1:6" ht="34.5" customHeight="1">
      <c r="A858" s="13">
        <v>855</v>
      </c>
      <c r="B858" s="14" t="str">
        <f>"60252023122611100043657"</f>
        <v>60252023122611100043657</v>
      </c>
      <c r="C858" s="15" t="str">
        <f>"王景景"</f>
        <v>王景景</v>
      </c>
      <c r="D858" s="15" t="str">
        <f>"女"</f>
        <v>女</v>
      </c>
      <c r="E858" s="16" t="s">
        <v>105</v>
      </c>
      <c r="F858" s="13"/>
    </row>
    <row r="859" spans="1:6" ht="34.5" customHeight="1">
      <c r="A859" s="13">
        <v>856</v>
      </c>
      <c r="B859" s="14" t="str">
        <f>"60252023122609411143443"</f>
        <v>60252023122609411143443</v>
      </c>
      <c r="C859" s="15" t="str">
        <f>"黄光超"</f>
        <v>黄光超</v>
      </c>
      <c r="D859" s="15" t="str">
        <f>"男"</f>
        <v>男</v>
      </c>
      <c r="E859" s="16" t="s">
        <v>516</v>
      </c>
      <c r="F859" s="13"/>
    </row>
    <row r="860" spans="1:6" ht="34.5" customHeight="1">
      <c r="A860" s="13">
        <v>857</v>
      </c>
      <c r="B860" s="14" t="str">
        <f>"60252023122415291841011"</f>
        <v>60252023122415291841011</v>
      </c>
      <c r="C860" s="15" t="str">
        <f>"林树帅"</f>
        <v>林树帅</v>
      </c>
      <c r="D860" s="15" t="str">
        <f>"男"</f>
        <v>男</v>
      </c>
      <c r="E860" s="16" t="s">
        <v>517</v>
      </c>
      <c r="F860" s="13"/>
    </row>
    <row r="861" spans="1:6" ht="34.5" customHeight="1">
      <c r="A861" s="13">
        <v>858</v>
      </c>
      <c r="B861" s="14" t="str">
        <f>"60252023122522424943231"</f>
        <v>60252023122522424943231</v>
      </c>
      <c r="C861" s="15" t="str">
        <f>"张德妍"</f>
        <v>张德妍</v>
      </c>
      <c r="D861" s="15" t="str">
        <f>"女"</f>
        <v>女</v>
      </c>
      <c r="E861" s="16" t="s">
        <v>201</v>
      </c>
      <c r="F861" s="13"/>
    </row>
    <row r="862" spans="1:6" ht="34.5" customHeight="1">
      <c r="A862" s="13">
        <v>859</v>
      </c>
      <c r="B862" s="14" t="str">
        <f>"60252023122612134043747"</f>
        <v>60252023122612134043747</v>
      </c>
      <c r="C862" s="15" t="str">
        <f>"廖业胜"</f>
        <v>廖业胜</v>
      </c>
      <c r="D862" s="15" t="str">
        <f>"男"</f>
        <v>男</v>
      </c>
      <c r="E862" s="16" t="s">
        <v>518</v>
      </c>
      <c r="F862" s="13"/>
    </row>
    <row r="863" spans="1:6" ht="34.5" customHeight="1">
      <c r="A863" s="13">
        <v>860</v>
      </c>
      <c r="B863" s="14" t="str">
        <f>"60252023122612014143734"</f>
        <v>60252023122612014143734</v>
      </c>
      <c r="C863" s="15" t="str">
        <f>"王开"</f>
        <v>王开</v>
      </c>
      <c r="D863" s="15" t="str">
        <f>"男"</f>
        <v>男</v>
      </c>
      <c r="E863" s="16" t="s">
        <v>44</v>
      </c>
      <c r="F863" s="13"/>
    </row>
    <row r="864" spans="1:6" ht="34.5" customHeight="1">
      <c r="A864" s="13">
        <v>861</v>
      </c>
      <c r="B864" s="14" t="str">
        <f>"60252023122609342643431"</f>
        <v>60252023122609342643431</v>
      </c>
      <c r="C864" s="15" t="str">
        <f>"游玉连"</f>
        <v>游玉连</v>
      </c>
      <c r="D864" s="15" t="str">
        <f>"女"</f>
        <v>女</v>
      </c>
      <c r="E864" s="16" t="s">
        <v>519</v>
      </c>
      <c r="F864" s="13"/>
    </row>
    <row r="865" spans="1:6" ht="34.5" customHeight="1">
      <c r="A865" s="13">
        <v>862</v>
      </c>
      <c r="B865" s="14" t="str">
        <f>"60252023122522420243229"</f>
        <v>60252023122522420243229</v>
      </c>
      <c r="C865" s="15" t="str">
        <f>"吉顺达"</f>
        <v>吉顺达</v>
      </c>
      <c r="D865" s="15" t="str">
        <f>"男"</f>
        <v>男</v>
      </c>
      <c r="E865" s="16" t="s">
        <v>47</v>
      </c>
      <c r="F865" s="13"/>
    </row>
    <row r="866" spans="1:6" ht="34.5" customHeight="1">
      <c r="A866" s="13">
        <v>863</v>
      </c>
      <c r="B866" s="14" t="str">
        <f>"60252023122612343243780"</f>
        <v>60252023122612343243780</v>
      </c>
      <c r="C866" s="15" t="str">
        <f>"钟秀燕"</f>
        <v>钟秀燕</v>
      </c>
      <c r="D866" s="15" t="str">
        <f>"女"</f>
        <v>女</v>
      </c>
      <c r="E866" s="16" t="s">
        <v>520</v>
      </c>
      <c r="F866" s="13"/>
    </row>
    <row r="867" spans="1:6" ht="34.5" customHeight="1">
      <c r="A867" s="13">
        <v>864</v>
      </c>
      <c r="B867" s="14" t="str">
        <f>"60252023122613000843835"</f>
        <v>60252023122613000843835</v>
      </c>
      <c r="C867" s="15" t="str">
        <f>"林师锶"</f>
        <v>林师锶</v>
      </c>
      <c r="D867" s="15" t="str">
        <f>"女"</f>
        <v>女</v>
      </c>
      <c r="E867" s="16" t="s">
        <v>276</v>
      </c>
      <c r="F867" s="13"/>
    </row>
    <row r="868" spans="1:6" ht="34.5" customHeight="1">
      <c r="A868" s="13">
        <v>865</v>
      </c>
      <c r="B868" s="14" t="str">
        <f>"60252023122520264342989"</f>
        <v>60252023122520264342989</v>
      </c>
      <c r="C868" s="15" t="str">
        <f>"黄李若"</f>
        <v>黄李若</v>
      </c>
      <c r="D868" s="15" t="str">
        <f>"女"</f>
        <v>女</v>
      </c>
      <c r="E868" s="16" t="s">
        <v>194</v>
      </c>
      <c r="F868" s="13"/>
    </row>
    <row r="869" spans="1:6" ht="34.5" customHeight="1">
      <c r="A869" s="13">
        <v>866</v>
      </c>
      <c r="B869" s="14" t="str">
        <f>"60252023122613151243859"</f>
        <v>60252023122613151243859</v>
      </c>
      <c r="C869" s="15" t="str">
        <f>"钟楠"</f>
        <v>钟楠</v>
      </c>
      <c r="D869" s="15" t="str">
        <f>"女"</f>
        <v>女</v>
      </c>
      <c r="E869" s="16" t="s">
        <v>521</v>
      </c>
      <c r="F869" s="13"/>
    </row>
    <row r="870" spans="1:6" ht="34.5" customHeight="1">
      <c r="A870" s="13">
        <v>867</v>
      </c>
      <c r="B870" s="14" t="str">
        <f>"60252023122612553443819"</f>
        <v>60252023122612553443819</v>
      </c>
      <c r="C870" s="15" t="str">
        <f>"王盛民"</f>
        <v>王盛民</v>
      </c>
      <c r="D870" s="15" t="str">
        <f>"男"</f>
        <v>男</v>
      </c>
      <c r="E870" s="16" t="s">
        <v>522</v>
      </c>
      <c r="F870" s="13"/>
    </row>
    <row r="871" spans="1:6" ht="34.5" customHeight="1">
      <c r="A871" s="13">
        <v>868</v>
      </c>
      <c r="B871" s="14" t="str">
        <f>"60252023122610243843539"</f>
        <v>60252023122610243843539</v>
      </c>
      <c r="C871" s="15" t="str">
        <f>"陈月维"</f>
        <v>陈月维</v>
      </c>
      <c r="D871" s="15" t="str">
        <f>"女"</f>
        <v>女</v>
      </c>
      <c r="E871" s="16" t="s">
        <v>158</v>
      </c>
      <c r="F871" s="13"/>
    </row>
    <row r="872" spans="1:6" ht="34.5" customHeight="1">
      <c r="A872" s="13">
        <v>869</v>
      </c>
      <c r="B872" s="14" t="str">
        <f>"60252023122612554743821"</f>
        <v>60252023122612554743821</v>
      </c>
      <c r="C872" s="15" t="str">
        <f>"王小曼"</f>
        <v>王小曼</v>
      </c>
      <c r="D872" s="15" t="str">
        <f>"女"</f>
        <v>女</v>
      </c>
      <c r="E872" s="16" t="s">
        <v>415</v>
      </c>
      <c r="F872" s="13"/>
    </row>
    <row r="873" spans="1:6" ht="34.5" customHeight="1">
      <c r="A873" s="13">
        <v>870</v>
      </c>
      <c r="B873" s="14" t="str">
        <f>"60252023122614062843929"</f>
        <v>60252023122614062843929</v>
      </c>
      <c r="C873" s="15" t="str">
        <f>"习秋玉"</f>
        <v>习秋玉</v>
      </c>
      <c r="D873" s="15" t="str">
        <f>"女"</f>
        <v>女</v>
      </c>
      <c r="E873" s="16" t="s">
        <v>97</v>
      </c>
      <c r="F873" s="13"/>
    </row>
    <row r="874" spans="1:6" ht="34.5" customHeight="1">
      <c r="A874" s="13">
        <v>871</v>
      </c>
      <c r="B874" s="14" t="str">
        <f>"60252023122614224743961"</f>
        <v>60252023122614224743961</v>
      </c>
      <c r="C874" s="15" t="str">
        <f>"陈迁捷"</f>
        <v>陈迁捷</v>
      </c>
      <c r="D874" s="15" t="str">
        <f>"男"</f>
        <v>男</v>
      </c>
      <c r="E874" s="16" t="s">
        <v>523</v>
      </c>
      <c r="F874" s="13"/>
    </row>
    <row r="875" spans="1:6" ht="34.5" customHeight="1">
      <c r="A875" s="13">
        <v>872</v>
      </c>
      <c r="B875" s="14" t="str">
        <f>"60252023122611254843683"</f>
        <v>60252023122611254843683</v>
      </c>
      <c r="C875" s="15" t="str">
        <f>"李秀梨"</f>
        <v>李秀梨</v>
      </c>
      <c r="D875" s="15" t="str">
        <f>"女"</f>
        <v>女</v>
      </c>
      <c r="E875" s="16" t="s">
        <v>457</v>
      </c>
      <c r="F875" s="13"/>
    </row>
    <row r="876" spans="1:6" ht="34.5" customHeight="1">
      <c r="A876" s="13">
        <v>873</v>
      </c>
      <c r="B876" s="14" t="str">
        <f>"60252023121908415429647"</f>
        <v>60252023121908415429647</v>
      </c>
      <c r="C876" s="15" t="str">
        <f>"黄进"</f>
        <v>黄进</v>
      </c>
      <c r="D876" s="15" t="str">
        <f>"男"</f>
        <v>男</v>
      </c>
      <c r="E876" s="16" t="s">
        <v>524</v>
      </c>
      <c r="F876" s="13"/>
    </row>
    <row r="877" spans="1:6" ht="34.5" customHeight="1">
      <c r="A877" s="13">
        <v>874</v>
      </c>
      <c r="B877" s="14" t="str">
        <f>"60252023121911104630540"</f>
        <v>60252023121911104630540</v>
      </c>
      <c r="C877" s="15" t="str">
        <f>"王仪"</f>
        <v>王仪</v>
      </c>
      <c r="D877" s="15" t="str">
        <f>"女"</f>
        <v>女</v>
      </c>
      <c r="E877" s="16" t="s">
        <v>525</v>
      </c>
      <c r="F877" s="13"/>
    </row>
    <row r="878" spans="1:6" ht="34.5" customHeight="1">
      <c r="A878" s="13">
        <v>875</v>
      </c>
      <c r="B878" s="14" t="str">
        <f>"60252023122614581044025"</f>
        <v>60252023122614581044025</v>
      </c>
      <c r="C878" s="15" t="str">
        <f>"罗江浮"</f>
        <v>罗江浮</v>
      </c>
      <c r="D878" s="15" t="str">
        <f>"男"</f>
        <v>男</v>
      </c>
      <c r="E878" s="16" t="s">
        <v>526</v>
      </c>
      <c r="F878" s="13"/>
    </row>
    <row r="879" spans="1:6" ht="34.5" customHeight="1">
      <c r="A879" s="13">
        <v>876</v>
      </c>
      <c r="B879" s="14" t="str">
        <f>"60252023122021310337398"</f>
        <v>60252023122021310337398</v>
      </c>
      <c r="C879" s="15" t="str">
        <f>"高佳莹"</f>
        <v>高佳莹</v>
      </c>
      <c r="D879" s="15" t="str">
        <f>"女"</f>
        <v>女</v>
      </c>
      <c r="E879" s="16" t="s">
        <v>69</v>
      </c>
      <c r="F879" s="13"/>
    </row>
    <row r="880" spans="1:6" ht="34.5" customHeight="1">
      <c r="A880" s="13">
        <v>877</v>
      </c>
      <c r="B880" s="14" t="str">
        <f>"60252023121811312725856"</f>
        <v>60252023121811312725856</v>
      </c>
      <c r="C880" s="15" t="str">
        <f>"钟春林"</f>
        <v>钟春林</v>
      </c>
      <c r="D880" s="15" t="str">
        <f>"男"</f>
        <v>男</v>
      </c>
      <c r="E880" s="16" t="s">
        <v>395</v>
      </c>
      <c r="F880" s="13"/>
    </row>
    <row r="881" spans="1:6" ht="34.5" customHeight="1">
      <c r="A881" s="13">
        <v>878</v>
      </c>
      <c r="B881" s="14" t="str">
        <f>"60252023122517214842739"</f>
        <v>60252023122517214842739</v>
      </c>
      <c r="C881" s="15" t="str">
        <f>"刘文芳"</f>
        <v>刘文芳</v>
      </c>
      <c r="D881" s="15" t="str">
        <f>"女"</f>
        <v>女</v>
      </c>
      <c r="E881" s="16" t="s">
        <v>527</v>
      </c>
      <c r="F881" s="13"/>
    </row>
    <row r="882" spans="1:6" ht="34.5" customHeight="1">
      <c r="A882" s="13">
        <v>879</v>
      </c>
      <c r="B882" s="14" t="str">
        <f>"60252023122615451944123"</f>
        <v>60252023122615451944123</v>
      </c>
      <c r="C882" s="15" t="str">
        <f>"孔娜娜"</f>
        <v>孔娜娜</v>
      </c>
      <c r="D882" s="15" t="str">
        <f>"女"</f>
        <v>女</v>
      </c>
      <c r="E882" s="16" t="s">
        <v>528</v>
      </c>
      <c r="F882" s="13"/>
    </row>
    <row r="883" spans="1:6" ht="34.5" customHeight="1">
      <c r="A883" s="13">
        <v>880</v>
      </c>
      <c r="B883" s="14" t="str">
        <f>"60252023122009154634499"</f>
        <v>60252023122009154634499</v>
      </c>
      <c r="C883" s="15" t="str">
        <f>"王凯歌"</f>
        <v>王凯歌</v>
      </c>
      <c r="D883" s="15" t="str">
        <f>"男"</f>
        <v>男</v>
      </c>
      <c r="E883" s="16" t="s">
        <v>358</v>
      </c>
      <c r="F883" s="13"/>
    </row>
    <row r="884" spans="1:6" ht="34.5" customHeight="1">
      <c r="A884" s="13">
        <v>881</v>
      </c>
      <c r="B884" s="14" t="str">
        <f>"60252023122615553244154"</f>
        <v>60252023122615553244154</v>
      </c>
      <c r="C884" s="15" t="str">
        <f>"王芳珍"</f>
        <v>王芳珍</v>
      </c>
      <c r="D884" s="15" t="str">
        <f>"女"</f>
        <v>女</v>
      </c>
      <c r="E884" s="16" t="s">
        <v>529</v>
      </c>
      <c r="F884" s="13"/>
    </row>
    <row r="885" spans="1:6" ht="34.5" customHeight="1">
      <c r="A885" s="13">
        <v>882</v>
      </c>
      <c r="B885" s="14" t="str">
        <f>"60252023122615365944103"</f>
        <v>60252023122615365944103</v>
      </c>
      <c r="C885" s="15" t="str">
        <f>"卢强文"</f>
        <v>卢强文</v>
      </c>
      <c r="D885" s="15" t="str">
        <f>"男"</f>
        <v>男</v>
      </c>
      <c r="E885" s="16" t="s">
        <v>224</v>
      </c>
      <c r="F885" s="13"/>
    </row>
    <row r="886" spans="1:6" ht="34.5" customHeight="1">
      <c r="A886" s="13">
        <v>883</v>
      </c>
      <c r="B886" s="14" t="str">
        <f>"60252023122616372944217"</f>
        <v>60252023122616372944217</v>
      </c>
      <c r="C886" s="15" t="str">
        <f>"李友君"</f>
        <v>李友君</v>
      </c>
      <c r="D886" s="15" t="str">
        <f>"女"</f>
        <v>女</v>
      </c>
      <c r="E886" s="16" t="s">
        <v>271</v>
      </c>
      <c r="F886" s="13"/>
    </row>
    <row r="887" spans="1:6" ht="34.5" customHeight="1">
      <c r="A887" s="13">
        <v>884</v>
      </c>
      <c r="B887" s="14" t="str">
        <f>"60252023122616574444244"</f>
        <v>60252023122616574444244</v>
      </c>
      <c r="C887" s="15" t="str">
        <f>"陈能华"</f>
        <v>陈能华</v>
      </c>
      <c r="D887" s="15" t="str">
        <f>"男"</f>
        <v>男</v>
      </c>
      <c r="E887" s="16" t="s">
        <v>348</v>
      </c>
      <c r="F887" s="13"/>
    </row>
    <row r="888" spans="1:6" ht="34.5" customHeight="1">
      <c r="A888" s="13">
        <v>885</v>
      </c>
      <c r="B888" s="14" t="str">
        <f>"60252023122616403444221"</f>
        <v>60252023122616403444221</v>
      </c>
      <c r="C888" s="15" t="str">
        <f>"符源"</f>
        <v>符源</v>
      </c>
      <c r="D888" s="15" t="str">
        <f>"男"</f>
        <v>男</v>
      </c>
      <c r="E888" s="16" t="s">
        <v>489</v>
      </c>
      <c r="F888" s="13"/>
    </row>
    <row r="889" spans="1:6" ht="34.5" customHeight="1">
      <c r="A889" s="13">
        <v>886</v>
      </c>
      <c r="B889" s="14" t="str">
        <f>"60252023122517082342714"</f>
        <v>60252023122517082342714</v>
      </c>
      <c r="C889" s="15" t="str">
        <f>"郑学妍"</f>
        <v>郑学妍</v>
      </c>
      <c r="D889" s="15" t="str">
        <f>"女"</f>
        <v>女</v>
      </c>
      <c r="E889" s="16" t="s">
        <v>530</v>
      </c>
      <c r="F889" s="13"/>
    </row>
    <row r="890" spans="1:6" ht="34.5" customHeight="1">
      <c r="A890" s="13">
        <v>887</v>
      </c>
      <c r="B890" s="14" t="str">
        <f>"60252023122617202444272"</f>
        <v>60252023122617202444272</v>
      </c>
      <c r="C890" s="15" t="str">
        <f>"陈晖煜"</f>
        <v>陈晖煜</v>
      </c>
      <c r="D890" s="15" t="str">
        <f>"男"</f>
        <v>男</v>
      </c>
      <c r="E890" s="16" t="s">
        <v>348</v>
      </c>
      <c r="F890" s="13"/>
    </row>
    <row r="891" spans="1:6" ht="34.5" customHeight="1">
      <c r="A891" s="13">
        <v>888</v>
      </c>
      <c r="B891" s="14" t="str">
        <f>"60252023122604111343313"</f>
        <v>60252023122604111343313</v>
      </c>
      <c r="C891" s="15" t="str">
        <f>"邓伟群"</f>
        <v>邓伟群</v>
      </c>
      <c r="D891" s="15" t="str">
        <f>"男"</f>
        <v>男</v>
      </c>
      <c r="E891" s="16" t="s">
        <v>531</v>
      </c>
      <c r="F891" s="13"/>
    </row>
    <row r="892" spans="1:6" ht="34.5" customHeight="1">
      <c r="A892" s="13">
        <v>889</v>
      </c>
      <c r="B892" s="14" t="str">
        <f>"60252023122617380644288"</f>
        <v>60252023122617380644288</v>
      </c>
      <c r="C892" s="15" t="str">
        <f>"黄鸿飞"</f>
        <v>黄鸿飞</v>
      </c>
      <c r="D892" s="15" t="str">
        <f>"男"</f>
        <v>男</v>
      </c>
      <c r="E892" s="16" t="s">
        <v>193</v>
      </c>
      <c r="F892" s="13"/>
    </row>
    <row r="893" spans="1:6" ht="34.5" customHeight="1">
      <c r="A893" s="13">
        <v>890</v>
      </c>
      <c r="B893" s="14" t="str">
        <f>"60252023122614542944018"</f>
        <v>60252023122614542944018</v>
      </c>
      <c r="C893" s="15" t="str">
        <f>"薛漫飞"</f>
        <v>薛漫飞</v>
      </c>
      <c r="D893" s="15" t="str">
        <f>"女"</f>
        <v>女</v>
      </c>
      <c r="E893" s="16" t="s">
        <v>532</v>
      </c>
      <c r="F893" s="13"/>
    </row>
    <row r="894" spans="1:6" ht="34.5" customHeight="1">
      <c r="A894" s="13">
        <v>891</v>
      </c>
      <c r="B894" s="14" t="str">
        <f>"60252023122617462844298"</f>
        <v>60252023122617462844298</v>
      </c>
      <c r="C894" s="15" t="str">
        <f>"马旭"</f>
        <v>马旭</v>
      </c>
      <c r="D894" s="15" t="str">
        <f>"男"</f>
        <v>男</v>
      </c>
      <c r="E894" s="16" t="s">
        <v>533</v>
      </c>
      <c r="F894" s="13"/>
    </row>
    <row r="895" spans="1:6" ht="34.5" customHeight="1">
      <c r="A895" s="13">
        <v>892</v>
      </c>
      <c r="B895" s="14" t="str">
        <f>"60252023122617331144284"</f>
        <v>60252023122617331144284</v>
      </c>
      <c r="C895" s="15" t="str">
        <f>"陈泰宁"</f>
        <v>陈泰宁</v>
      </c>
      <c r="D895" s="15" t="str">
        <f>"男"</f>
        <v>男</v>
      </c>
      <c r="E895" s="16" t="s">
        <v>534</v>
      </c>
      <c r="F895" s="13"/>
    </row>
    <row r="896" spans="1:6" ht="34.5" customHeight="1">
      <c r="A896" s="13">
        <v>893</v>
      </c>
      <c r="B896" s="14" t="str">
        <f>"60252023122614052243927"</f>
        <v>60252023122614052243927</v>
      </c>
      <c r="C896" s="15" t="str">
        <f>"冯早"</f>
        <v>冯早</v>
      </c>
      <c r="D896" s="15" t="str">
        <f>"男"</f>
        <v>男</v>
      </c>
      <c r="E896" s="16" t="s">
        <v>535</v>
      </c>
      <c r="F896" s="13"/>
    </row>
    <row r="897" spans="1:6" ht="34.5" customHeight="1">
      <c r="A897" s="13">
        <v>894</v>
      </c>
      <c r="B897" s="14" t="str">
        <f>"60252023122617394344292"</f>
        <v>60252023122617394344292</v>
      </c>
      <c r="C897" s="15" t="str">
        <f>"魏燕青"</f>
        <v>魏燕青</v>
      </c>
      <c r="D897" s="15" t="str">
        <f>"男"</f>
        <v>男</v>
      </c>
      <c r="E897" s="16" t="s">
        <v>536</v>
      </c>
      <c r="F897" s="13"/>
    </row>
    <row r="898" spans="1:6" ht="34.5" customHeight="1">
      <c r="A898" s="13">
        <v>895</v>
      </c>
      <c r="B898" s="14" t="str">
        <f>"60252023122008490834342"</f>
        <v>60252023122008490834342</v>
      </c>
      <c r="C898" s="15" t="str">
        <f>"苏利威"</f>
        <v>苏利威</v>
      </c>
      <c r="D898" s="15" t="str">
        <f>"男"</f>
        <v>男</v>
      </c>
      <c r="E898" s="16" t="s">
        <v>537</v>
      </c>
      <c r="F898" s="13"/>
    </row>
    <row r="899" spans="1:6" ht="34.5" customHeight="1">
      <c r="A899" s="13">
        <v>896</v>
      </c>
      <c r="B899" s="14" t="str">
        <f>"60252023121923345033918"</f>
        <v>60252023121923345033918</v>
      </c>
      <c r="C899" s="15" t="str">
        <f>"杨紫悠"</f>
        <v>杨紫悠</v>
      </c>
      <c r="D899" s="15" t="str">
        <f>"女"</f>
        <v>女</v>
      </c>
      <c r="E899" s="16" t="s">
        <v>58</v>
      </c>
      <c r="F899" s="13"/>
    </row>
    <row r="900" spans="1:6" ht="34.5" customHeight="1">
      <c r="A900" s="13">
        <v>897</v>
      </c>
      <c r="B900" s="14" t="str">
        <f>"60252023122618454244353"</f>
        <v>60252023122618454244353</v>
      </c>
      <c r="C900" s="15" t="str">
        <f>"周朝宏"</f>
        <v>周朝宏</v>
      </c>
      <c r="D900" s="15" t="str">
        <f>"男"</f>
        <v>男</v>
      </c>
      <c r="E900" s="16" t="s">
        <v>364</v>
      </c>
      <c r="F900" s="13"/>
    </row>
    <row r="901" spans="1:6" ht="34.5" customHeight="1">
      <c r="A901" s="13">
        <v>898</v>
      </c>
      <c r="B901" s="14" t="str">
        <f>"60252023122619304844401"</f>
        <v>60252023122619304844401</v>
      </c>
      <c r="C901" s="15" t="str">
        <f>"王荣丽"</f>
        <v>王荣丽</v>
      </c>
      <c r="D901" s="15" t="str">
        <f aca="true" t="shared" si="25" ref="D901:D906">"女"</f>
        <v>女</v>
      </c>
      <c r="E901" s="16" t="s">
        <v>95</v>
      </c>
      <c r="F901" s="13"/>
    </row>
    <row r="902" spans="1:6" ht="34.5" customHeight="1">
      <c r="A902" s="13">
        <v>899</v>
      </c>
      <c r="B902" s="14" t="str">
        <f>"60252023122521502143147"</f>
        <v>60252023122521502143147</v>
      </c>
      <c r="C902" s="15" t="str">
        <f>"陈川虹"</f>
        <v>陈川虹</v>
      </c>
      <c r="D902" s="15" t="str">
        <f t="shared" si="25"/>
        <v>女</v>
      </c>
      <c r="E902" s="16" t="s">
        <v>35</v>
      </c>
      <c r="F902" s="13"/>
    </row>
    <row r="903" spans="1:6" ht="34.5" customHeight="1">
      <c r="A903" s="13">
        <v>900</v>
      </c>
      <c r="B903" s="14" t="str">
        <f>"60252023122619334344405"</f>
        <v>60252023122619334344405</v>
      </c>
      <c r="C903" s="15" t="str">
        <f>"吴珍"</f>
        <v>吴珍</v>
      </c>
      <c r="D903" s="15" t="str">
        <f t="shared" si="25"/>
        <v>女</v>
      </c>
      <c r="E903" s="16" t="s">
        <v>538</v>
      </c>
      <c r="F903" s="13"/>
    </row>
    <row r="904" spans="1:6" ht="34.5" customHeight="1">
      <c r="A904" s="13">
        <v>901</v>
      </c>
      <c r="B904" s="14" t="str">
        <f>"60252023122610102943499"</f>
        <v>60252023122610102943499</v>
      </c>
      <c r="C904" s="15" t="str">
        <f>"赵淑虹"</f>
        <v>赵淑虹</v>
      </c>
      <c r="D904" s="15" t="str">
        <f t="shared" si="25"/>
        <v>女</v>
      </c>
      <c r="E904" s="16" t="s">
        <v>539</v>
      </c>
      <c r="F904" s="13"/>
    </row>
    <row r="905" spans="1:6" ht="34.5" customHeight="1">
      <c r="A905" s="13">
        <v>902</v>
      </c>
      <c r="B905" s="14" t="str">
        <f>"60252023122620004144435"</f>
        <v>60252023122620004144435</v>
      </c>
      <c r="C905" s="15" t="str">
        <f>"陈日晶"</f>
        <v>陈日晶</v>
      </c>
      <c r="D905" s="15" t="str">
        <f t="shared" si="25"/>
        <v>女</v>
      </c>
      <c r="E905" s="16" t="s">
        <v>250</v>
      </c>
      <c r="F905" s="13"/>
    </row>
    <row r="906" spans="1:6" ht="34.5" customHeight="1">
      <c r="A906" s="13">
        <v>903</v>
      </c>
      <c r="B906" s="14" t="str">
        <f>"60252023122618302244340"</f>
        <v>60252023122618302244340</v>
      </c>
      <c r="C906" s="15" t="str">
        <f>"朱淑云"</f>
        <v>朱淑云</v>
      </c>
      <c r="D906" s="15" t="str">
        <f t="shared" si="25"/>
        <v>女</v>
      </c>
      <c r="E906" s="16" t="s">
        <v>540</v>
      </c>
      <c r="F906" s="13"/>
    </row>
    <row r="907" spans="1:6" ht="34.5" customHeight="1">
      <c r="A907" s="13">
        <v>904</v>
      </c>
      <c r="B907" s="14" t="str">
        <f>"60252023122617242744274"</f>
        <v>60252023122617242744274</v>
      </c>
      <c r="C907" s="15" t="str">
        <f>"全文杰"</f>
        <v>全文杰</v>
      </c>
      <c r="D907" s="15" t="str">
        <f>"男"</f>
        <v>男</v>
      </c>
      <c r="E907" s="16" t="s">
        <v>541</v>
      </c>
      <c r="F907" s="13"/>
    </row>
    <row r="908" spans="1:6" ht="34.5" customHeight="1">
      <c r="A908" s="13">
        <v>905</v>
      </c>
      <c r="B908" s="14" t="str">
        <f>"60252023122620041344438"</f>
        <v>60252023122620041344438</v>
      </c>
      <c r="C908" s="15" t="str">
        <f>"陈晓熙"</f>
        <v>陈晓熙</v>
      </c>
      <c r="D908" s="15" t="str">
        <f>"男"</f>
        <v>男</v>
      </c>
      <c r="E908" s="16" t="s">
        <v>542</v>
      </c>
      <c r="F908" s="13"/>
    </row>
    <row r="909" spans="1:6" ht="34.5" customHeight="1">
      <c r="A909" s="13">
        <v>906</v>
      </c>
      <c r="B909" s="14" t="str">
        <f>"60252023122410364140742"</f>
        <v>60252023122410364140742</v>
      </c>
      <c r="C909" s="15" t="str">
        <f>"全明森"</f>
        <v>全明森</v>
      </c>
      <c r="D909" s="15" t="str">
        <f>"男"</f>
        <v>男</v>
      </c>
      <c r="E909" s="16" t="s">
        <v>543</v>
      </c>
      <c r="F909" s="13"/>
    </row>
    <row r="910" spans="1:6" ht="34.5" customHeight="1">
      <c r="A910" s="13">
        <v>907</v>
      </c>
      <c r="B910" s="14" t="str">
        <f>"60252023122620272144466"</f>
        <v>60252023122620272144466</v>
      </c>
      <c r="C910" s="15" t="str">
        <f>"洪峰"</f>
        <v>洪峰</v>
      </c>
      <c r="D910" s="15" t="str">
        <f>"男"</f>
        <v>男</v>
      </c>
      <c r="E910" s="16" t="s">
        <v>380</v>
      </c>
      <c r="F910" s="13"/>
    </row>
    <row r="911" spans="1:6" ht="34.5" customHeight="1">
      <c r="A911" s="13">
        <v>908</v>
      </c>
      <c r="B911" s="14" t="str">
        <f>"60252023122619011444370"</f>
        <v>60252023122619011444370</v>
      </c>
      <c r="C911" s="15" t="str">
        <f>"黄雅群"</f>
        <v>黄雅群</v>
      </c>
      <c r="D911" s="15" t="str">
        <f>"女"</f>
        <v>女</v>
      </c>
      <c r="E911" s="16" t="s">
        <v>182</v>
      </c>
      <c r="F911" s="13"/>
    </row>
    <row r="912" spans="1:6" ht="34.5" customHeight="1">
      <c r="A912" s="13">
        <v>909</v>
      </c>
      <c r="B912" s="14" t="str">
        <f>"60252023122620595144505"</f>
        <v>60252023122620595144505</v>
      </c>
      <c r="C912" s="15" t="str">
        <f>"符婷"</f>
        <v>符婷</v>
      </c>
      <c r="D912" s="15" t="str">
        <f>"女"</f>
        <v>女</v>
      </c>
      <c r="E912" s="16" t="s">
        <v>77</v>
      </c>
      <c r="F912" s="13"/>
    </row>
    <row r="913" spans="1:6" ht="34.5" customHeight="1">
      <c r="A913" s="13">
        <v>910</v>
      </c>
      <c r="B913" s="14" t="str">
        <f>"60252023122621095244525"</f>
        <v>60252023122621095244525</v>
      </c>
      <c r="C913" s="15" t="str">
        <f>"陈宋强"</f>
        <v>陈宋强</v>
      </c>
      <c r="D913" s="15" t="str">
        <f>"男"</f>
        <v>男</v>
      </c>
      <c r="E913" s="16" t="s">
        <v>544</v>
      </c>
      <c r="F913" s="13"/>
    </row>
    <row r="914" spans="1:6" ht="34.5" customHeight="1">
      <c r="A914" s="13">
        <v>911</v>
      </c>
      <c r="B914" s="14" t="str">
        <f>"60252023122510422641907"</f>
        <v>60252023122510422641907</v>
      </c>
      <c r="C914" s="15" t="str">
        <f>"陈妍妍"</f>
        <v>陈妍妍</v>
      </c>
      <c r="D914" s="15" t="str">
        <f>"女"</f>
        <v>女</v>
      </c>
      <c r="E914" s="16" t="s">
        <v>470</v>
      </c>
      <c r="F914" s="13"/>
    </row>
    <row r="915" spans="1:6" ht="34.5" customHeight="1">
      <c r="A915" s="13">
        <v>912</v>
      </c>
      <c r="B915" s="14" t="str">
        <f>"60252023122621144844533"</f>
        <v>60252023122621144844533</v>
      </c>
      <c r="C915" s="15" t="str">
        <f>"许振焜"</f>
        <v>许振焜</v>
      </c>
      <c r="D915" s="15" t="str">
        <f>"男"</f>
        <v>男</v>
      </c>
      <c r="E915" s="16" t="s">
        <v>396</v>
      </c>
      <c r="F915" s="13"/>
    </row>
    <row r="916" spans="1:6" ht="34.5" customHeight="1">
      <c r="A916" s="13">
        <v>913</v>
      </c>
      <c r="B916" s="14" t="str">
        <f>"60252023122615183744067"</f>
        <v>60252023122615183744067</v>
      </c>
      <c r="C916" s="15" t="str">
        <f>"李博琳"</f>
        <v>李博琳</v>
      </c>
      <c r="D916" s="15" t="str">
        <f>"男"</f>
        <v>男</v>
      </c>
      <c r="E916" s="16" t="s">
        <v>193</v>
      </c>
      <c r="F916" s="13"/>
    </row>
    <row r="917" spans="1:6" ht="34.5" customHeight="1">
      <c r="A917" s="13">
        <v>914</v>
      </c>
      <c r="B917" s="14" t="str">
        <f>"60252023122619352644410"</f>
        <v>60252023122619352644410</v>
      </c>
      <c r="C917" s="15" t="str">
        <f>"陈贤玉"</f>
        <v>陈贤玉</v>
      </c>
      <c r="D917" s="15" t="str">
        <f>"女"</f>
        <v>女</v>
      </c>
      <c r="E917" s="16" t="s">
        <v>545</v>
      </c>
      <c r="F917" s="13"/>
    </row>
    <row r="918" spans="1:6" ht="34.5" customHeight="1">
      <c r="A918" s="13">
        <v>915</v>
      </c>
      <c r="B918" s="14" t="str">
        <f>"60252023122612140143748"</f>
        <v>60252023122612140143748</v>
      </c>
      <c r="C918" s="15" t="str">
        <f>"胡冰"</f>
        <v>胡冰</v>
      </c>
      <c r="D918" s="15" t="str">
        <f>"男"</f>
        <v>男</v>
      </c>
      <c r="E918" s="16" t="s">
        <v>546</v>
      </c>
      <c r="F918" s="13"/>
    </row>
    <row r="919" spans="1:6" ht="34.5" customHeight="1">
      <c r="A919" s="13">
        <v>916</v>
      </c>
      <c r="B919" s="14" t="str">
        <f>"60252023122522192043200"</f>
        <v>60252023122522192043200</v>
      </c>
      <c r="C919" s="15" t="str">
        <f>"黄钐"</f>
        <v>黄钐</v>
      </c>
      <c r="D919" s="15" t="str">
        <f>"女"</f>
        <v>女</v>
      </c>
      <c r="E919" s="16" t="s">
        <v>420</v>
      </c>
      <c r="F919" s="13"/>
    </row>
    <row r="920" spans="1:6" ht="34.5" customHeight="1">
      <c r="A920" s="13">
        <v>917</v>
      </c>
      <c r="B920" s="14" t="str">
        <f>"60252023122522032243171"</f>
        <v>60252023122522032243171</v>
      </c>
      <c r="C920" s="15" t="str">
        <f>"杨颜如"</f>
        <v>杨颜如</v>
      </c>
      <c r="D920" s="15" t="str">
        <f>"女"</f>
        <v>女</v>
      </c>
      <c r="E920" s="16" t="s">
        <v>547</v>
      </c>
      <c r="F920" s="13"/>
    </row>
    <row r="921" spans="1:6" ht="34.5" customHeight="1">
      <c r="A921" s="13">
        <v>918</v>
      </c>
      <c r="B921" s="14" t="str">
        <f>"60252023122622363644628"</f>
        <v>60252023122622363644628</v>
      </c>
      <c r="C921" s="15" t="str">
        <f>"吴奕莹"</f>
        <v>吴奕莹</v>
      </c>
      <c r="D921" s="15" t="str">
        <f>"女"</f>
        <v>女</v>
      </c>
      <c r="E921" s="16" t="s">
        <v>322</v>
      </c>
      <c r="F921" s="13"/>
    </row>
    <row r="922" spans="1:6" ht="34.5" customHeight="1">
      <c r="A922" s="13">
        <v>919</v>
      </c>
      <c r="B922" s="14" t="str">
        <f>"60252023122621451044566"</f>
        <v>60252023122621451044566</v>
      </c>
      <c r="C922" s="15" t="str">
        <f>"周始康"</f>
        <v>周始康</v>
      </c>
      <c r="D922" s="15" t="str">
        <f>"男"</f>
        <v>男</v>
      </c>
      <c r="E922" s="16" t="s">
        <v>430</v>
      </c>
      <c r="F922" s="13"/>
    </row>
    <row r="923" spans="1:6" ht="34.5" customHeight="1">
      <c r="A923" s="13">
        <v>920</v>
      </c>
      <c r="B923" s="14" t="str">
        <f>"60252023122519555142934"</f>
        <v>60252023122519555142934</v>
      </c>
      <c r="C923" s="15" t="str">
        <f>"陈艳虹"</f>
        <v>陈艳虹</v>
      </c>
      <c r="D923" s="15" t="str">
        <f>"女"</f>
        <v>女</v>
      </c>
      <c r="E923" s="16" t="s">
        <v>97</v>
      </c>
      <c r="F923" s="13"/>
    </row>
    <row r="924" spans="1:6" ht="34.5" customHeight="1">
      <c r="A924" s="13">
        <v>921</v>
      </c>
      <c r="B924" s="14" t="str">
        <f>"60252023121822313929235"</f>
        <v>60252023121822313929235</v>
      </c>
      <c r="C924" s="15" t="str">
        <f>"顾育宇"</f>
        <v>顾育宇</v>
      </c>
      <c r="D924" s="15" t="str">
        <f>"男"</f>
        <v>男</v>
      </c>
      <c r="E924" s="16" t="s">
        <v>504</v>
      </c>
      <c r="F924" s="13"/>
    </row>
    <row r="925" spans="1:6" ht="34.5" customHeight="1">
      <c r="A925" s="13">
        <v>922</v>
      </c>
      <c r="B925" s="14" t="str">
        <f>"60252023121919283332647"</f>
        <v>60252023121919283332647</v>
      </c>
      <c r="C925" s="15" t="str">
        <f>"黄升威"</f>
        <v>黄升威</v>
      </c>
      <c r="D925" s="15" t="str">
        <f>"男"</f>
        <v>男</v>
      </c>
      <c r="E925" s="16" t="s">
        <v>317</v>
      </c>
      <c r="F925" s="13"/>
    </row>
    <row r="926" spans="1:6" ht="34.5" customHeight="1">
      <c r="A926" s="13">
        <v>923</v>
      </c>
      <c r="B926" s="14" t="str">
        <f>"60252023122623365344671"</f>
        <v>60252023122623365344671</v>
      </c>
      <c r="C926" s="15" t="str">
        <f>"张渝"</f>
        <v>张渝</v>
      </c>
      <c r="D926" s="15" t="str">
        <f>"女"</f>
        <v>女</v>
      </c>
      <c r="E926" s="16" t="s">
        <v>182</v>
      </c>
      <c r="F926" s="13"/>
    </row>
    <row r="927" spans="1:6" ht="34.5" customHeight="1">
      <c r="A927" s="13">
        <v>924</v>
      </c>
      <c r="B927" s="14" t="str">
        <f>"60252023122701330244695"</f>
        <v>60252023122701330244695</v>
      </c>
      <c r="C927" s="15" t="str">
        <f>"陈焕辉"</f>
        <v>陈焕辉</v>
      </c>
      <c r="D927" s="15" t="str">
        <f>"男"</f>
        <v>男</v>
      </c>
      <c r="E927" s="16" t="s">
        <v>548</v>
      </c>
      <c r="F927" s="13"/>
    </row>
    <row r="928" spans="1:6" ht="34.5" customHeight="1">
      <c r="A928" s="13">
        <v>925</v>
      </c>
      <c r="B928" s="14" t="str">
        <f>"60252023122702501844703"</f>
        <v>60252023122702501844703</v>
      </c>
      <c r="C928" s="15" t="str">
        <f>"林斌"</f>
        <v>林斌</v>
      </c>
      <c r="D928" s="15" t="str">
        <f>"男"</f>
        <v>男</v>
      </c>
      <c r="E928" s="16" t="s">
        <v>23</v>
      </c>
      <c r="F928" s="13"/>
    </row>
    <row r="929" spans="1:6" ht="34.5" customHeight="1">
      <c r="A929" s="13">
        <v>926</v>
      </c>
      <c r="B929" s="14" t="str">
        <f>"60252023122707443744710"</f>
        <v>60252023122707443744710</v>
      </c>
      <c r="C929" s="15" t="str">
        <f>"刘耿瑞"</f>
        <v>刘耿瑞</v>
      </c>
      <c r="D929" s="15" t="str">
        <f>"男"</f>
        <v>男</v>
      </c>
      <c r="E929" s="16" t="s">
        <v>549</v>
      </c>
      <c r="F929" s="13"/>
    </row>
    <row r="930" spans="1:6" ht="34.5" customHeight="1">
      <c r="A930" s="13">
        <v>927</v>
      </c>
      <c r="B930" s="14" t="str">
        <f>"60252023122708382544741"</f>
        <v>60252023122708382544741</v>
      </c>
      <c r="C930" s="15" t="str">
        <f>"龙玉兰"</f>
        <v>龙玉兰</v>
      </c>
      <c r="D930" s="15" t="str">
        <f>"女"</f>
        <v>女</v>
      </c>
      <c r="E930" s="16" t="s">
        <v>550</v>
      </c>
      <c r="F930" s="13"/>
    </row>
    <row r="931" spans="1:6" ht="34.5" customHeight="1">
      <c r="A931" s="13">
        <v>928</v>
      </c>
      <c r="B931" s="14" t="str">
        <f>"60252023122708540944754"</f>
        <v>60252023122708540944754</v>
      </c>
      <c r="C931" s="15" t="str">
        <f>"林霞"</f>
        <v>林霞</v>
      </c>
      <c r="D931" s="15" t="str">
        <f>"女"</f>
        <v>女</v>
      </c>
      <c r="E931" s="16" t="s">
        <v>214</v>
      </c>
      <c r="F931" s="13"/>
    </row>
    <row r="932" spans="1:6" ht="34.5" customHeight="1">
      <c r="A932" s="13">
        <v>929</v>
      </c>
      <c r="B932" s="14" t="str">
        <f>"60252023122709085044771"</f>
        <v>60252023122709085044771</v>
      </c>
      <c r="C932" s="15" t="str">
        <f>"黄翠姬"</f>
        <v>黄翠姬</v>
      </c>
      <c r="D932" s="15" t="str">
        <f>"女"</f>
        <v>女</v>
      </c>
      <c r="E932" s="16" t="s">
        <v>551</v>
      </c>
      <c r="F932" s="13"/>
    </row>
    <row r="933" spans="1:6" ht="34.5" customHeight="1">
      <c r="A933" s="13">
        <v>930</v>
      </c>
      <c r="B933" s="14" t="str">
        <f>"60252023122709302144804"</f>
        <v>60252023122709302144804</v>
      </c>
      <c r="C933" s="15" t="str">
        <f>"郑临鹏"</f>
        <v>郑临鹏</v>
      </c>
      <c r="D933" s="15" t="str">
        <f>"男"</f>
        <v>男</v>
      </c>
      <c r="E933" s="16" t="s">
        <v>453</v>
      </c>
      <c r="F933" s="13"/>
    </row>
    <row r="934" spans="1:6" ht="34.5" customHeight="1">
      <c r="A934" s="13">
        <v>931</v>
      </c>
      <c r="B934" s="14" t="str">
        <f>"60252023122709314344807"</f>
        <v>60252023122709314344807</v>
      </c>
      <c r="C934" s="15" t="str">
        <f>"黄国轩"</f>
        <v>黄国轩</v>
      </c>
      <c r="D934" s="15" t="str">
        <f>"男"</f>
        <v>男</v>
      </c>
      <c r="E934" s="16" t="s">
        <v>369</v>
      </c>
      <c r="F934" s="13"/>
    </row>
    <row r="935" spans="1:6" ht="34.5" customHeight="1">
      <c r="A935" s="13">
        <v>932</v>
      </c>
      <c r="B935" s="14" t="str">
        <f>"60252023122708463244747"</f>
        <v>60252023122708463244747</v>
      </c>
      <c r="C935" s="15" t="str">
        <f>"王晶蕊"</f>
        <v>王晶蕊</v>
      </c>
      <c r="D935" s="15" t="str">
        <f>"女"</f>
        <v>女</v>
      </c>
      <c r="E935" s="16" t="s">
        <v>205</v>
      </c>
      <c r="F935" s="13"/>
    </row>
    <row r="936" spans="1:6" ht="34.5" customHeight="1">
      <c r="A936" s="13">
        <v>933</v>
      </c>
      <c r="B936" s="14" t="str">
        <f>"60252023122709553044837"</f>
        <v>60252023122709553044837</v>
      </c>
      <c r="C936" s="15" t="str">
        <f>"李金水"</f>
        <v>李金水</v>
      </c>
      <c r="D936" s="15" t="str">
        <f>"男"</f>
        <v>男</v>
      </c>
      <c r="E936" s="16" t="s">
        <v>444</v>
      </c>
      <c r="F936" s="13"/>
    </row>
    <row r="937" spans="1:6" ht="34.5" customHeight="1">
      <c r="A937" s="13">
        <v>934</v>
      </c>
      <c r="B937" s="14" t="str">
        <f>"60252023122709083244770"</f>
        <v>60252023122709083244770</v>
      </c>
      <c r="C937" s="15" t="str">
        <f>"张婷婷"</f>
        <v>张婷婷</v>
      </c>
      <c r="D937" s="15" t="str">
        <f>"女"</f>
        <v>女</v>
      </c>
      <c r="E937" s="16" t="s">
        <v>206</v>
      </c>
      <c r="F937" s="13"/>
    </row>
    <row r="938" spans="1:6" ht="34.5" customHeight="1">
      <c r="A938" s="13">
        <v>935</v>
      </c>
      <c r="B938" s="14" t="str">
        <f>"60252023122700304644688"</f>
        <v>60252023122700304644688</v>
      </c>
      <c r="C938" s="15" t="str">
        <f>"郭朝忠"</f>
        <v>郭朝忠</v>
      </c>
      <c r="D938" s="15" t="str">
        <f>"男"</f>
        <v>男</v>
      </c>
      <c r="E938" s="16" t="s">
        <v>552</v>
      </c>
      <c r="F938" s="13"/>
    </row>
    <row r="939" spans="1:6" ht="34.5" customHeight="1">
      <c r="A939" s="13">
        <v>936</v>
      </c>
      <c r="B939" s="14" t="str">
        <f>"60252023122709151044777"</f>
        <v>60252023122709151044777</v>
      </c>
      <c r="C939" s="15" t="str">
        <f>"陈家豪"</f>
        <v>陈家豪</v>
      </c>
      <c r="D939" s="15" t="str">
        <f>"男"</f>
        <v>男</v>
      </c>
      <c r="E939" s="16" t="s">
        <v>553</v>
      </c>
      <c r="F939" s="13"/>
    </row>
    <row r="940" spans="1:6" ht="34.5" customHeight="1">
      <c r="A940" s="13">
        <v>937</v>
      </c>
      <c r="B940" s="14" t="str">
        <f>"60252023122709504944828"</f>
        <v>60252023122709504944828</v>
      </c>
      <c r="C940" s="15" t="str">
        <f>"郑炜"</f>
        <v>郑炜</v>
      </c>
      <c r="D940" s="15" t="str">
        <f>"男"</f>
        <v>男</v>
      </c>
      <c r="E940" s="16" t="s">
        <v>554</v>
      </c>
      <c r="F940" s="13"/>
    </row>
    <row r="941" spans="1:6" ht="34.5" customHeight="1">
      <c r="A941" s="13">
        <v>938</v>
      </c>
      <c r="B941" s="14" t="str">
        <f>"60252023122311310539407"</f>
        <v>60252023122311310539407</v>
      </c>
      <c r="C941" s="15" t="str">
        <f>"苏杨慧"</f>
        <v>苏杨慧</v>
      </c>
      <c r="D941" s="15" t="str">
        <f>"女"</f>
        <v>女</v>
      </c>
      <c r="E941" s="16" t="s">
        <v>555</v>
      </c>
      <c r="F941" s="13"/>
    </row>
    <row r="942" spans="1:6" ht="34.5" customHeight="1">
      <c r="A942" s="13">
        <v>939</v>
      </c>
      <c r="B942" s="14" t="str">
        <f>"60252023122622291544618"</f>
        <v>60252023122622291544618</v>
      </c>
      <c r="C942" s="15" t="str">
        <f>"曾小丽"</f>
        <v>曾小丽</v>
      </c>
      <c r="D942" s="15" t="str">
        <f>"女"</f>
        <v>女</v>
      </c>
      <c r="E942" s="16" t="s">
        <v>556</v>
      </c>
      <c r="F942" s="13"/>
    </row>
    <row r="943" spans="1:6" ht="34.5" customHeight="1">
      <c r="A943" s="13">
        <v>940</v>
      </c>
      <c r="B943" s="14" t="str">
        <f>"60252023122709324844808"</f>
        <v>60252023122709324844808</v>
      </c>
      <c r="C943" s="15" t="str">
        <f>"吴璐瑶"</f>
        <v>吴璐瑶</v>
      </c>
      <c r="D943" s="15" t="str">
        <f>"女"</f>
        <v>女</v>
      </c>
      <c r="E943" s="16" t="s">
        <v>86</v>
      </c>
      <c r="F943" s="13"/>
    </row>
    <row r="944" spans="1:6" ht="34.5" customHeight="1">
      <c r="A944" s="13">
        <v>941</v>
      </c>
      <c r="B944" s="14" t="str">
        <f>"60252023122710312544885"</f>
        <v>60252023122710312544885</v>
      </c>
      <c r="C944" s="15" t="str">
        <f>"林梦茹"</f>
        <v>林梦茹</v>
      </c>
      <c r="D944" s="15" t="str">
        <f>"女"</f>
        <v>女</v>
      </c>
      <c r="E944" s="16" t="s">
        <v>96</v>
      </c>
      <c r="F944" s="13"/>
    </row>
    <row r="945" spans="1:6" ht="34.5" customHeight="1">
      <c r="A945" s="13">
        <v>942</v>
      </c>
      <c r="B945" s="14" t="str">
        <f>"60252023122710495844906"</f>
        <v>60252023122710495844906</v>
      </c>
      <c r="C945" s="15" t="str">
        <f>"李小红"</f>
        <v>李小红</v>
      </c>
      <c r="D945" s="15" t="str">
        <f>"女"</f>
        <v>女</v>
      </c>
      <c r="E945" s="16" t="s">
        <v>159</v>
      </c>
      <c r="F945" s="13"/>
    </row>
    <row r="946" spans="1:6" ht="34.5" customHeight="1">
      <c r="A946" s="13">
        <v>943</v>
      </c>
      <c r="B946" s="14" t="str">
        <f>"60252023122710530444910"</f>
        <v>60252023122710530444910</v>
      </c>
      <c r="C946" s="15" t="str">
        <f>"黎道远"</f>
        <v>黎道远</v>
      </c>
      <c r="D946" s="15" t="str">
        <f>"男"</f>
        <v>男</v>
      </c>
      <c r="E946" s="16" t="s">
        <v>66</v>
      </c>
      <c r="F946" s="13"/>
    </row>
    <row r="947" spans="1:6" ht="34.5" customHeight="1">
      <c r="A947" s="13">
        <v>944</v>
      </c>
      <c r="B947" s="14" t="str">
        <f>"60252023122515520942564"</f>
        <v>60252023122515520942564</v>
      </c>
      <c r="C947" s="15" t="str">
        <f>"莫全富"</f>
        <v>莫全富</v>
      </c>
      <c r="D947" s="15" t="str">
        <f>"男"</f>
        <v>男</v>
      </c>
      <c r="E947" s="16" t="s">
        <v>557</v>
      </c>
      <c r="F947" s="13"/>
    </row>
    <row r="948" spans="1:6" ht="34.5" customHeight="1">
      <c r="A948" s="13">
        <v>945</v>
      </c>
      <c r="B948" s="14" t="str">
        <f>"60252023122710472744903"</f>
        <v>60252023122710472744903</v>
      </c>
      <c r="C948" s="15" t="str">
        <f>"曾庆华"</f>
        <v>曾庆华</v>
      </c>
      <c r="D948" s="15" t="str">
        <f>"男"</f>
        <v>男</v>
      </c>
      <c r="E948" s="16" t="s">
        <v>558</v>
      </c>
      <c r="F948" s="13"/>
    </row>
    <row r="949" spans="1:6" ht="34.5" customHeight="1">
      <c r="A949" s="13">
        <v>946</v>
      </c>
      <c r="B949" s="14" t="str">
        <f>"60252023122710262344877"</f>
        <v>60252023122710262344877</v>
      </c>
      <c r="C949" s="15" t="str">
        <f>"卓绚"</f>
        <v>卓绚</v>
      </c>
      <c r="D949" s="15" t="str">
        <f>"女"</f>
        <v>女</v>
      </c>
      <c r="E949" s="16" t="s">
        <v>63</v>
      </c>
      <c r="F949" s="13"/>
    </row>
    <row r="950" spans="1:6" ht="34.5" customHeight="1">
      <c r="A950" s="13">
        <v>947</v>
      </c>
      <c r="B950" s="14" t="str">
        <f>"60252023122710582644920"</f>
        <v>60252023122710582644920</v>
      </c>
      <c r="C950" s="15" t="str">
        <f>"吉美玲"</f>
        <v>吉美玲</v>
      </c>
      <c r="D950" s="15" t="str">
        <f>"女"</f>
        <v>女</v>
      </c>
      <c r="E950" s="16" t="s">
        <v>559</v>
      </c>
      <c r="F950" s="13"/>
    </row>
    <row r="951" spans="1:6" ht="34.5" customHeight="1">
      <c r="A951" s="13">
        <v>948</v>
      </c>
      <c r="B951" s="14" t="str">
        <f>"60252023122711170544948"</f>
        <v>60252023122711170544948</v>
      </c>
      <c r="C951" s="15" t="str">
        <f>"杨达永"</f>
        <v>杨达永</v>
      </c>
      <c r="D951" s="15" t="str">
        <f>"男"</f>
        <v>男</v>
      </c>
      <c r="E951" s="16" t="s">
        <v>560</v>
      </c>
      <c r="F951" s="13"/>
    </row>
    <row r="952" spans="1:6" ht="34.5" customHeight="1">
      <c r="A952" s="13">
        <v>949</v>
      </c>
      <c r="B952" s="14" t="str">
        <f>"60252023122711260944963"</f>
        <v>60252023122711260944963</v>
      </c>
      <c r="C952" s="15" t="str">
        <f>"陈炜炜"</f>
        <v>陈炜炜</v>
      </c>
      <c r="D952" s="15" t="str">
        <f>"男"</f>
        <v>男</v>
      </c>
      <c r="E952" s="16" t="s">
        <v>534</v>
      </c>
      <c r="F952" s="13"/>
    </row>
    <row r="953" spans="1:6" ht="34.5" customHeight="1">
      <c r="A953" s="13">
        <v>950</v>
      </c>
      <c r="B953" s="14" t="str">
        <f>"60252023122711162444946"</f>
        <v>60252023122711162444946</v>
      </c>
      <c r="C953" s="15" t="str">
        <f>"吴钟栋"</f>
        <v>吴钟栋</v>
      </c>
      <c r="D953" s="15" t="str">
        <f>"男"</f>
        <v>男</v>
      </c>
      <c r="E953" s="16" t="s">
        <v>561</v>
      </c>
      <c r="F953" s="13"/>
    </row>
    <row r="954" spans="1:6" ht="34.5" customHeight="1">
      <c r="A954" s="13">
        <v>951</v>
      </c>
      <c r="B954" s="14" t="str">
        <f>"60252023122711154244945"</f>
        <v>60252023122711154244945</v>
      </c>
      <c r="C954" s="15" t="str">
        <f>"李耀琼"</f>
        <v>李耀琼</v>
      </c>
      <c r="D954" s="15" t="str">
        <f>"男"</f>
        <v>男</v>
      </c>
      <c r="E954" s="16" t="s">
        <v>83</v>
      </c>
      <c r="F954" s="13"/>
    </row>
    <row r="955" spans="1:6" ht="34.5" customHeight="1">
      <c r="A955" s="13">
        <v>952</v>
      </c>
      <c r="B955" s="14" t="str">
        <f>"60252023122711382144980"</f>
        <v>60252023122711382144980</v>
      </c>
      <c r="C955" s="15" t="str">
        <f>"洪有旺"</f>
        <v>洪有旺</v>
      </c>
      <c r="D955" s="15" t="str">
        <f>"男"</f>
        <v>男</v>
      </c>
      <c r="E955" s="16" t="s">
        <v>562</v>
      </c>
      <c r="F955" s="13"/>
    </row>
    <row r="956" spans="1:6" ht="34.5" customHeight="1">
      <c r="A956" s="13">
        <v>953</v>
      </c>
      <c r="B956" s="14" t="str">
        <f>"60252023121817070327918"</f>
        <v>60252023121817070327918</v>
      </c>
      <c r="C956" s="15" t="str">
        <f>"符佩佩"</f>
        <v>符佩佩</v>
      </c>
      <c r="D956" s="15" t="str">
        <f aca="true" t="shared" si="26" ref="D956:D964">"女"</f>
        <v>女</v>
      </c>
      <c r="E956" s="16" t="s">
        <v>551</v>
      </c>
      <c r="F956" s="13"/>
    </row>
    <row r="957" spans="1:6" ht="34.5" customHeight="1">
      <c r="A957" s="13">
        <v>954</v>
      </c>
      <c r="B957" s="14" t="str">
        <f>"60252023121809103424273"</f>
        <v>60252023121809103424273</v>
      </c>
      <c r="C957" s="15" t="str">
        <f>"王婷婷"</f>
        <v>王婷婷</v>
      </c>
      <c r="D957" s="15" t="str">
        <f t="shared" si="26"/>
        <v>女</v>
      </c>
      <c r="E957" s="16" t="s">
        <v>563</v>
      </c>
      <c r="F957" s="13"/>
    </row>
    <row r="958" spans="1:6" ht="34.5" customHeight="1">
      <c r="A958" s="13">
        <v>955</v>
      </c>
      <c r="B958" s="14" t="str">
        <f>"60252023121816075127543"</f>
        <v>60252023121816075127543</v>
      </c>
      <c r="C958" s="15" t="str">
        <f>"周冬梅"</f>
        <v>周冬梅</v>
      </c>
      <c r="D958" s="15" t="str">
        <f t="shared" si="26"/>
        <v>女</v>
      </c>
      <c r="E958" s="16" t="s">
        <v>71</v>
      </c>
      <c r="F958" s="13"/>
    </row>
    <row r="959" spans="1:6" ht="34.5" customHeight="1">
      <c r="A959" s="13">
        <v>956</v>
      </c>
      <c r="B959" s="14" t="str">
        <f>"60252023121911054830514"</f>
        <v>60252023121911054830514</v>
      </c>
      <c r="C959" s="15" t="str">
        <f>"王春霞"</f>
        <v>王春霞</v>
      </c>
      <c r="D959" s="15" t="str">
        <f t="shared" si="26"/>
        <v>女</v>
      </c>
      <c r="E959" s="16" t="s">
        <v>564</v>
      </c>
      <c r="F959" s="13"/>
    </row>
    <row r="960" spans="1:6" ht="34.5" customHeight="1">
      <c r="A960" s="13">
        <v>957</v>
      </c>
      <c r="B960" s="14" t="str">
        <f>"60252023121811035325587"</f>
        <v>60252023121811035325587</v>
      </c>
      <c r="C960" s="15" t="str">
        <f>"李桥茜"</f>
        <v>李桥茜</v>
      </c>
      <c r="D960" s="15" t="str">
        <f t="shared" si="26"/>
        <v>女</v>
      </c>
      <c r="E960" s="16" t="s">
        <v>273</v>
      </c>
      <c r="F960" s="13"/>
    </row>
    <row r="961" spans="1:6" ht="34.5" customHeight="1">
      <c r="A961" s="13">
        <v>958</v>
      </c>
      <c r="B961" s="14" t="str">
        <f>"60252023122611174843675"</f>
        <v>60252023122611174843675</v>
      </c>
      <c r="C961" s="15" t="str">
        <f>"许丽曼"</f>
        <v>许丽曼</v>
      </c>
      <c r="D961" s="15" t="str">
        <f t="shared" si="26"/>
        <v>女</v>
      </c>
      <c r="E961" s="16" t="s">
        <v>63</v>
      </c>
      <c r="F961" s="13"/>
    </row>
    <row r="962" spans="1:6" ht="34.5" customHeight="1">
      <c r="A962" s="13">
        <v>959</v>
      </c>
      <c r="B962" s="14" t="str">
        <f>"60252023121811175225739"</f>
        <v>60252023121811175225739</v>
      </c>
      <c r="C962" s="15" t="str">
        <f>"李学兰"</f>
        <v>李学兰</v>
      </c>
      <c r="D962" s="15" t="str">
        <f t="shared" si="26"/>
        <v>女</v>
      </c>
      <c r="E962" s="16" t="s">
        <v>565</v>
      </c>
      <c r="F962" s="13"/>
    </row>
    <row r="963" spans="1:6" ht="34.5" customHeight="1">
      <c r="A963" s="13">
        <v>960</v>
      </c>
      <c r="B963" s="14" t="str">
        <f>"60252023121815273927246"</f>
        <v>60252023121815273927246</v>
      </c>
      <c r="C963" s="15" t="str">
        <f>"蔡蕊"</f>
        <v>蔡蕊</v>
      </c>
      <c r="D963" s="15" t="str">
        <f t="shared" si="26"/>
        <v>女</v>
      </c>
      <c r="E963" s="16" t="s">
        <v>321</v>
      </c>
      <c r="F963" s="13"/>
    </row>
    <row r="964" spans="1:6" ht="34.5" customHeight="1">
      <c r="A964" s="13">
        <v>961</v>
      </c>
      <c r="B964" s="14" t="str">
        <f>"60252023121816233327650"</f>
        <v>60252023121816233327650</v>
      </c>
      <c r="C964" s="15" t="str">
        <f>"吴海桂"</f>
        <v>吴海桂</v>
      </c>
      <c r="D964" s="15" t="str">
        <f t="shared" si="26"/>
        <v>女</v>
      </c>
      <c r="E964" s="16" t="s">
        <v>389</v>
      </c>
      <c r="F964" s="13"/>
    </row>
    <row r="965" spans="1:6" ht="34.5" customHeight="1">
      <c r="A965" s="13">
        <v>962</v>
      </c>
      <c r="B965" s="14" t="str">
        <f>"60252023121816230027644"</f>
        <v>60252023121816230027644</v>
      </c>
      <c r="C965" s="15" t="str">
        <f>"吴清仪"</f>
        <v>吴清仪</v>
      </c>
      <c r="D965" s="15" t="str">
        <f>"男"</f>
        <v>男</v>
      </c>
      <c r="E965" s="16" t="s">
        <v>317</v>
      </c>
      <c r="F965" s="13"/>
    </row>
    <row r="966" spans="1:6" ht="34.5" customHeight="1">
      <c r="A966" s="13">
        <v>963</v>
      </c>
      <c r="B966" s="14" t="str">
        <f>"60252023121820221628688"</f>
        <v>60252023121820221628688</v>
      </c>
      <c r="C966" s="15" t="str">
        <f>"张滢丹"</f>
        <v>张滢丹</v>
      </c>
      <c r="D966" s="15" t="str">
        <f>"女"</f>
        <v>女</v>
      </c>
      <c r="E966" s="16" t="s">
        <v>86</v>
      </c>
      <c r="F966" s="13"/>
    </row>
    <row r="967" spans="1:6" ht="34.5" customHeight="1">
      <c r="A967" s="13">
        <v>964</v>
      </c>
      <c r="B967" s="14" t="str">
        <f>"60252023121821334929013"</f>
        <v>60252023121821334929013</v>
      </c>
      <c r="C967" s="15" t="str">
        <f>"盛皓然"</f>
        <v>盛皓然</v>
      </c>
      <c r="D967" s="15" t="str">
        <f>"男"</f>
        <v>男</v>
      </c>
      <c r="E967" s="16" t="s">
        <v>566</v>
      </c>
      <c r="F967" s="13"/>
    </row>
    <row r="968" spans="1:6" ht="34.5" customHeight="1">
      <c r="A968" s="13">
        <v>965</v>
      </c>
      <c r="B968" s="14" t="str">
        <f>"60252023121909122929826"</f>
        <v>60252023121909122929826</v>
      </c>
      <c r="C968" s="15" t="str">
        <f>"吴东杏"</f>
        <v>吴东杏</v>
      </c>
      <c r="D968" s="15" t="str">
        <f>"女"</f>
        <v>女</v>
      </c>
      <c r="E968" s="16" t="s">
        <v>129</v>
      </c>
      <c r="F968" s="13"/>
    </row>
    <row r="969" spans="1:6" ht="34.5" customHeight="1">
      <c r="A969" s="13">
        <v>966</v>
      </c>
      <c r="B969" s="14" t="str">
        <f>"60252023121909222729897"</f>
        <v>60252023121909222729897</v>
      </c>
      <c r="C969" s="15" t="str">
        <f>"陈美乾"</f>
        <v>陈美乾</v>
      </c>
      <c r="D969" s="15" t="str">
        <f>"女"</f>
        <v>女</v>
      </c>
      <c r="E969" s="16" t="s">
        <v>150</v>
      </c>
      <c r="F969" s="13"/>
    </row>
    <row r="970" spans="1:6" ht="34.5" customHeight="1">
      <c r="A970" s="13">
        <v>967</v>
      </c>
      <c r="B970" s="14" t="str">
        <f>"60252023121909380229997"</f>
        <v>60252023121909380229997</v>
      </c>
      <c r="C970" s="15" t="str">
        <f>"吴丽"</f>
        <v>吴丽</v>
      </c>
      <c r="D970" s="15" t="str">
        <f>"女"</f>
        <v>女</v>
      </c>
      <c r="E970" s="16" t="s">
        <v>69</v>
      </c>
      <c r="F970" s="13"/>
    </row>
    <row r="971" spans="1:6" ht="34.5" customHeight="1">
      <c r="A971" s="13">
        <v>968</v>
      </c>
      <c r="B971" s="14" t="str">
        <f>"60252023121915163131473"</f>
        <v>60252023121915163131473</v>
      </c>
      <c r="C971" s="15" t="str">
        <f>"温镇宇"</f>
        <v>温镇宇</v>
      </c>
      <c r="D971" s="15" t="str">
        <f>"男"</f>
        <v>男</v>
      </c>
      <c r="E971" s="16" t="s">
        <v>394</v>
      </c>
      <c r="F971" s="13"/>
    </row>
    <row r="972" spans="1:6" ht="34.5" customHeight="1">
      <c r="A972" s="13">
        <v>969</v>
      </c>
      <c r="B972" s="14" t="str">
        <f>"60252023121918382632453"</f>
        <v>60252023121918382632453</v>
      </c>
      <c r="C972" s="15" t="str">
        <f>"黄昌岷"</f>
        <v>黄昌岷</v>
      </c>
      <c r="D972" s="15" t="str">
        <f>"男"</f>
        <v>男</v>
      </c>
      <c r="E972" s="16" t="s">
        <v>47</v>
      </c>
      <c r="F972" s="13"/>
    </row>
    <row r="973" spans="1:6" ht="34.5" customHeight="1">
      <c r="A973" s="13">
        <v>970</v>
      </c>
      <c r="B973" s="14" t="str">
        <f>"60252023122008411834297"</f>
        <v>60252023122008411834297</v>
      </c>
      <c r="C973" s="15" t="str">
        <f>"王家庚"</f>
        <v>王家庚</v>
      </c>
      <c r="D973" s="15" t="str">
        <f>"男"</f>
        <v>男</v>
      </c>
      <c r="E973" s="16" t="s">
        <v>301</v>
      </c>
      <c r="F973" s="13"/>
    </row>
    <row r="974" spans="1:6" ht="34.5" customHeight="1">
      <c r="A974" s="13">
        <v>971</v>
      </c>
      <c r="B974" s="14" t="str">
        <f>"60252023122009352734616"</f>
        <v>60252023122009352734616</v>
      </c>
      <c r="C974" s="15" t="str">
        <f>"杨小雪"</f>
        <v>杨小雪</v>
      </c>
      <c r="D974" s="15" t="str">
        <f>"女"</f>
        <v>女</v>
      </c>
      <c r="E974" s="16" t="s">
        <v>457</v>
      </c>
      <c r="F974" s="13"/>
    </row>
    <row r="975" spans="1:6" ht="34.5" customHeight="1">
      <c r="A975" s="13">
        <v>972</v>
      </c>
      <c r="B975" s="14" t="str">
        <f>"60252023121922421433720"</f>
        <v>60252023121922421433720</v>
      </c>
      <c r="C975" s="15" t="str">
        <f>"余金艳"</f>
        <v>余金艳</v>
      </c>
      <c r="D975" s="15" t="str">
        <f>"女"</f>
        <v>女</v>
      </c>
      <c r="E975" s="16" t="s">
        <v>567</v>
      </c>
      <c r="F975" s="13"/>
    </row>
    <row r="976" spans="1:6" ht="34.5" customHeight="1">
      <c r="A976" s="13">
        <v>973</v>
      </c>
      <c r="B976" s="14" t="str">
        <f>"60252023122015430637082"</f>
        <v>60252023122015430637082</v>
      </c>
      <c r="C976" s="15" t="str">
        <f>"徐木交"</f>
        <v>徐木交</v>
      </c>
      <c r="D976" s="15" t="str">
        <f>"女"</f>
        <v>女</v>
      </c>
      <c r="E976" s="16" t="s">
        <v>129</v>
      </c>
      <c r="F976" s="13"/>
    </row>
    <row r="977" spans="1:6" ht="34.5" customHeight="1">
      <c r="A977" s="13">
        <v>974</v>
      </c>
      <c r="B977" s="14" t="str">
        <f>"60252023121811203225760"</f>
        <v>60252023121811203225760</v>
      </c>
      <c r="C977" s="15" t="str">
        <f>"陈晓琳"</f>
        <v>陈晓琳</v>
      </c>
      <c r="D977" s="15" t="str">
        <f>"女"</f>
        <v>女</v>
      </c>
      <c r="E977" s="16" t="s">
        <v>424</v>
      </c>
      <c r="F977" s="13"/>
    </row>
    <row r="978" spans="1:6" ht="34.5" customHeight="1">
      <c r="A978" s="13">
        <v>975</v>
      </c>
      <c r="B978" s="14" t="str">
        <f>"60252023122021374937403"</f>
        <v>60252023122021374937403</v>
      </c>
      <c r="C978" s="15" t="str">
        <f>"郭义勇"</f>
        <v>郭义勇</v>
      </c>
      <c r="D978" s="15" t="str">
        <f>"男"</f>
        <v>男</v>
      </c>
      <c r="E978" s="16" t="s">
        <v>297</v>
      </c>
      <c r="F978" s="13"/>
    </row>
    <row r="979" spans="1:6" ht="34.5" customHeight="1">
      <c r="A979" s="13">
        <v>976</v>
      </c>
      <c r="B979" s="14" t="str">
        <f>"60252023122022334837422"</f>
        <v>60252023122022334837422</v>
      </c>
      <c r="C979" s="15" t="str">
        <f>"吴燕阳"</f>
        <v>吴燕阳</v>
      </c>
      <c r="D979" s="15" t="str">
        <f aca="true" t="shared" si="27" ref="D979:D990">"女"</f>
        <v>女</v>
      </c>
      <c r="E979" s="16" t="s">
        <v>568</v>
      </c>
      <c r="F979" s="13"/>
    </row>
    <row r="980" spans="1:6" ht="34.5" customHeight="1">
      <c r="A980" s="13">
        <v>977</v>
      </c>
      <c r="B980" s="14" t="str">
        <f>"60252023122115022637748"</f>
        <v>60252023122115022637748</v>
      </c>
      <c r="C980" s="15" t="str">
        <f>"冉娟"</f>
        <v>冉娟</v>
      </c>
      <c r="D980" s="15" t="str">
        <f t="shared" si="27"/>
        <v>女</v>
      </c>
      <c r="E980" s="16" t="s">
        <v>569</v>
      </c>
      <c r="F980" s="13"/>
    </row>
    <row r="981" spans="1:6" ht="34.5" customHeight="1">
      <c r="A981" s="13">
        <v>978</v>
      </c>
      <c r="B981" s="14" t="str">
        <f>"60252023122123031437986"</f>
        <v>60252023122123031437986</v>
      </c>
      <c r="C981" s="15" t="str">
        <f>"洪敏"</f>
        <v>洪敏</v>
      </c>
      <c r="D981" s="15" t="str">
        <f t="shared" si="27"/>
        <v>女</v>
      </c>
      <c r="E981" s="16" t="s">
        <v>36</v>
      </c>
      <c r="F981" s="13"/>
    </row>
    <row r="982" spans="1:6" ht="34.5" customHeight="1">
      <c r="A982" s="13">
        <v>979</v>
      </c>
      <c r="B982" s="14" t="str">
        <f>"60252023121912424230867"</f>
        <v>60252023121912424230867</v>
      </c>
      <c r="C982" s="15" t="str">
        <f>"王仪曼"</f>
        <v>王仪曼</v>
      </c>
      <c r="D982" s="15" t="str">
        <f t="shared" si="27"/>
        <v>女</v>
      </c>
      <c r="E982" s="16" t="s">
        <v>95</v>
      </c>
      <c r="F982" s="13"/>
    </row>
    <row r="983" spans="1:6" ht="34.5" customHeight="1">
      <c r="A983" s="13">
        <v>980</v>
      </c>
      <c r="B983" s="14" t="str">
        <f>"60252023122011033335184"</f>
        <v>60252023122011033335184</v>
      </c>
      <c r="C983" s="15" t="str">
        <f>"唐秋莲"</f>
        <v>唐秋莲</v>
      </c>
      <c r="D983" s="15" t="str">
        <f t="shared" si="27"/>
        <v>女</v>
      </c>
      <c r="E983" s="16" t="s">
        <v>96</v>
      </c>
      <c r="F983" s="13"/>
    </row>
    <row r="984" spans="1:6" ht="34.5" customHeight="1">
      <c r="A984" s="13">
        <v>981</v>
      </c>
      <c r="B984" s="14" t="str">
        <f>"60252023122317385540111"</f>
        <v>60252023122317385540111</v>
      </c>
      <c r="C984" s="15" t="str">
        <f>"王佳曼"</f>
        <v>王佳曼</v>
      </c>
      <c r="D984" s="15" t="str">
        <f t="shared" si="27"/>
        <v>女</v>
      </c>
      <c r="E984" s="16" t="s">
        <v>199</v>
      </c>
      <c r="F984" s="13"/>
    </row>
    <row r="985" spans="1:6" ht="34.5" customHeight="1">
      <c r="A985" s="13">
        <v>982</v>
      </c>
      <c r="B985" s="14" t="str">
        <f>"60252023122507413341420"</f>
        <v>60252023122507413341420</v>
      </c>
      <c r="C985" s="15" t="str">
        <f>"叶召琴"</f>
        <v>叶召琴</v>
      </c>
      <c r="D985" s="15" t="str">
        <f t="shared" si="27"/>
        <v>女</v>
      </c>
      <c r="E985" s="16" t="s">
        <v>570</v>
      </c>
      <c r="F985" s="13"/>
    </row>
    <row r="986" spans="1:6" ht="34.5" customHeight="1">
      <c r="A986" s="13">
        <v>983</v>
      </c>
      <c r="B986" s="14" t="str">
        <f>"60252023122321183040446"</f>
        <v>60252023122321183040446</v>
      </c>
      <c r="C986" s="15" t="str">
        <f>"张丽媚"</f>
        <v>张丽媚</v>
      </c>
      <c r="D986" s="15" t="str">
        <f t="shared" si="27"/>
        <v>女</v>
      </c>
      <c r="E986" s="16" t="s">
        <v>571</v>
      </c>
      <c r="F986" s="13"/>
    </row>
    <row r="987" spans="1:6" ht="34.5" customHeight="1">
      <c r="A987" s="13">
        <v>984</v>
      </c>
      <c r="B987" s="14" t="str">
        <f>"60252023122610545443618"</f>
        <v>60252023122610545443618</v>
      </c>
      <c r="C987" s="15" t="str">
        <f>"邱万丽"</f>
        <v>邱万丽</v>
      </c>
      <c r="D987" s="15" t="str">
        <f t="shared" si="27"/>
        <v>女</v>
      </c>
      <c r="E987" s="16" t="s">
        <v>250</v>
      </c>
      <c r="F987" s="13"/>
    </row>
    <row r="988" spans="1:6" ht="34.5" customHeight="1">
      <c r="A988" s="13">
        <v>985</v>
      </c>
      <c r="B988" s="14" t="str">
        <f>"60252023122613513443910"</f>
        <v>60252023122613513443910</v>
      </c>
      <c r="C988" s="15" t="str">
        <f>"王小妹"</f>
        <v>王小妹</v>
      </c>
      <c r="D988" s="15" t="str">
        <f t="shared" si="27"/>
        <v>女</v>
      </c>
      <c r="E988" s="16" t="s">
        <v>572</v>
      </c>
      <c r="F988" s="13"/>
    </row>
    <row r="989" spans="1:6" ht="34.5" customHeight="1">
      <c r="A989" s="13">
        <v>986</v>
      </c>
      <c r="B989" s="14" t="str">
        <f>"60252023122711233144958"</f>
        <v>60252023122711233144958</v>
      </c>
      <c r="C989" s="15" t="str">
        <f>"翁梅娜"</f>
        <v>翁梅娜</v>
      </c>
      <c r="D989" s="15" t="str">
        <f t="shared" si="27"/>
        <v>女</v>
      </c>
      <c r="E989" s="16" t="s">
        <v>115</v>
      </c>
      <c r="F989" s="13"/>
    </row>
    <row r="990" spans="1:6" ht="34.5" customHeight="1">
      <c r="A990" s="13">
        <v>987</v>
      </c>
      <c r="B990" s="14" t="str">
        <f>"60252023121809201224388"</f>
        <v>60252023121809201224388</v>
      </c>
      <c r="C990" s="15" t="str">
        <f>"符珊珊"</f>
        <v>符珊珊</v>
      </c>
      <c r="D990" s="15" t="str">
        <f t="shared" si="27"/>
        <v>女</v>
      </c>
      <c r="E990" s="16" t="s">
        <v>230</v>
      </c>
      <c r="F990" s="13"/>
    </row>
    <row r="991" spans="1:6" ht="34.5" customHeight="1">
      <c r="A991" s="13">
        <v>988</v>
      </c>
      <c r="B991" s="14" t="str">
        <f>"60252023121809204924393"</f>
        <v>60252023121809204924393</v>
      </c>
      <c r="C991" s="15" t="str">
        <f>"王海力"</f>
        <v>王海力</v>
      </c>
      <c r="D991" s="15" t="str">
        <f>"男"</f>
        <v>男</v>
      </c>
      <c r="E991" s="16" t="s">
        <v>437</v>
      </c>
      <c r="F991" s="13"/>
    </row>
    <row r="992" spans="1:6" ht="34.5" customHeight="1">
      <c r="A992" s="13">
        <v>989</v>
      </c>
      <c r="B992" s="14" t="str">
        <f>"60252023121809163524359"</f>
        <v>60252023121809163524359</v>
      </c>
      <c r="C992" s="15" t="str">
        <f>"李慧玲"</f>
        <v>李慧玲</v>
      </c>
      <c r="D992" s="15" t="str">
        <f aca="true" t="shared" si="28" ref="D992:D997">"女"</f>
        <v>女</v>
      </c>
      <c r="E992" s="16" t="s">
        <v>573</v>
      </c>
      <c r="F992" s="13"/>
    </row>
    <row r="993" spans="1:6" ht="34.5" customHeight="1">
      <c r="A993" s="13">
        <v>990</v>
      </c>
      <c r="B993" s="14" t="str">
        <f>"60252023121809104824276"</f>
        <v>60252023121809104824276</v>
      </c>
      <c r="C993" s="15" t="str">
        <f>"史瑜琪"</f>
        <v>史瑜琪</v>
      </c>
      <c r="D993" s="15" t="str">
        <f t="shared" si="28"/>
        <v>女</v>
      </c>
      <c r="E993" s="16" t="s">
        <v>574</v>
      </c>
      <c r="F993" s="13"/>
    </row>
    <row r="994" spans="1:6" ht="34.5" customHeight="1">
      <c r="A994" s="13">
        <v>991</v>
      </c>
      <c r="B994" s="14" t="str">
        <f>"60252023121810022724911"</f>
        <v>60252023121810022724911</v>
      </c>
      <c r="C994" s="15" t="str">
        <f>"陈日婷"</f>
        <v>陈日婷</v>
      </c>
      <c r="D994" s="15" t="str">
        <f t="shared" si="28"/>
        <v>女</v>
      </c>
      <c r="E994" s="16" t="s">
        <v>269</v>
      </c>
      <c r="F994" s="13"/>
    </row>
    <row r="995" spans="1:6" ht="34.5" customHeight="1">
      <c r="A995" s="13">
        <v>992</v>
      </c>
      <c r="B995" s="14" t="str">
        <f>"60252023121809173324365"</f>
        <v>60252023121809173324365</v>
      </c>
      <c r="C995" s="15" t="str">
        <f>"黄碧慧"</f>
        <v>黄碧慧</v>
      </c>
      <c r="D995" s="15" t="str">
        <f t="shared" si="28"/>
        <v>女</v>
      </c>
      <c r="E995" s="16" t="s">
        <v>194</v>
      </c>
      <c r="F995" s="13"/>
    </row>
    <row r="996" spans="1:6" ht="34.5" customHeight="1">
      <c r="A996" s="13">
        <v>993</v>
      </c>
      <c r="B996" s="14" t="str">
        <f>"60252023121809514924769"</f>
        <v>60252023121809514924769</v>
      </c>
      <c r="C996" s="15" t="str">
        <f>"羊冰冰"</f>
        <v>羊冰冰</v>
      </c>
      <c r="D996" s="15" t="str">
        <f t="shared" si="28"/>
        <v>女</v>
      </c>
      <c r="E996" s="16" t="s">
        <v>13</v>
      </c>
      <c r="F996" s="13"/>
    </row>
    <row r="997" spans="1:6" ht="34.5" customHeight="1">
      <c r="A997" s="13">
        <v>994</v>
      </c>
      <c r="B997" s="14" t="str">
        <f>"60252023121810465125400"</f>
        <v>60252023121810465125400</v>
      </c>
      <c r="C997" s="15" t="str">
        <f>"黄琼莹"</f>
        <v>黄琼莹</v>
      </c>
      <c r="D997" s="15" t="str">
        <f t="shared" si="28"/>
        <v>女</v>
      </c>
      <c r="E997" s="16" t="s">
        <v>172</v>
      </c>
      <c r="F997" s="13"/>
    </row>
    <row r="998" spans="1:6" ht="34.5" customHeight="1">
      <c r="A998" s="13">
        <v>995</v>
      </c>
      <c r="B998" s="14" t="str">
        <f>"60252023121810151425060"</f>
        <v>60252023121810151425060</v>
      </c>
      <c r="C998" s="15" t="str">
        <f>"刘硕文"</f>
        <v>刘硕文</v>
      </c>
      <c r="D998" s="15" t="str">
        <f>"男"</f>
        <v>男</v>
      </c>
      <c r="E998" s="16" t="s">
        <v>430</v>
      </c>
      <c r="F998" s="13"/>
    </row>
    <row r="999" spans="1:6" ht="34.5" customHeight="1">
      <c r="A999" s="13">
        <v>996</v>
      </c>
      <c r="B999" s="14" t="str">
        <f>"60252023121810573525519"</f>
        <v>60252023121810573525519</v>
      </c>
      <c r="C999" s="15" t="str">
        <f>"吉如惠"</f>
        <v>吉如惠</v>
      </c>
      <c r="D999" s="15" t="str">
        <f>"女"</f>
        <v>女</v>
      </c>
      <c r="E999" s="16" t="s">
        <v>170</v>
      </c>
      <c r="F999" s="13"/>
    </row>
    <row r="1000" spans="1:6" ht="34.5" customHeight="1">
      <c r="A1000" s="13">
        <v>997</v>
      </c>
      <c r="B1000" s="14" t="str">
        <f>"60252023121810552425498"</f>
        <v>60252023121810552425498</v>
      </c>
      <c r="C1000" s="15" t="str">
        <f>"陈小琴"</f>
        <v>陈小琴</v>
      </c>
      <c r="D1000" s="15" t="str">
        <f>"女"</f>
        <v>女</v>
      </c>
      <c r="E1000" s="16" t="s">
        <v>539</v>
      </c>
      <c r="F1000" s="13"/>
    </row>
    <row r="1001" spans="1:6" ht="34.5" customHeight="1">
      <c r="A1001" s="13">
        <v>998</v>
      </c>
      <c r="B1001" s="14" t="str">
        <f>"60252023121811093525649"</f>
        <v>60252023121811093525649</v>
      </c>
      <c r="C1001" s="15" t="str">
        <f>"陈玲瑶"</f>
        <v>陈玲瑶</v>
      </c>
      <c r="D1001" s="15" t="str">
        <f>"女"</f>
        <v>女</v>
      </c>
      <c r="E1001" s="16" t="s">
        <v>214</v>
      </c>
      <c r="F1001" s="13"/>
    </row>
    <row r="1002" spans="1:6" ht="34.5" customHeight="1">
      <c r="A1002" s="13">
        <v>999</v>
      </c>
      <c r="B1002" s="14" t="str">
        <f>"60252023121811121025682"</f>
        <v>60252023121811121025682</v>
      </c>
      <c r="C1002" s="15" t="str">
        <f>"周曼"</f>
        <v>周曼</v>
      </c>
      <c r="D1002" s="15" t="str">
        <f>"女"</f>
        <v>女</v>
      </c>
      <c r="E1002" s="16" t="s">
        <v>575</v>
      </c>
      <c r="F1002" s="13"/>
    </row>
    <row r="1003" spans="1:6" ht="34.5" customHeight="1">
      <c r="A1003" s="13">
        <v>1000</v>
      </c>
      <c r="B1003" s="14" t="str">
        <f>"60252023121811190625749"</f>
        <v>60252023121811190625749</v>
      </c>
      <c r="C1003" s="15" t="str">
        <f>"李成志"</f>
        <v>李成志</v>
      </c>
      <c r="D1003" s="15" t="str">
        <f>"男"</f>
        <v>男</v>
      </c>
      <c r="E1003" s="16" t="s">
        <v>576</v>
      </c>
      <c r="F1003" s="13"/>
    </row>
    <row r="1004" spans="1:6" ht="34.5" customHeight="1">
      <c r="A1004" s="13">
        <v>1001</v>
      </c>
      <c r="B1004" s="14" t="str">
        <f>"60252023121812180126121"</f>
        <v>60252023121812180126121</v>
      </c>
      <c r="C1004" s="15" t="str">
        <f>"胡基琳"</f>
        <v>胡基琳</v>
      </c>
      <c r="D1004" s="15" t="str">
        <f aca="true" t="shared" si="29" ref="D1004:D1014">"女"</f>
        <v>女</v>
      </c>
      <c r="E1004" s="16" t="s">
        <v>178</v>
      </c>
      <c r="F1004" s="13"/>
    </row>
    <row r="1005" spans="1:6" ht="34.5" customHeight="1">
      <c r="A1005" s="13">
        <v>1002</v>
      </c>
      <c r="B1005" s="14" t="str">
        <f>"60252023121811201725759"</f>
        <v>60252023121811201725759</v>
      </c>
      <c r="C1005" s="15" t="str">
        <f>"陈达梅"</f>
        <v>陈达梅</v>
      </c>
      <c r="D1005" s="15" t="str">
        <f t="shared" si="29"/>
        <v>女</v>
      </c>
      <c r="E1005" s="16" t="s">
        <v>577</v>
      </c>
      <c r="F1005" s="13"/>
    </row>
    <row r="1006" spans="1:6" ht="34.5" customHeight="1">
      <c r="A1006" s="13">
        <v>1003</v>
      </c>
      <c r="B1006" s="14" t="str">
        <f>"60252023121812494126288"</f>
        <v>60252023121812494126288</v>
      </c>
      <c r="C1006" s="15" t="str">
        <f>"符昌梅"</f>
        <v>符昌梅</v>
      </c>
      <c r="D1006" s="15" t="str">
        <f t="shared" si="29"/>
        <v>女</v>
      </c>
      <c r="E1006" s="16" t="s">
        <v>82</v>
      </c>
      <c r="F1006" s="13"/>
    </row>
    <row r="1007" spans="1:6" ht="34.5" customHeight="1">
      <c r="A1007" s="13">
        <v>1004</v>
      </c>
      <c r="B1007" s="14" t="str">
        <f>"60252023121814285726780"</f>
        <v>60252023121814285726780</v>
      </c>
      <c r="C1007" s="15" t="str">
        <f>"王艺澄"</f>
        <v>王艺澄</v>
      </c>
      <c r="D1007" s="15" t="str">
        <f t="shared" si="29"/>
        <v>女</v>
      </c>
      <c r="E1007" s="16" t="s">
        <v>63</v>
      </c>
      <c r="F1007" s="13"/>
    </row>
    <row r="1008" spans="1:6" ht="34.5" customHeight="1">
      <c r="A1008" s="13">
        <v>1005</v>
      </c>
      <c r="B1008" s="14" t="str">
        <f>"60252023121812510726294"</f>
        <v>60252023121812510726294</v>
      </c>
      <c r="C1008" s="15" t="str">
        <f>"吴倩玲"</f>
        <v>吴倩玲</v>
      </c>
      <c r="D1008" s="15" t="str">
        <f t="shared" si="29"/>
        <v>女</v>
      </c>
      <c r="E1008" s="16" t="s">
        <v>94</v>
      </c>
      <c r="F1008" s="13"/>
    </row>
    <row r="1009" spans="1:6" ht="34.5" customHeight="1">
      <c r="A1009" s="13">
        <v>1006</v>
      </c>
      <c r="B1009" s="14" t="str">
        <f>"60252023121815401427346"</f>
        <v>60252023121815401427346</v>
      </c>
      <c r="C1009" s="15" t="str">
        <f>"钟莹"</f>
        <v>钟莹</v>
      </c>
      <c r="D1009" s="15" t="str">
        <f t="shared" si="29"/>
        <v>女</v>
      </c>
      <c r="E1009" s="16" t="s">
        <v>273</v>
      </c>
      <c r="F1009" s="13"/>
    </row>
    <row r="1010" spans="1:6" ht="34.5" customHeight="1">
      <c r="A1010" s="13">
        <v>1007</v>
      </c>
      <c r="B1010" s="14" t="str">
        <f>"60252023121813082826378"</f>
        <v>60252023121813082826378</v>
      </c>
      <c r="C1010" s="15" t="str">
        <f>"王晓琪"</f>
        <v>王晓琪</v>
      </c>
      <c r="D1010" s="15" t="str">
        <f t="shared" si="29"/>
        <v>女</v>
      </c>
      <c r="E1010" s="16" t="s">
        <v>198</v>
      </c>
      <c r="F1010" s="13"/>
    </row>
    <row r="1011" spans="1:6" ht="34.5" customHeight="1">
      <c r="A1011" s="13">
        <v>1008</v>
      </c>
      <c r="B1011" s="14" t="str">
        <f>"60252023121816274627680"</f>
        <v>60252023121816274627680</v>
      </c>
      <c r="C1011" s="15" t="str">
        <f>"陈丽珍"</f>
        <v>陈丽珍</v>
      </c>
      <c r="D1011" s="15" t="str">
        <f t="shared" si="29"/>
        <v>女</v>
      </c>
      <c r="E1011" s="16" t="s">
        <v>578</v>
      </c>
      <c r="F1011" s="13"/>
    </row>
    <row r="1012" spans="1:6" ht="34.5" customHeight="1">
      <c r="A1012" s="13">
        <v>1009</v>
      </c>
      <c r="B1012" s="14" t="str">
        <f>"60252023121814484426945"</f>
        <v>60252023121814484426945</v>
      </c>
      <c r="C1012" s="15" t="str">
        <f>"王倩"</f>
        <v>王倩</v>
      </c>
      <c r="D1012" s="15" t="str">
        <f t="shared" si="29"/>
        <v>女</v>
      </c>
      <c r="E1012" s="16" t="s">
        <v>579</v>
      </c>
      <c r="F1012" s="13"/>
    </row>
    <row r="1013" spans="1:6" ht="34.5" customHeight="1">
      <c r="A1013" s="13">
        <v>1010</v>
      </c>
      <c r="B1013" s="14" t="str">
        <f>"60252023121816391027752"</f>
        <v>60252023121816391027752</v>
      </c>
      <c r="C1013" s="15" t="str">
        <f>"林倩"</f>
        <v>林倩</v>
      </c>
      <c r="D1013" s="15" t="str">
        <f t="shared" si="29"/>
        <v>女</v>
      </c>
      <c r="E1013" s="16" t="s">
        <v>197</v>
      </c>
      <c r="F1013" s="13"/>
    </row>
    <row r="1014" spans="1:6" ht="34.5" customHeight="1">
      <c r="A1014" s="13">
        <v>1011</v>
      </c>
      <c r="B1014" s="14" t="str">
        <f>"60252023121815193427197"</f>
        <v>60252023121815193427197</v>
      </c>
      <c r="C1014" s="15" t="str">
        <f>"黄珑怡"</f>
        <v>黄珑怡</v>
      </c>
      <c r="D1014" s="15" t="str">
        <f t="shared" si="29"/>
        <v>女</v>
      </c>
      <c r="E1014" s="16" t="s">
        <v>214</v>
      </c>
      <c r="F1014" s="13"/>
    </row>
    <row r="1015" spans="1:6" ht="34.5" customHeight="1">
      <c r="A1015" s="13">
        <v>1012</v>
      </c>
      <c r="B1015" s="14" t="str">
        <f>"60252023121816580227868"</f>
        <v>60252023121816580227868</v>
      </c>
      <c r="C1015" s="15" t="str">
        <f>"韦良宗"</f>
        <v>韦良宗</v>
      </c>
      <c r="D1015" s="15" t="str">
        <f>"男"</f>
        <v>男</v>
      </c>
      <c r="E1015" s="16" t="s">
        <v>369</v>
      </c>
      <c r="F1015" s="13"/>
    </row>
    <row r="1016" spans="1:6" ht="34.5" customHeight="1">
      <c r="A1016" s="13">
        <v>1013</v>
      </c>
      <c r="B1016" s="14" t="str">
        <f>"60252023121816465627798"</f>
        <v>60252023121816465627798</v>
      </c>
      <c r="C1016" s="15" t="str">
        <f>"王雪媚"</f>
        <v>王雪媚</v>
      </c>
      <c r="D1016" s="15" t="str">
        <f aca="true" t="shared" si="30" ref="D1016:D1028">"女"</f>
        <v>女</v>
      </c>
      <c r="E1016" s="16" t="s">
        <v>71</v>
      </c>
      <c r="F1016" s="13"/>
    </row>
    <row r="1017" spans="1:6" ht="34.5" customHeight="1">
      <c r="A1017" s="13">
        <v>1014</v>
      </c>
      <c r="B1017" s="14" t="str">
        <f>"60252023121816520827832"</f>
        <v>60252023121816520827832</v>
      </c>
      <c r="C1017" s="15" t="str">
        <f>"陈丽蔓"</f>
        <v>陈丽蔓</v>
      </c>
      <c r="D1017" s="15" t="str">
        <f t="shared" si="30"/>
        <v>女</v>
      </c>
      <c r="E1017" s="16" t="s">
        <v>292</v>
      </c>
      <c r="F1017" s="13"/>
    </row>
    <row r="1018" spans="1:6" ht="34.5" customHeight="1">
      <c r="A1018" s="13">
        <v>1015</v>
      </c>
      <c r="B1018" s="14" t="str">
        <f>"60252023121818225028216"</f>
        <v>60252023121818225028216</v>
      </c>
      <c r="C1018" s="15" t="str">
        <f>"吴莹"</f>
        <v>吴莹</v>
      </c>
      <c r="D1018" s="15" t="str">
        <f t="shared" si="30"/>
        <v>女</v>
      </c>
      <c r="E1018" s="16" t="s">
        <v>197</v>
      </c>
      <c r="F1018" s="13"/>
    </row>
    <row r="1019" spans="1:6" ht="34.5" customHeight="1">
      <c r="A1019" s="13">
        <v>1016</v>
      </c>
      <c r="B1019" s="14" t="str">
        <f>"60252023121818385128265"</f>
        <v>60252023121818385128265</v>
      </c>
      <c r="C1019" s="15" t="str">
        <f>"陈雅玉"</f>
        <v>陈雅玉</v>
      </c>
      <c r="D1019" s="15" t="str">
        <f t="shared" si="30"/>
        <v>女</v>
      </c>
      <c r="E1019" s="16" t="s">
        <v>288</v>
      </c>
      <c r="F1019" s="13"/>
    </row>
    <row r="1020" spans="1:6" ht="34.5" customHeight="1">
      <c r="A1020" s="13">
        <v>1017</v>
      </c>
      <c r="B1020" s="14" t="str">
        <f>"60252023121818594828337"</f>
        <v>60252023121818594828337</v>
      </c>
      <c r="C1020" s="15" t="str">
        <f>"莫红霞"</f>
        <v>莫红霞</v>
      </c>
      <c r="D1020" s="15" t="str">
        <f t="shared" si="30"/>
        <v>女</v>
      </c>
      <c r="E1020" s="16" t="s">
        <v>71</v>
      </c>
      <c r="F1020" s="13"/>
    </row>
    <row r="1021" spans="1:6" ht="34.5" customHeight="1">
      <c r="A1021" s="13">
        <v>1018</v>
      </c>
      <c r="B1021" s="14" t="str">
        <f>"60252023121819120928388"</f>
        <v>60252023121819120928388</v>
      </c>
      <c r="C1021" s="15" t="str">
        <f>"王堂丹"</f>
        <v>王堂丹</v>
      </c>
      <c r="D1021" s="15" t="str">
        <f t="shared" si="30"/>
        <v>女</v>
      </c>
      <c r="E1021" s="16" t="s">
        <v>292</v>
      </c>
      <c r="F1021" s="13"/>
    </row>
    <row r="1022" spans="1:6" ht="34.5" customHeight="1">
      <c r="A1022" s="13">
        <v>1019</v>
      </c>
      <c r="B1022" s="14" t="str">
        <f>"60252023121819514528554"</f>
        <v>60252023121819514528554</v>
      </c>
      <c r="C1022" s="15" t="str">
        <f>"庄最后"</f>
        <v>庄最后</v>
      </c>
      <c r="D1022" s="15" t="str">
        <f t="shared" si="30"/>
        <v>女</v>
      </c>
      <c r="E1022" s="16" t="s">
        <v>580</v>
      </c>
      <c r="F1022" s="13"/>
    </row>
    <row r="1023" spans="1:6" ht="34.5" customHeight="1">
      <c r="A1023" s="13">
        <v>1020</v>
      </c>
      <c r="B1023" s="14" t="str">
        <f>"60252023121819484528541"</f>
        <v>60252023121819484528541</v>
      </c>
      <c r="C1023" s="15" t="str">
        <f>"王徽"</f>
        <v>王徽</v>
      </c>
      <c r="D1023" s="15" t="str">
        <f t="shared" si="30"/>
        <v>女</v>
      </c>
      <c r="E1023" s="16" t="s">
        <v>255</v>
      </c>
      <c r="F1023" s="13"/>
    </row>
    <row r="1024" spans="1:6" ht="34.5" customHeight="1">
      <c r="A1024" s="13">
        <v>1021</v>
      </c>
      <c r="B1024" s="14" t="str">
        <f>"60252023121821045928877"</f>
        <v>60252023121821045928877</v>
      </c>
      <c r="C1024" s="15" t="str">
        <f>"李慧"</f>
        <v>李慧</v>
      </c>
      <c r="D1024" s="15" t="str">
        <f t="shared" si="30"/>
        <v>女</v>
      </c>
      <c r="E1024" s="16" t="s">
        <v>581</v>
      </c>
      <c r="F1024" s="13"/>
    </row>
    <row r="1025" spans="1:6" ht="34.5" customHeight="1">
      <c r="A1025" s="13">
        <v>1022</v>
      </c>
      <c r="B1025" s="14" t="str">
        <f>"60252023121822041929142"</f>
        <v>60252023121822041929142</v>
      </c>
      <c r="C1025" s="15" t="str">
        <f>"邓丽霞"</f>
        <v>邓丽霞</v>
      </c>
      <c r="D1025" s="15" t="str">
        <f t="shared" si="30"/>
        <v>女</v>
      </c>
      <c r="E1025" s="16" t="s">
        <v>105</v>
      </c>
      <c r="F1025" s="13"/>
    </row>
    <row r="1026" spans="1:6" ht="34.5" customHeight="1">
      <c r="A1026" s="13">
        <v>1023</v>
      </c>
      <c r="B1026" s="14" t="str">
        <f>"60252023121822545029311"</f>
        <v>60252023121822545029311</v>
      </c>
      <c r="C1026" s="15" t="str">
        <f>"林钰惜"</f>
        <v>林钰惜</v>
      </c>
      <c r="D1026" s="15" t="str">
        <f t="shared" si="30"/>
        <v>女</v>
      </c>
      <c r="E1026" s="16" t="s">
        <v>159</v>
      </c>
      <c r="F1026" s="13"/>
    </row>
    <row r="1027" spans="1:6" ht="34.5" customHeight="1">
      <c r="A1027" s="13">
        <v>1024</v>
      </c>
      <c r="B1027" s="14" t="str">
        <f>"60252023121823465229424"</f>
        <v>60252023121823465229424</v>
      </c>
      <c r="C1027" s="15" t="str">
        <f>"苏娴"</f>
        <v>苏娴</v>
      </c>
      <c r="D1027" s="15" t="str">
        <f t="shared" si="30"/>
        <v>女</v>
      </c>
      <c r="E1027" s="16" t="s">
        <v>582</v>
      </c>
      <c r="F1027" s="13"/>
    </row>
    <row r="1028" spans="1:6" ht="34.5" customHeight="1">
      <c r="A1028" s="13">
        <v>1025</v>
      </c>
      <c r="B1028" s="14" t="str">
        <f>"60252023121909351829975"</f>
        <v>60252023121909351829975</v>
      </c>
      <c r="C1028" s="15" t="str">
        <f>"王长"</f>
        <v>王长</v>
      </c>
      <c r="D1028" s="15" t="str">
        <f t="shared" si="30"/>
        <v>女</v>
      </c>
      <c r="E1028" s="16" t="s">
        <v>133</v>
      </c>
      <c r="F1028" s="13"/>
    </row>
    <row r="1029" spans="1:6" ht="34.5" customHeight="1">
      <c r="A1029" s="13">
        <v>1026</v>
      </c>
      <c r="B1029" s="14" t="str">
        <f>"60252023121907084029513"</f>
        <v>60252023121907084029513</v>
      </c>
      <c r="C1029" s="15" t="str">
        <f>"羊积万"</f>
        <v>羊积万</v>
      </c>
      <c r="D1029" s="15" t="str">
        <f>"男"</f>
        <v>男</v>
      </c>
      <c r="E1029" s="16" t="s">
        <v>583</v>
      </c>
      <c r="F1029" s="13"/>
    </row>
    <row r="1030" spans="1:6" ht="34.5" customHeight="1">
      <c r="A1030" s="13">
        <v>1027</v>
      </c>
      <c r="B1030" s="14" t="str">
        <f>"60252023121817245928006"</f>
        <v>60252023121817245928006</v>
      </c>
      <c r="C1030" s="15" t="str">
        <f>"郭俊宏"</f>
        <v>郭俊宏</v>
      </c>
      <c r="D1030" s="15" t="str">
        <f>"男"</f>
        <v>男</v>
      </c>
      <c r="E1030" s="16" t="s">
        <v>410</v>
      </c>
      <c r="F1030" s="13"/>
    </row>
    <row r="1031" spans="1:6" ht="34.5" customHeight="1">
      <c r="A1031" s="13">
        <v>1028</v>
      </c>
      <c r="B1031" s="14" t="str">
        <f>"60252023121909035229773"</f>
        <v>60252023121909035229773</v>
      </c>
      <c r="C1031" s="15" t="str">
        <f>"符玉亭"</f>
        <v>符玉亭</v>
      </c>
      <c r="D1031" s="15" t="str">
        <f>"女"</f>
        <v>女</v>
      </c>
      <c r="E1031" s="16" t="s">
        <v>269</v>
      </c>
      <c r="F1031" s="13"/>
    </row>
    <row r="1032" spans="1:6" ht="34.5" customHeight="1">
      <c r="A1032" s="13">
        <v>1029</v>
      </c>
      <c r="B1032" s="14" t="str">
        <f>"60252023121910211430259"</f>
        <v>60252023121910211430259</v>
      </c>
      <c r="C1032" s="15" t="str">
        <f>"吴武"</f>
        <v>吴武</v>
      </c>
      <c r="D1032" s="15" t="str">
        <f>"男"</f>
        <v>男</v>
      </c>
      <c r="E1032" s="16" t="s">
        <v>444</v>
      </c>
      <c r="F1032" s="13"/>
    </row>
    <row r="1033" spans="1:6" ht="34.5" customHeight="1">
      <c r="A1033" s="13">
        <v>1030</v>
      </c>
      <c r="B1033" s="14" t="str">
        <f>"60252023121909405030010"</f>
        <v>60252023121909405030010</v>
      </c>
      <c r="C1033" s="15" t="str">
        <f>"郑明月"</f>
        <v>郑明月</v>
      </c>
      <c r="D1033" s="15" t="str">
        <f>"女"</f>
        <v>女</v>
      </c>
      <c r="E1033" s="16" t="s">
        <v>433</v>
      </c>
      <c r="F1033" s="13"/>
    </row>
    <row r="1034" spans="1:6" ht="34.5" customHeight="1">
      <c r="A1034" s="13">
        <v>1031</v>
      </c>
      <c r="B1034" s="14" t="str">
        <f>"60252023121810440625370"</f>
        <v>60252023121810440625370</v>
      </c>
      <c r="C1034" s="15" t="str">
        <f>"邢增日"</f>
        <v>邢增日</v>
      </c>
      <c r="D1034" s="15" t="str">
        <f>"女"</f>
        <v>女</v>
      </c>
      <c r="E1034" s="16" t="s">
        <v>155</v>
      </c>
      <c r="F1034" s="13"/>
    </row>
    <row r="1035" spans="1:6" ht="34.5" customHeight="1">
      <c r="A1035" s="13">
        <v>1032</v>
      </c>
      <c r="B1035" s="14" t="str">
        <f>"60252023121818372628260"</f>
        <v>60252023121818372628260</v>
      </c>
      <c r="C1035" s="15" t="str">
        <f>"蔡雪蕊"</f>
        <v>蔡雪蕊</v>
      </c>
      <c r="D1035" s="15" t="str">
        <f>"女"</f>
        <v>女</v>
      </c>
      <c r="E1035" s="16" t="s">
        <v>182</v>
      </c>
      <c r="F1035" s="13"/>
    </row>
    <row r="1036" spans="1:6" ht="34.5" customHeight="1">
      <c r="A1036" s="13">
        <v>1033</v>
      </c>
      <c r="B1036" s="14" t="str">
        <f>"60252023121911373530667"</f>
        <v>60252023121911373530667</v>
      </c>
      <c r="C1036" s="15" t="str">
        <f>"赵阿兰"</f>
        <v>赵阿兰</v>
      </c>
      <c r="D1036" s="15" t="str">
        <f>"女"</f>
        <v>女</v>
      </c>
      <c r="E1036" s="16" t="s">
        <v>584</v>
      </c>
      <c r="F1036" s="13"/>
    </row>
    <row r="1037" spans="1:6" ht="34.5" customHeight="1">
      <c r="A1037" s="13">
        <v>1034</v>
      </c>
      <c r="B1037" s="14" t="str">
        <f>"60252023121817223727994"</f>
        <v>60252023121817223727994</v>
      </c>
      <c r="C1037" s="15" t="str">
        <f>"黄小雪"</f>
        <v>黄小雪</v>
      </c>
      <c r="D1037" s="15" t="str">
        <f>"女"</f>
        <v>女</v>
      </c>
      <c r="E1037" s="16" t="s">
        <v>272</v>
      </c>
      <c r="F1037" s="13"/>
    </row>
    <row r="1038" spans="1:6" ht="34.5" customHeight="1">
      <c r="A1038" s="13">
        <v>1035</v>
      </c>
      <c r="B1038" s="14" t="str">
        <f>"60252023121909312929953"</f>
        <v>60252023121909312929953</v>
      </c>
      <c r="C1038" s="15" t="str">
        <f>"黄志朋"</f>
        <v>黄志朋</v>
      </c>
      <c r="D1038" s="15" t="str">
        <f>"男"</f>
        <v>男</v>
      </c>
      <c r="E1038" s="16" t="s">
        <v>374</v>
      </c>
      <c r="F1038" s="13"/>
    </row>
    <row r="1039" spans="1:6" ht="34.5" customHeight="1">
      <c r="A1039" s="13">
        <v>1036</v>
      </c>
      <c r="B1039" s="14" t="str">
        <f>"60252023121915104831438"</f>
        <v>60252023121915104831438</v>
      </c>
      <c r="C1039" s="15" t="str">
        <f>"高策策"</f>
        <v>高策策</v>
      </c>
      <c r="D1039" s="15" t="str">
        <f>"女"</f>
        <v>女</v>
      </c>
      <c r="E1039" s="16" t="s">
        <v>499</v>
      </c>
      <c r="F1039" s="13"/>
    </row>
    <row r="1040" spans="1:6" ht="34.5" customHeight="1">
      <c r="A1040" s="13">
        <v>1037</v>
      </c>
      <c r="B1040" s="14" t="str">
        <f>"60252023121915182031483"</f>
        <v>60252023121915182031483</v>
      </c>
      <c r="C1040" s="15" t="str">
        <f>"朱琳"</f>
        <v>朱琳</v>
      </c>
      <c r="D1040" s="15" t="str">
        <f>"女"</f>
        <v>女</v>
      </c>
      <c r="E1040" s="16" t="s">
        <v>353</v>
      </c>
      <c r="F1040" s="13"/>
    </row>
    <row r="1041" spans="1:6" ht="34.5" customHeight="1">
      <c r="A1041" s="13">
        <v>1038</v>
      </c>
      <c r="B1041" s="14" t="str">
        <f>"60252023121915232531509"</f>
        <v>60252023121915232531509</v>
      </c>
      <c r="C1041" s="15" t="str">
        <f>"王雪冰"</f>
        <v>王雪冰</v>
      </c>
      <c r="D1041" s="15" t="str">
        <f>"女"</f>
        <v>女</v>
      </c>
      <c r="E1041" s="16" t="s">
        <v>249</v>
      </c>
      <c r="F1041" s="13"/>
    </row>
    <row r="1042" spans="1:6" ht="34.5" customHeight="1">
      <c r="A1042" s="13">
        <v>1039</v>
      </c>
      <c r="B1042" s="14" t="str">
        <f>"60252023121915233731511"</f>
        <v>60252023121915233731511</v>
      </c>
      <c r="C1042" s="15" t="str">
        <f>"曾春媚"</f>
        <v>曾春媚</v>
      </c>
      <c r="D1042" s="15" t="str">
        <f>"女"</f>
        <v>女</v>
      </c>
      <c r="E1042" s="16" t="s">
        <v>119</v>
      </c>
      <c r="F1042" s="13"/>
    </row>
    <row r="1043" spans="1:6" ht="34.5" customHeight="1">
      <c r="A1043" s="13">
        <v>1040</v>
      </c>
      <c r="B1043" s="14" t="str">
        <f>"60252023121915470331630"</f>
        <v>60252023121915470331630</v>
      </c>
      <c r="C1043" s="15" t="str">
        <f>"林嘉馨"</f>
        <v>林嘉馨</v>
      </c>
      <c r="D1043" s="15" t="str">
        <f>"女"</f>
        <v>女</v>
      </c>
      <c r="E1043" s="16" t="s">
        <v>406</v>
      </c>
      <c r="F1043" s="13"/>
    </row>
    <row r="1044" spans="1:6" ht="34.5" customHeight="1">
      <c r="A1044" s="13">
        <v>1041</v>
      </c>
      <c r="B1044" s="14" t="str">
        <f>"60252023121816563027860"</f>
        <v>60252023121816563027860</v>
      </c>
      <c r="C1044" s="15" t="str">
        <f>"吴春杨"</f>
        <v>吴春杨</v>
      </c>
      <c r="D1044" s="15" t="str">
        <f>"男"</f>
        <v>男</v>
      </c>
      <c r="E1044" s="16" t="s">
        <v>173</v>
      </c>
      <c r="F1044" s="13"/>
    </row>
    <row r="1045" spans="1:6" ht="34.5" customHeight="1">
      <c r="A1045" s="13">
        <v>1042</v>
      </c>
      <c r="B1045" s="14" t="str">
        <f>"60252023121916235531816"</f>
        <v>60252023121916235531816</v>
      </c>
      <c r="C1045" s="15" t="str">
        <f>"关清玉"</f>
        <v>关清玉</v>
      </c>
      <c r="D1045" s="15" t="str">
        <f>"女"</f>
        <v>女</v>
      </c>
      <c r="E1045" s="16" t="s">
        <v>585</v>
      </c>
      <c r="F1045" s="13"/>
    </row>
    <row r="1046" spans="1:6" ht="34.5" customHeight="1">
      <c r="A1046" s="13">
        <v>1043</v>
      </c>
      <c r="B1046" s="14" t="str">
        <f>"60252023121917103432093"</f>
        <v>60252023121917103432093</v>
      </c>
      <c r="C1046" s="15" t="str">
        <f>"杨文"</f>
        <v>杨文</v>
      </c>
      <c r="D1046" s="15" t="str">
        <f>"男"</f>
        <v>男</v>
      </c>
      <c r="E1046" s="16" t="s">
        <v>586</v>
      </c>
      <c r="F1046" s="13"/>
    </row>
    <row r="1047" spans="1:6" ht="34.5" customHeight="1">
      <c r="A1047" s="13">
        <v>1044</v>
      </c>
      <c r="B1047" s="14" t="str">
        <f>"60252023121917580532295"</f>
        <v>60252023121917580532295</v>
      </c>
      <c r="C1047" s="15" t="str">
        <f>"关蒂莲"</f>
        <v>关蒂莲</v>
      </c>
      <c r="D1047" s="15" t="str">
        <f>"女"</f>
        <v>女</v>
      </c>
      <c r="E1047" s="16" t="s">
        <v>313</v>
      </c>
      <c r="F1047" s="13"/>
    </row>
    <row r="1048" spans="1:6" ht="34.5" customHeight="1">
      <c r="A1048" s="13">
        <v>1045</v>
      </c>
      <c r="B1048" s="14" t="str">
        <f>"60252023121918280332413"</f>
        <v>60252023121918280332413</v>
      </c>
      <c r="C1048" s="15" t="str">
        <f>"王淑莺"</f>
        <v>王淑莺</v>
      </c>
      <c r="D1048" s="15" t="str">
        <f>"女"</f>
        <v>女</v>
      </c>
      <c r="E1048" s="16" t="s">
        <v>179</v>
      </c>
      <c r="F1048" s="13"/>
    </row>
    <row r="1049" spans="1:6" ht="34.5" customHeight="1">
      <c r="A1049" s="13">
        <v>1046</v>
      </c>
      <c r="B1049" s="14" t="str">
        <f>"60252023121918101432345"</f>
        <v>60252023121918101432345</v>
      </c>
      <c r="C1049" s="15" t="str">
        <f>"曾祥集"</f>
        <v>曾祥集</v>
      </c>
      <c r="D1049" s="15" t="str">
        <f>"男"</f>
        <v>男</v>
      </c>
      <c r="E1049" s="16" t="s">
        <v>535</v>
      </c>
      <c r="F1049" s="13"/>
    </row>
    <row r="1050" spans="1:6" ht="34.5" customHeight="1">
      <c r="A1050" s="13">
        <v>1047</v>
      </c>
      <c r="B1050" s="14" t="str">
        <f>"60252023121820445628795"</f>
        <v>60252023121820445628795</v>
      </c>
      <c r="C1050" s="15" t="str">
        <f>"叶秀桓"</f>
        <v>叶秀桓</v>
      </c>
      <c r="D1050" s="15" t="str">
        <f>"男"</f>
        <v>男</v>
      </c>
      <c r="E1050" s="16" t="s">
        <v>218</v>
      </c>
      <c r="F1050" s="13"/>
    </row>
    <row r="1051" spans="1:6" ht="34.5" customHeight="1">
      <c r="A1051" s="13">
        <v>1048</v>
      </c>
      <c r="B1051" s="14" t="str">
        <f>"60252023121920303232963"</f>
        <v>60252023121920303232963</v>
      </c>
      <c r="C1051" s="15" t="str">
        <f>"韦欢欢"</f>
        <v>韦欢欢</v>
      </c>
      <c r="D1051" s="15" t="str">
        <f>"女"</f>
        <v>女</v>
      </c>
      <c r="E1051" s="16" t="s">
        <v>587</v>
      </c>
      <c r="F1051" s="13"/>
    </row>
    <row r="1052" spans="1:6" ht="34.5" customHeight="1">
      <c r="A1052" s="13">
        <v>1049</v>
      </c>
      <c r="B1052" s="14" t="str">
        <f>"60252023121811151325708"</f>
        <v>60252023121811151325708</v>
      </c>
      <c r="C1052" s="15" t="str">
        <f>"祝家楊"</f>
        <v>祝家楊</v>
      </c>
      <c r="D1052" s="15" t="str">
        <f>"男"</f>
        <v>男</v>
      </c>
      <c r="E1052" s="16" t="s">
        <v>373</v>
      </c>
      <c r="F1052" s="13"/>
    </row>
    <row r="1053" spans="1:6" ht="34.5" customHeight="1">
      <c r="A1053" s="13">
        <v>1050</v>
      </c>
      <c r="B1053" s="14" t="str">
        <f>"60252023121922293633658"</f>
        <v>60252023121922293633658</v>
      </c>
      <c r="C1053" s="15" t="str">
        <f>"王淑敏"</f>
        <v>王淑敏</v>
      </c>
      <c r="D1053" s="15" t="str">
        <f>"女"</f>
        <v>女</v>
      </c>
      <c r="E1053" s="16" t="s">
        <v>353</v>
      </c>
      <c r="F1053" s="13"/>
    </row>
    <row r="1054" spans="1:6" ht="34.5" customHeight="1">
      <c r="A1054" s="13">
        <v>1051</v>
      </c>
      <c r="B1054" s="14" t="str">
        <f>"60252023121923270133897"</f>
        <v>60252023121923270133897</v>
      </c>
      <c r="C1054" s="15" t="str">
        <f>"张世翼"</f>
        <v>张世翼</v>
      </c>
      <c r="D1054" s="15" t="str">
        <f>"女"</f>
        <v>女</v>
      </c>
      <c r="E1054" s="16" t="s">
        <v>588</v>
      </c>
      <c r="F1054" s="13"/>
    </row>
    <row r="1055" spans="1:6" ht="34.5" customHeight="1">
      <c r="A1055" s="13">
        <v>1052</v>
      </c>
      <c r="B1055" s="14" t="str">
        <f>"60252023122008453734314"</f>
        <v>60252023122008453734314</v>
      </c>
      <c r="C1055" s="15" t="str">
        <f>"王世妹"</f>
        <v>王世妹</v>
      </c>
      <c r="D1055" s="15" t="str">
        <f>"女"</f>
        <v>女</v>
      </c>
      <c r="E1055" s="16" t="s">
        <v>275</v>
      </c>
      <c r="F1055" s="13"/>
    </row>
    <row r="1056" spans="1:6" ht="34.5" customHeight="1">
      <c r="A1056" s="13">
        <v>1053</v>
      </c>
      <c r="B1056" s="14" t="str">
        <f>"60252023122009420234651"</f>
        <v>60252023122009420234651</v>
      </c>
      <c r="C1056" s="15" t="str">
        <f>"谢慧芬"</f>
        <v>谢慧芬</v>
      </c>
      <c r="D1056" s="15" t="str">
        <f>"女"</f>
        <v>女</v>
      </c>
      <c r="E1056" s="16" t="s">
        <v>13</v>
      </c>
      <c r="F1056" s="13"/>
    </row>
    <row r="1057" spans="1:6" ht="34.5" customHeight="1">
      <c r="A1057" s="13">
        <v>1054</v>
      </c>
      <c r="B1057" s="14" t="str">
        <f>"60252023122009094934461"</f>
        <v>60252023122009094934461</v>
      </c>
      <c r="C1057" s="15" t="str">
        <f>"谢梦娜"</f>
        <v>谢梦娜</v>
      </c>
      <c r="D1057" s="15" t="str">
        <f>"女"</f>
        <v>女</v>
      </c>
      <c r="E1057" s="16" t="s">
        <v>589</v>
      </c>
      <c r="F1057" s="13"/>
    </row>
    <row r="1058" spans="1:6" ht="34.5" customHeight="1">
      <c r="A1058" s="13">
        <v>1055</v>
      </c>
      <c r="B1058" s="14" t="str">
        <f>"60252023122010310634964"</f>
        <v>60252023122010310634964</v>
      </c>
      <c r="C1058" s="15" t="str">
        <f>"王槐奋"</f>
        <v>王槐奋</v>
      </c>
      <c r="D1058" s="15" t="str">
        <f>"男"</f>
        <v>男</v>
      </c>
      <c r="E1058" s="16" t="s">
        <v>590</v>
      </c>
      <c r="F1058" s="13"/>
    </row>
    <row r="1059" spans="1:6" ht="34.5" customHeight="1">
      <c r="A1059" s="13">
        <v>1056</v>
      </c>
      <c r="B1059" s="14" t="str">
        <f>"60252023122009492634702"</f>
        <v>60252023122009492634702</v>
      </c>
      <c r="C1059" s="15" t="str">
        <f>"赵晓晓"</f>
        <v>赵晓晓</v>
      </c>
      <c r="D1059" s="15" t="str">
        <f aca="true" t="shared" si="31" ref="D1059:D1064">"女"</f>
        <v>女</v>
      </c>
      <c r="E1059" s="16" t="s">
        <v>591</v>
      </c>
      <c r="F1059" s="13"/>
    </row>
    <row r="1060" spans="1:6" ht="34.5" customHeight="1">
      <c r="A1060" s="13">
        <v>1057</v>
      </c>
      <c r="B1060" s="14" t="str">
        <f>"60252023122009594834763"</f>
        <v>60252023122009594834763</v>
      </c>
      <c r="C1060" s="15" t="str">
        <f>"董乐平"</f>
        <v>董乐平</v>
      </c>
      <c r="D1060" s="15" t="str">
        <f t="shared" si="31"/>
        <v>女</v>
      </c>
      <c r="E1060" s="16" t="s">
        <v>13</v>
      </c>
      <c r="F1060" s="13"/>
    </row>
    <row r="1061" spans="1:6" ht="34.5" customHeight="1">
      <c r="A1061" s="13">
        <v>1058</v>
      </c>
      <c r="B1061" s="14" t="str">
        <f>"60252023122011031335183"</f>
        <v>60252023122011031335183</v>
      </c>
      <c r="C1061" s="15" t="str">
        <f>"陈小红"</f>
        <v>陈小红</v>
      </c>
      <c r="D1061" s="15" t="str">
        <f t="shared" si="31"/>
        <v>女</v>
      </c>
      <c r="E1061" s="16" t="s">
        <v>210</v>
      </c>
      <c r="F1061" s="13"/>
    </row>
    <row r="1062" spans="1:6" ht="34.5" customHeight="1">
      <c r="A1062" s="13">
        <v>1059</v>
      </c>
      <c r="B1062" s="14" t="str">
        <f>"60252023121916534431991"</f>
        <v>60252023121916534431991</v>
      </c>
      <c r="C1062" s="15" t="str">
        <f>"郑贞莹"</f>
        <v>郑贞莹</v>
      </c>
      <c r="D1062" s="15" t="str">
        <f t="shared" si="31"/>
        <v>女</v>
      </c>
      <c r="E1062" s="16" t="s">
        <v>198</v>
      </c>
      <c r="F1062" s="13"/>
    </row>
    <row r="1063" spans="1:6" ht="34.5" customHeight="1">
      <c r="A1063" s="13">
        <v>1060</v>
      </c>
      <c r="B1063" s="14" t="str">
        <f>"60252023122015314536986"</f>
        <v>60252023122015314536986</v>
      </c>
      <c r="C1063" s="15" t="str">
        <f>"曾伊"</f>
        <v>曾伊</v>
      </c>
      <c r="D1063" s="15" t="str">
        <f t="shared" si="31"/>
        <v>女</v>
      </c>
      <c r="E1063" s="16" t="s">
        <v>192</v>
      </c>
      <c r="F1063" s="13"/>
    </row>
    <row r="1064" spans="1:6" ht="34.5" customHeight="1">
      <c r="A1064" s="13">
        <v>1061</v>
      </c>
      <c r="B1064" s="14" t="str">
        <f>"60252023121816393527754"</f>
        <v>60252023121816393527754</v>
      </c>
      <c r="C1064" s="15" t="str">
        <f>"刘晓蕾"</f>
        <v>刘晓蕾</v>
      </c>
      <c r="D1064" s="15" t="str">
        <f t="shared" si="31"/>
        <v>女</v>
      </c>
      <c r="E1064" s="16" t="s">
        <v>77</v>
      </c>
      <c r="F1064" s="13"/>
    </row>
    <row r="1065" spans="1:6" ht="34.5" customHeight="1">
      <c r="A1065" s="13">
        <v>1062</v>
      </c>
      <c r="B1065" s="14" t="str">
        <f>"60252023121909574630110"</f>
        <v>60252023121909574630110</v>
      </c>
      <c r="C1065" s="15" t="str">
        <f>"史辉宗"</f>
        <v>史辉宗</v>
      </c>
      <c r="D1065" s="15" t="str">
        <f>"男"</f>
        <v>男</v>
      </c>
      <c r="E1065" s="16" t="s">
        <v>401</v>
      </c>
      <c r="F1065" s="13"/>
    </row>
    <row r="1066" spans="1:6" ht="34.5" customHeight="1">
      <c r="A1066" s="13">
        <v>1063</v>
      </c>
      <c r="B1066" s="14" t="str">
        <f>"60252023122110075837522"</f>
        <v>60252023122110075837522</v>
      </c>
      <c r="C1066" s="15" t="str">
        <f>"黄婧梅"</f>
        <v>黄婧梅</v>
      </c>
      <c r="D1066" s="15" t="str">
        <f>"女"</f>
        <v>女</v>
      </c>
      <c r="E1066" s="16" t="s">
        <v>390</v>
      </c>
      <c r="F1066" s="13"/>
    </row>
    <row r="1067" spans="1:6" ht="34.5" customHeight="1">
      <c r="A1067" s="13">
        <v>1064</v>
      </c>
      <c r="B1067" s="14" t="str">
        <f>"60252023122115184937764"</f>
        <v>60252023122115184937764</v>
      </c>
      <c r="C1067" s="15" t="str">
        <f>"陈冬菊"</f>
        <v>陈冬菊</v>
      </c>
      <c r="D1067" s="15" t="str">
        <f>"女"</f>
        <v>女</v>
      </c>
      <c r="E1067" s="16" t="s">
        <v>164</v>
      </c>
      <c r="F1067" s="13"/>
    </row>
    <row r="1068" spans="1:6" ht="34.5" customHeight="1">
      <c r="A1068" s="13">
        <v>1065</v>
      </c>
      <c r="B1068" s="14" t="str">
        <f>"60252023122015081836749"</f>
        <v>60252023122015081836749</v>
      </c>
      <c r="C1068" s="15" t="str">
        <f>"文钰"</f>
        <v>文钰</v>
      </c>
      <c r="D1068" s="15" t="str">
        <f>"女"</f>
        <v>女</v>
      </c>
      <c r="E1068" s="16" t="s">
        <v>73</v>
      </c>
      <c r="F1068" s="13"/>
    </row>
    <row r="1069" spans="1:6" ht="34.5" customHeight="1">
      <c r="A1069" s="13">
        <v>1066</v>
      </c>
      <c r="B1069" s="14" t="str">
        <f>"60252023122115454537782"</f>
        <v>60252023122115454537782</v>
      </c>
      <c r="C1069" s="15" t="str">
        <f>"王金娜"</f>
        <v>王金娜</v>
      </c>
      <c r="D1069" s="15" t="str">
        <f>"女"</f>
        <v>女</v>
      </c>
      <c r="E1069" s="16" t="s">
        <v>269</v>
      </c>
      <c r="F1069" s="13"/>
    </row>
    <row r="1070" spans="1:6" ht="34.5" customHeight="1">
      <c r="A1070" s="13">
        <v>1067</v>
      </c>
      <c r="B1070" s="14" t="str">
        <f>"60252023122115520937788"</f>
        <v>60252023122115520937788</v>
      </c>
      <c r="C1070" s="15" t="str">
        <f>"羊昆博"</f>
        <v>羊昆博</v>
      </c>
      <c r="D1070" s="15" t="str">
        <f>"男"</f>
        <v>男</v>
      </c>
      <c r="E1070" s="16" t="s">
        <v>447</v>
      </c>
      <c r="F1070" s="13"/>
    </row>
    <row r="1071" spans="1:6" ht="34.5" customHeight="1">
      <c r="A1071" s="13">
        <v>1068</v>
      </c>
      <c r="B1071" s="14" t="str">
        <f>"60252023122011534135479"</f>
        <v>60252023122011534135479</v>
      </c>
      <c r="C1071" s="15" t="str">
        <f>"李明睿"</f>
        <v>李明睿</v>
      </c>
      <c r="D1071" s="15" t="str">
        <f>"男"</f>
        <v>男</v>
      </c>
      <c r="E1071" s="16" t="s">
        <v>592</v>
      </c>
      <c r="F1071" s="13"/>
    </row>
    <row r="1072" spans="1:6" ht="34.5" customHeight="1">
      <c r="A1072" s="13">
        <v>1069</v>
      </c>
      <c r="B1072" s="14" t="str">
        <f>"60252023122119544337920"</f>
        <v>60252023122119544337920</v>
      </c>
      <c r="C1072" s="15" t="str">
        <f>"陈小迈"</f>
        <v>陈小迈</v>
      </c>
      <c r="D1072" s="15" t="str">
        <f>"女"</f>
        <v>女</v>
      </c>
      <c r="E1072" s="16" t="s">
        <v>71</v>
      </c>
      <c r="F1072" s="13"/>
    </row>
    <row r="1073" spans="1:6" ht="34.5" customHeight="1">
      <c r="A1073" s="13">
        <v>1070</v>
      </c>
      <c r="B1073" s="14" t="str">
        <f>"60252023121911260830614"</f>
        <v>60252023121911260830614</v>
      </c>
      <c r="C1073" s="15" t="str">
        <f>"张淑梦"</f>
        <v>张淑梦</v>
      </c>
      <c r="D1073" s="15" t="str">
        <f>"女"</f>
        <v>女</v>
      </c>
      <c r="E1073" s="16" t="s">
        <v>32</v>
      </c>
      <c r="F1073" s="13"/>
    </row>
    <row r="1074" spans="1:6" ht="34.5" customHeight="1">
      <c r="A1074" s="13">
        <v>1071</v>
      </c>
      <c r="B1074" s="14" t="str">
        <f>"60252023122117223437851"</f>
        <v>60252023122117223437851</v>
      </c>
      <c r="C1074" s="15" t="str">
        <f>"林莉"</f>
        <v>林莉</v>
      </c>
      <c r="D1074" s="15" t="str">
        <f>"女"</f>
        <v>女</v>
      </c>
      <c r="E1074" s="16" t="s">
        <v>593</v>
      </c>
      <c r="F1074" s="13"/>
    </row>
    <row r="1075" spans="1:6" ht="34.5" customHeight="1">
      <c r="A1075" s="13">
        <v>1072</v>
      </c>
      <c r="B1075" s="14" t="str">
        <f>"60252023122214432238261"</f>
        <v>60252023122214432238261</v>
      </c>
      <c r="C1075" s="15" t="str">
        <f>"黄兹博"</f>
        <v>黄兹博</v>
      </c>
      <c r="D1075" s="15" t="str">
        <f>"男"</f>
        <v>男</v>
      </c>
      <c r="E1075" s="16" t="s">
        <v>373</v>
      </c>
      <c r="F1075" s="13"/>
    </row>
    <row r="1076" spans="1:6" ht="34.5" customHeight="1">
      <c r="A1076" s="13">
        <v>1073</v>
      </c>
      <c r="B1076" s="14" t="str">
        <f>"60252023122215334938310"</f>
        <v>60252023122215334938310</v>
      </c>
      <c r="C1076" s="15" t="str">
        <f>"陈允丹"</f>
        <v>陈允丹</v>
      </c>
      <c r="D1076" s="15" t="str">
        <f>"女"</f>
        <v>女</v>
      </c>
      <c r="E1076" s="16" t="s">
        <v>94</v>
      </c>
      <c r="F1076" s="13"/>
    </row>
    <row r="1077" spans="1:6" ht="34.5" customHeight="1">
      <c r="A1077" s="13">
        <v>1074</v>
      </c>
      <c r="B1077" s="14" t="str">
        <f>"60252023122219582538495"</f>
        <v>60252023122219582538495</v>
      </c>
      <c r="C1077" s="15" t="str">
        <f>"李德裘"</f>
        <v>李德裘</v>
      </c>
      <c r="D1077" s="15" t="str">
        <f>"男"</f>
        <v>男</v>
      </c>
      <c r="E1077" s="16" t="s">
        <v>583</v>
      </c>
      <c r="F1077" s="13"/>
    </row>
    <row r="1078" spans="1:6" ht="34.5" customHeight="1">
      <c r="A1078" s="13">
        <v>1075</v>
      </c>
      <c r="B1078" s="14" t="str">
        <f>"60252023122219351638481"</f>
        <v>60252023122219351638481</v>
      </c>
      <c r="C1078" s="15" t="str">
        <f>"郑庆典"</f>
        <v>郑庆典</v>
      </c>
      <c r="D1078" s="15" t="str">
        <f>"男"</f>
        <v>男</v>
      </c>
      <c r="E1078" s="16" t="s">
        <v>474</v>
      </c>
      <c r="F1078" s="13"/>
    </row>
    <row r="1079" spans="1:6" ht="34.5" customHeight="1">
      <c r="A1079" s="13">
        <v>1076</v>
      </c>
      <c r="B1079" s="14" t="str">
        <f>"60252023121810395225328"</f>
        <v>60252023121810395225328</v>
      </c>
      <c r="C1079" s="15" t="str">
        <f>"翟滢斐"</f>
        <v>翟滢斐</v>
      </c>
      <c r="D1079" s="15" t="str">
        <f>"女"</f>
        <v>女</v>
      </c>
      <c r="E1079" s="16" t="s">
        <v>594</v>
      </c>
      <c r="F1079" s="13"/>
    </row>
    <row r="1080" spans="1:6" ht="34.5" customHeight="1">
      <c r="A1080" s="13">
        <v>1077</v>
      </c>
      <c r="B1080" s="14" t="str">
        <f>"60252023122318460540185"</f>
        <v>60252023122318460540185</v>
      </c>
      <c r="C1080" s="15" t="str">
        <f>"孙如永"</f>
        <v>孙如永</v>
      </c>
      <c r="D1080" s="15" t="str">
        <f>"男"</f>
        <v>男</v>
      </c>
      <c r="E1080" s="16" t="s">
        <v>369</v>
      </c>
      <c r="F1080" s="13"/>
    </row>
    <row r="1081" spans="1:6" ht="34.5" customHeight="1">
      <c r="A1081" s="13">
        <v>1078</v>
      </c>
      <c r="B1081" s="14" t="str">
        <f>"60252023122320080340321"</f>
        <v>60252023122320080340321</v>
      </c>
      <c r="C1081" s="15" t="str">
        <f>"邢贝贝"</f>
        <v>邢贝贝</v>
      </c>
      <c r="D1081" s="15" t="str">
        <f>"女"</f>
        <v>女</v>
      </c>
      <c r="E1081" s="16" t="s">
        <v>165</v>
      </c>
      <c r="F1081" s="13"/>
    </row>
    <row r="1082" spans="1:6" ht="34.5" customHeight="1">
      <c r="A1082" s="13">
        <v>1079</v>
      </c>
      <c r="B1082" s="14" t="str">
        <f>"60252023122408460040648"</f>
        <v>60252023122408460040648</v>
      </c>
      <c r="C1082" s="15" t="str">
        <f>"陈美娇"</f>
        <v>陈美娇</v>
      </c>
      <c r="D1082" s="15" t="str">
        <f>"女"</f>
        <v>女</v>
      </c>
      <c r="E1082" s="16" t="s">
        <v>104</v>
      </c>
      <c r="F1082" s="13"/>
    </row>
    <row r="1083" spans="1:6" ht="34.5" customHeight="1">
      <c r="A1083" s="13">
        <v>1080</v>
      </c>
      <c r="B1083" s="14" t="str">
        <f>"60252023122316030439965"</f>
        <v>60252023122316030439965</v>
      </c>
      <c r="C1083" s="15" t="str">
        <f>"王昌涛"</f>
        <v>王昌涛</v>
      </c>
      <c r="D1083" s="15" t="str">
        <f>"男"</f>
        <v>男</v>
      </c>
      <c r="E1083" s="16" t="s">
        <v>595</v>
      </c>
      <c r="F1083" s="13"/>
    </row>
    <row r="1084" spans="1:6" ht="34.5" customHeight="1">
      <c r="A1084" s="13">
        <v>1081</v>
      </c>
      <c r="B1084" s="14" t="str">
        <f>"60252023122310053039063"</f>
        <v>60252023122310053039063</v>
      </c>
      <c r="C1084" s="15" t="str">
        <f>"盛丽琬"</f>
        <v>盛丽琬</v>
      </c>
      <c r="D1084" s="15" t="str">
        <f>"女"</f>
        <v>女</v>
      </c>
      <c r="E1084" s="16" t="s">
        <v>596</v>
      </c>
      <c r="F1084" s="13"/>
    </row>
    <row r="1085" spans="1:6" ht="34.5" customHeight="1">
      <c r="A1085" s="13">
        <v>1082</v>
      </c>
      <c r="B1085" s="14" t="str">
        <f>"60252023122415594441038"</f>
        <v>60252023122415594441038</v>
      </c>
      <c r="C1085" s="15" t="str">
        <f>"叶保纯"</f>
        <v>叶保纯</v>
      </c>
      <c r="D1085" s="15" t="str">
        <f>"男"</f>
        <v>男</v>
      </c>
      <c r="E1085" s="16" t="s">
        <v>597</v>
      </c>
      <c r="F1085" s="13"/>
    </row>
    <row r="1086" spans="1:6" ht="34.5" customHeight="1">
      <c r="A1086" s="13">
        <v>1083</v>
      </c>
      <c r="B1086" s="14" t="str">
        <f>"60252023122418115741134"</f>
        <v>60252023122418115741134</v>
      </c>
      <c r="C1086" s="15" t="str">
        <f>"苏冰冰"</f>
        <v>苏冰冰</v>
      </c>
      <c r="D1086" s="15" t="str">
        <f>"女"</f>
        <v>女</v>
      </c>
      <c r="E1086" s="16" t="s">
        <v>598</v>
      </c>
      <c r="F1086" s="13"/>
    </row>
    <row r="1087" spans="1:6" ht="34.5" customHeight="1">
      <c r="A1087" s="13">
        <v>1084</v>
      </c>
      <c r="B1087" s="14" t="str">
        <f>"60252023122419370041201"</f>
        <v>60252023122419370041201</v>
      </c>
      <c r="C1087" s="15" t="str">
        <f>"吴淑谦"</f>
        <v>吴淑谦</v>
      </c>
      <c r="D1087" s="15" t="str">
        <f>"男"</f>
        <v>男</v>
      </c>
      <c r="E1087" s="16" t="s">
        <v>599</v>
      </c>
      <c r="F1087" s="13"/>
    </row>
    <row r="1088" spans="1:6" ht="34.5" customHeight="1">
      <c r="A1088" s="13">
        <v>1085</v>
      </c>
      <c r="B1088" s="14" t="str">
        <f>"60252023122419190041189"</f>
        <v>60252023122419190041189</v>
      </c>
      <c r="C1088" s="15" t="str">
        <f>"王香菱"</f>
        <v>王香菱</v>
      </c>
      <c r="D1088" s="15" t="str">
        <f>"女"</f>
        <v>女</v>
      </c>
      <c r="E1088" s="16" t="s">
        <v>538</v>
      </c>
      <c r="F1088" s="13"/>
    </row>
    <row r="1089" spans="1:6" ht="34.5" customHeight="1">
      <c r="A1089" s="13">
        <v>1086</v>
      </c>
      <c r="B1089" s="14" t="str">
        <f>"60252023122421542941337"</f>
        <v>60252023122421542941337</v>
      </c>
      <c r="C1089" s="15" t="str">
        <f>"林维越"</f>
        <v>林维越</v>
      </c>
      <c r="D1089" s="15" t="str">
        <f>"女"</f>
        <v>女</v>
      </c>
      <c r="E1089" s="16" t="s">
        <v>265</v>
      </c>
      <c r="F1089" s="13"/>
    </row>
    <row r="1090" spans="1:6" ht="34.5" customHeight="1">
      <c r="A1090" s="13">
        <v>1087</v>
      </c>
      <c r="B1090" s="14" t="str">
        <f>"60252023122420514541279"</f>
        <v>60252023122420514541279</v>
      </c>
      <c r="C1090" s="15" t="str">
        <f>"陈小妹"</f>
        <v>陈小妹</v>
      </c>
      <c r="D1090" s="15" t="str">
        <f>"女"</f>
        <v>女</v>
      </c>
      <c r="E1090" s="16" t="s">
        <v>106</v>
      </c>
      <c r="F1090" s="13"/>
    </row>
    <row r="1091" spans="1:6" ht="34.5" customHeight="1">
      <c r="A1091" s="13">
        <v>1088</v>
      </c>
      <c r="B1091" s="14" t="str">
        <f>"60252023122423135341394"</f>
        <v>60252023122423135341394</v>
      </c>
      <c r="C1091" s="15" t="str">
        <f>"岑举锋"</f>
        <v>岑举锋</v>
      </c>
      <c r="D1091" s="15" t="str">
        <f>"男"</f>
        <v>男</v>
      </c>
      <c r="E1091" s="16" t="s">
        <v>90</v>
      </c>
      <c r="F1091" s="13"/>
    </row>
    <row r="1092" spans="1:6" ht="34.5" customHeight="1">
      <c r="A1092" s="13">
        <v>1089</v>
      </c>
      <c r="B1092" s="14" t="str">
        <f>"60252023122500171541410"</f>
        <v>60252023122500171541410</v>
      </c>
      <c r="C1092" s="15" t="str">
        <f>"邢莉莉"</f>
        <v>邢莉莉</v>
      </c>
      <c r="D1092" s="15" t="str">
        <f>"女"</f>
        <v>女</v>
      </c>
      <c r="E1092" s="16" t="s">
        <v>144</v>
      </c>
      <c r="F1092" s="13"/>
    </row>
    <row r="1093" spans="1:6" ht="34.5" customHeight="1">
      <c r="A1093" s="13">
        <v>1090</v>
      </c>
      <c r="B1093" s="14" t="str">
        <f>"60252023122509044441539"</f>
        <v>60252023122509044441539</v>
      </c>
      <c r="C1093" s="15" t="str">
        <f>"杨福林"</f>
        <v>杨福林</v>
      </c>
      <c r="D1093" s="15" t="str">
        <f>"男"</f>
        <v>男</v>
      </c>
      <c r="E1093" s="16" t="s">
        <v>600</v>
      </c>
      <c r="F1093" s="13"/>
    </row>
    <row r="1094" spans="1:6" ht="34.5" customHeight="1">
      <c r="A1094" s="13">
        <v>1091</v>
      </c>
      <c r="B1094" s="14" t="str">
        <f>"60252023122509060541546"</f>
        <v>60252023122509060541546</v>
      </c>
      <c r="C1094" s="15" t="str">
        <f>"黄凤仙"</f>
        <v>黄凤仙</v>
      </c>
      <c r="D1094" s="15" t="str">
        <f aca="true" t="shared" si="32" ref="D1094:D1099">"女"</f>
        <v>女</v>
      </c>
      <c r="E1094" s="16" t="s">
        <v>601</v>
      </c>
      <c r="F1094" s="13"/>
    </row>
    <row r="1095" spans="1:6" ht="34.5" customHeight="1">
      <c r="A1095" s="13">
        <v>1092</v>
      </c>
      <c r="B1095" s="14" t="str">
        <f>"60252023122510135541808"</f>
        <v>60252023122510135541808</v>
      </c>
      <c r="C1095" s="15" t="str">
        <f>"符秋子"</f>
        <v>符秋子</v>
      </c>
      <c r="D1095" s="15" t="str">
        <f t="shared" si="32"/>
        <v>女</v>
      </c>
      <c r="E1095" s="16" t="s">
        <v>197</v>
      </c>
      <c r="F1095" s="13"/>
    </row>
    <row r="1096" spans="1:6" ht="34.5" customHeight="1">
      <c r="A1096" s="13">
        <v>1093</v>
      </c>
      <c r="B1096" s="14" t="str">
        <f>"60252023122009203634532"</f>
        <v>60252023122009203634532</v>
      </c>
      <c r="C1096" s="15" t="str">
        <f>"王丽"</f>
        <v>王丽</v>
      </c>
      <c r="D1096" s="15" t="str">
        <f t="shared" si="32"/>
        <v>女</v>
      </c>
      <c r="E1096" s="16" t="s">
        <v>32</v>
      </c>
      <c r="F1096" s="13"/>
    </row>
    <row r="1097" spans="1:6" ht="34.5" customHeight="1">
      <c r="A1097" s="13">
        <v>1094</v>
      </c>
      <c r="B1097" s="14" t="str">
        <f>"60252023122511060341971"</f>
        <v>60252023122511060341971</v>
      </c>
      <c r="C1097" s="15" t="str">
        <f>"王桂熳"</f>
        <v>王桂熳</v>
      </c>
      <c r="D1097" s="15" t="str">
        <f t="shared" si="32"/>
        <v>女</v>
      </c>
      <c r="E1097" s="16" t="s">
        <v>602</v>
      </c>
      <c r="F1097" s="13"/>
    </row>
    <row r="1098" spans="1:6" ht="34.5" customHeight="1">
      <c r="A1098" s="13">
        <v>1095</v>
      </c>
      <c r="B1098" s="14" t="str">
        <f>"60252023122511064841974"</f>
        <v>60252023122511064841974</v>
      </c>
      <c r="C1098" s="15" t="str">
        <f>"黄天媛"</f>
        <v>黄天媛</v>
      </c>
      <c r="D1098" s="15" t="str">
        <f t="shared" si="32"/>
        <v>女</v>
      </c>
      <c r="E1098" s="16" t="s">
        <v>206</v>
      </c>
      <c r="F1098" s="13"/>
    </row>
    <row r="1099" spans="1:6" ht="34.5" customHeight="1">
      <c r="A1099" s="13">
        <v>1096</v>
      </c>
      <c r="B1099" s="14" t="str">
        <f>"60252023122512221742148"</f>
        <v>60252023122512221742148</v>
      </c>
      <c r="C1099" s="15" t="str">
        <f>"祁一雪"</f>
        <v>祁一雪</v>
      </c>
      <c r="D1099" s="15" t="str">
        <f t="shared" si="32"/>
        <v>女</v>
      </c>
      <c r="E1099" s="16" t="s">
        <v>14</v>
      </c>
      <c r="F1099" s="13"/>
    </row>
    <row r="1100" spans="1:6" ht="34.5" customHeight="1">
      <c r="A1100" s="13">
        <v>1097</v>
      </c>
      <c r="B1100" s="14" t="str">
        <f>"60252023122515240242502"</f>
        <v>60252023122515240242502</v>
      </c>
      <c r="C1100" s="15" t="str">
        <f>"王业龙"</f>
        <v>王业龙</v>
      </c>
      <c r="D1100" s="15" t="str">
        <f>"男"</f>
        <v>男</v>
      </c>
      <c r="E1100" s="16" t="s">
        <v>410</v>
      </c>
      <c r="F1100" s="13"/>
    </row>
    <row r="1101" spans="1:6" ht="34.5" customHeight="1">
      <c r="A1101" s="13">
        <v>1098</v>
      </c>
      <c r="B1101" s="14" t="str">
        <f>"60252023122212065938196"</f>
        <v>60252023122212065938196</v>
      </c>
      <c r="C1101" s="15" t="str">
        <f>"陈海山"</f>
        <v>陈海山</v>
      </c>
      <c r="D1101" s="15" t="str">
        <f>"男"</f>
        <v>男</v>
      </c>
      <c r="E1101" s="16" t="s">
        <v>84</v>
      </c>
      <c r="F1101" s="13"/>
    </row>
    <row r="1102" spans="1:6" ht="34.5" customHeight="1">
      <c r="A1102" s="13">
        <v>1099</v>
      </c>
      <c r="B1102" s="14" t="str">
        <f>"60252023122510013241758"</f>
        <v>60252023122510013241758</v>
      </c>
      <c r="C1102" s="15" t="str">
        <f>"黄颖"</f>
        <v>黄颖</v>
      </c>
      <c r="D1102" s="15" t="str">
        <f>"女"</f>
        <v>女</v>
      </c>
      <c r="E1102" s="16" t="s">
        <v>192</v>
      </c>
      <c r="F1102" s="13"/>
    </row>
    <row r="1103" spans="1:6" ht="34.5" customHeight="1">
      <c r="A1103" s="13">
        <v>1100</v>
      </c>
      <c r="B1103" s="14" t="str">
        <f>"60252023122521350443126"</f>
        <v>60252023122521350443126</v>
      </c>
      <c r="C1103" s="15" t="str">
        <f>"李兰"</f>
        <v>李兰</v>
      </c>
      <c r="D1103" s="15" t="str">
        <f>"女"</f>
        <v>女</v>
      </c>
      <c r="E1103" s="16" t="s">
        <v>603</v>
      </c>
      <c r="F1103" s="13"/>
    </row>
    <row r="1104" spans="1:6" ht="34.5" customHeight="1">
      <c r="A1104" s="13">
        <v>1101</v>
      </c>
      <c r="B1104" s="14" t="str">
        <f>"60252023122521292643113"</f>
        <v>60252023122521292643113</v>
      </c>
      <c r="C1104" s="15" t="str">
        <f>"许宝尹"</f>
        <v>许宝尹</v>
      </c>
      <c r="D1104" s="15" t="str">
        <f>"女"</f>
        <v>女</v>
      </c>
      <c r="E1104" s="16" t="s">
        <v>357</v>
      </c>
      <c r="F1104" s="13"/>
    </row>
    <row r="1105" spans="1:6" ht="34.5" customHeight="1">
      <c r="A1105" s="13">
        <v>1102</v>
      </c>
      <c r="B1105" s="14" t="str">
        <f>"60252023122011251235331"</f>
        <v>60252023122011251235331</v>
      </c>
      <c r="C1105" s="15" t="str">
        <f>"夏科明"</f>
        <v>夏科明</v>
      </c>
      <c r="D1105" s="15" t="str">
        <f>"男"</f>
        <v>男</v>
      </c>
      <c r="E1105" s="16" t="s">
        <v>379</v>
      </c>
      <c r="F1105" s="13"/>
    </row>
    <row r="1106" spans="1:6" ht="34.5" customHeight="1">
      <c r="A1106" s="13">
        <v>1103</v>
      </c>
      <c r="B1106" s="14" t="str">
        <f>"60252023122522033743172"</f>
        <v>60252023122522033743172</v>
      </c>
      <c r="C1106" s="15" t="str">
        <f>"方婷"</f>
        <v>方婷</v>
      </c>
      <c r="D1106" s="15" t="str">
        <f>"女"</f>
        <v>女</v>
      </c>
      <c r="E1106" s="16" t="s">
        <v>604</v>
      </c>
      <c r="F1106" s="13"/>
    </row>
    <row r="1107" spans="1:6" ht="34.5" customHeight="1">
      <c r="A1107" s="13">
        <v>1104</v>
      </c>
      <c r="B1107" s="14" t="str">
        <f>"60252023122209451538065"</f>
        <v>60252023122209451538065</v>
      </c>
      <c r="C1107" s="15" t="str">
        <f>"杨滢暄"</f>
        <v>杨滢暄</v>
      </c>
      <c r="D1107" s="15" t="str">
        <f>"女"</f>
        <v>女</v>
      </c>
      <c r="E1107" s="16" t="s">
        <v>94</v>
      </c>
      <c r="F1107" s="13"/>
    </row>
    <row r="1108" spans="1:6" ht="34.5" customHeight="1">
      <c r="A1108" s="13">
        <v>1105</v>
      </c>
      <c r="B1108" s="14" t="str">
        <f>"60252023122518355342836"</f>
        <v>60252023122518355342836</v>
      </c>
      <c r="C1108" s="15" t="str">
        <f>"周女"</f>
        <v>周女</v>
      </c>
      <c r="D1108" s="15" t="str">
        <f>"女"</f>
        <v>女</v>
      </c>
      <c r="E1108" s="16" t="s">
        <v>605</v>
      </c>
      <c r="F1108" s="13"/>
    </row>
    <row r="1109" spans="1:6" ht="34.5" customHeight="1">
      <c r="A1109" s="13">
        <v>1106</v>
      </c>
      <c r="B1109" s="14" t="str">
        <f>"60252023122509441341699"</f>
        <v>60252023122509441341699</v>
      </c>
      <c r="C1109" s="15" t="str">
        <f>"王立旭"</f>
        <v>王立旭</v>
      </c>
      <c r="D1109" s="15" t="str">
        <f>"男"</f>
        <v>男</v>
      </c>
      <c r="E1109" s="16" t="s">
        <v>606</v>
      </c>
      <c r="F1109" s="13"/>
    </row>
    <row r="1110" spans="1:6" ht="34.5" customHeight="1">
      <c r="A1110" s="13">
        <v>1107</v>
      </c>
      <c r="B1110" s="14" t="str">
        <f>"60252023122609242643406"</f>
        <v>60252023122609242643406</v>
      </c>
      <c r="C1110" s="15" t="str">
        <f>"付小桃"</f>
        <v>付小桃</v>
      </c>
      <c r="D1110" s="15" t="str">
        <f>"女"</f>
        <v>女</v>
      </c>
      <c r="E1110" s="16" t="s">
        <v>607</v>
      </c>
      <c r="F1110" s="13"/>
    </row>
    <row r="1111" spans="1:6" ht="34.5" customHeight="1">
      <c r="A1111" s="13">
        <v>1108</v>
      </c>
      <c r="B1111" s="14" t="str">
        <f>"60252023122610293643552"</f>
        <v>60252023122610293643552</v>
      </c>
      <c r="C1111" s="15" t="str">
        <f>"符传发"</f>
        <v>符传发</v>
      </c>
      <c r="D1111" s="15" t="str">
        <f>"男"</f>
        <v>男</v>
      </c>
      <c r="E1111" s="16" t="s">
        <v>394</v>
      </c>
      <c r="F1111" s="13"/>
    </row>
    <row r="1112" spans="1:6" ht="34.5" customHeight="1">
      <c r="A1112" s="13">
        <v>1109</v>
      </c>
      <c r="B1112" s="14" t="str">
        <f>"60252023122517350342758"</f>
        <v>60252023122517350342758</v>
      </c>
      <c r="C1112" s="15" t="str">
        <f>"齐小茜"</f>
        <v>齐小茜</v>
      </c>
      <c r="D1112" s="15" t="str">
        <f>"女"</f>
        <v>女</v>
      </c>
      <c r="E1112" s="16" t="s">
        <v>608</v>
      </c>
      <c r="F1112" s="13"/>
    </row>
    <row r="1113" spans="1:6" ht="34.5" customHeight="1">
      <c r="A1113" s="13">
        <v>1110</v>
      </c>
      <c r="B1113" s="14" t="str">
        <f>"60252023122420374441260"</f>
        <v>60252023122420374441260</v>
      </c>
      <c r="C1113" s="15" t="str">
        <f>"曹小娇"</f>
        <v>曹小娇</v>
      </c>
      <c r="D1113" s="15" t="str">
        <f>"女"</f>
        <v>女</v>
      </c>
      <c r="E1113" s="16" t="s">
        <v>609</v>
      </c>
      <c r="F1113" s="13"/>
    </row>
    <row r="1114" spans="1:6" ht="34.5" customHeight="1">
      <c r="A1114" s="13">
        <v>1111</v>
      </c>
      <c r="B1114" s="14" t="str">
        <f>"60252023122613263943875"</f>
        <v>60252023122613263943875</v>
      </c>
      <c r="C1114" s="15" t="str">
        <f>"纪定旭"</f>
        <v>纪定旭</v>
      </c>
      <c r="D1114" s="15" t="str">
        <f>"男"</f>
        <v>男</v>
      </c>
      <c r="E1114" s="16" t="s">
        <v>610</v>
      </c>
      <c r="F1114" s="13"/>
    </row>
    <row r="1115" spans="1:6" ht="34.5" customHeight="1">
      <c r="A1115" s="13">
        <v>1112</v>
      </c>
      <c r="B1115" s="14" t="str">
        <f>"60252023122613351343882"</f>
        <v>60252023122613351343882</v>
      </c>
      <c r="C1115" s="15" t="str">
        <f>"李亚和"</f>
        <v>李亚和</v>
      </c>
      <c r="D1115" s="15" t="str">
        <f>"女"</f>
        <v>女</v>
      </c>
      <c r="E1115" s="16" t="s">
        <v>272</v>
      </c>
      <c r="F1115" s="13"/>
    </row>
    <row r="1116" spans="1:6" ht="34.5" customHeight="1">
      <c r="A1116" s="13">
        <v>1113</v>
      </c>
      <c r="B1116" s="14" t="str">
        <f>"60252023122611143143671"</f>
        <v>60252023122611143143671</v>
      </c>
      <c r="C1116" s="15" t="str">
        <f>"许绩弘"</f>
        <v>许绩弘</v>
      </c>
      <c r="D1116" s="15" t="str">
        <f>"男"</f>
        <v>男</v>
      </c>
      <c r="E1116" s="16" t="s">
        <v>576</v>
      </c>
      <c r="F1116" s="13"/>
    </row>
    <row r="1117" spans="1:6" ht="34.5" customHeight="1">
      <c r="A1117" s="13">
        <v>1114</v>
      </c>
      <c r="B1117" s="14" t="str">
        <f>"60252023122614302343975"</f>
        <v>60252023122614302343975</v>
      </c>
      <c r="C1117" s="15" t="str">
        <f>"谢金丽"</f>
        <v>谢金丽</v>
      </c>
      <c r="D1117" s="15" t="str">
        <f>"女"</f>
        <v>女</v>
      </c>
      <c r="E1117" s="16" t="s">
        <v>34</v>
      </c>
      <c r="F1117" s="13"/>
    </row>
    <row r="1118" spans="1:6" ht="34.5" customHeight="1">
      <c r="A1118" s="13">
        <v>1115</v>
      </c>
      <c r="B1118" s="14" t="str">
        <f>"60252023122615121944051"</f>
        <v>60252023122615121944051</v>
      </c>
      <c r="C1118" s="15" t="str">
        <f>"许鸿荣"</f>
        <v>许鸿荣</v>
      </c>
      <c r="D1118" s="15" t="str">
        <f>"女"</f>
        <v>女</v>
      </c>
      <c r="E1118" s="16" t="s">
        <v>337</v>
      </c>
      <c r="F1118" s="13"/>
    </row>
    <row r="1119" spans="1:6" ht="34.5" customHeight="1">
      <c r="A1119" s="13">
        <v>1116</v>
      </c>
      <c r="B1119" s="14" t="str">
        <f>"60252023122615545644152"</f>
        <v>60252023122615545644152</v>
      </c>
      <c r="C1119" s="15" t="str">
        <f>"李民"</f>
        <v>李民</v>
      </c>
      <c r="D1119" s="15" t="str">
        <f>"男"</f>
        <v>男</v>
      </c>
      <c r="E1119" s="16" t="s">
        <v>81</v>
      </c>
      <c r="F1119" s="13"/>
    </row>
    <row r="1120" spans="1:6" ht="34.5" customHeight="1">
      <c r="A1120" s="13">
        <v>1117</v>
      </c>
      <c r="B1120" s="14" t="str">
        <f>"60252023122616045844167"</f>
        <v>60252023122616045844167</v>
      </c>
      <c r="C1120" s="15" t="str">
        <f>"蔡南虎"</f>
        <v>蔡南虎</v>
      </c>
      <c r="D1120" s="15" t="str">
        <f>"男"</f>
        <v>男</v>
      </c>
      <c r="E1120" s="16" t="s">
        <v>611</v>
      </c>
      <c r="F1120" s="13"/>
    </row>
    <row r="1121" spans="1:6" ht="34.5" customHeight="1">
      <c r="A1121" s="13">
        <v>1118</v>
      </c>
      <c r="B1121" s="14" t="str">
        <f>"60252023122617171444266"</f>
        <v>60252023122617171444266</v>
      </c>
      <c r="C1121" s="15" t="str">
        <f>"冯推秀"</f>
        <v>冯推秀</v>
      </c>
      <c r="D1121" s="15" t="str">
        <f>"男"</f>
        <v>男</v>
      </c>
      <c r="E1121" s="16" t="s">
        <v>612</v>
      </c>
      <c r="F1121" s="13"/>
    </row>
    <row r="1122" spans="1:6" ht="34.5" customHeight="1">
      <c r="A1122" s="13">
        <v>1119</v>
      </c>
      <c r="B1122" s="14" t="str">
        <f>"60252023122616425244226"</f>
        <v>60252023122616425244226</v>
      </c>
      <c r="C1122" s="15" t="str">
        <f>"夏李婧"</f>
        <v>夏李婧</v>
      </c>
      <c r="D1122" s="15" t="str">
        <f aca="true" t="shared" si="33" ref="D1122:D1131">"女"</f>
        <v>女</v>
      </c>
      <c r="E1122" s="16" t="s">
        <v>40</v>
      </c>
      <c r="F1122" s="13"/>
    </row>
    <row r="1123" spans="1:6" ht="34.5" customHeight="1">
      <c r="A1123" s="13">
        <v>1120</v>
      </c>
      <c r="B1123" s="14" t="str">
        <f>"60252023122618343344347"</f>
        <v>60252023122618343344347</v>
      </c>
      <c r="C1123" s="15" t="str">
        <f>"陈彬"</f>
        <v>陈彬</v>
      </c>
      <c r="D1123" s="15" t="str">
        <f t="shared" si="33"/>
        <v>女</v>
      </c>
      <c r="E1123" s="16" t="s">
        <v>86</v>
      </c>
      <c r="F1123" s="13"/>
    </row>
    <row r="1124" spans="1:6" ht="34.5" customHeight="1">
      <c r="A1124" s="13">
        <v>1121</v>
      </c>
      <c r="B1124" s="14" t="str">
        <f>"60252023122412011840823"</f>
        <v>60252023122412011840823</v>
      </c>
      <c r="C1124" s="15" t="str">
        <f>"黄窗窗"</f>
        <v>黄窗窗</v>
      </c>
      <c r="D1124" s="15" t="str">
        <f t="shared" si="33"/>
        <v>女</v>
      </c>
      <c r="E1124" s="16" t="s">
        <v>303</v>
      </c>
      <c r="F1124" s="13"/>
    </row>
    <row r="1125" spans="1:6" ht="34.5" customHeight="1">
      <c r="A1125" s="13">
        <v>1122</v>
      </c>
      <c r="B1125" s="14" t="str">
        <f>"60252023122621044244520"</f>
        <v>60252023122621044244520</v>
      </c>
      <c r="C1125" s="15" t="str">
        <f>"黄发玲"</f>
        <v>黄发玲</v>
      </c>
      <c r="D1125" s="15" t="str">
        <f t="shared" si="33"/>
        <v>女</v>
      </c>
      <c r="E1125" s="16" t="s">
        <v>201</v>
      </c>
      <c r="F1125" s="13"/>
    </row>
    <row r="1126" spans="1:6" ht="34.5" customHeight="1">
      <c r="A1126" s="13">
        <v>1123</v>
      </c>
      <c r="B1126" s="14" t="str">
        <f>"60252023122520281142992"</f>
        <v>60252023122520281142992</v>
      </c>
      <c r="C1126" s="15" t="str">
        <f>"傅丽雯"</f>
        <v>傅丽雯</v>
      </c>
      <c r="D1126" s="15" t="str">
        <f t="shared" si="33"/>
        <v>女</v>
      </c>
      <c r="E1126" s="16" t="s">
        <v>420</v>
      </c>
      <c r="F1126" s="13"/>
    </row>
    <row r="1127" spans="1:6" ht="34.5" customHeight="1">
      <c r="A1127" s="13">
        <v>1124</v>
      </c>
      <c r="B1127" s="14" t="str">
        <f>"60252023122622380444629"</f>
        <v>60252023122622380444629</v>
      </c>
      <c r="C1127" s="15" t="str">
        <f>"李劲"</f>
        <v>李劲</v>
      </c>
      <c r="D1127" s="15" t="str">
        <f t="shared" si="33"/>
        <v>女</v>
      </c>
      <c r="E1127" s="16" t="s">
        <v>135</v>
      </c>
      <c r="F1127" s="13"/>
    </row>
    <row r="1128" spans="1:6" ht="34.5" customHeight="1">
      <c r="A1128" s="13">
        <v>1125</v>
      </c>
      <c r="B1128" s="14" t="str">
        <f>"60252023122623251544664"</f>
        <v>60252023122623251544664</v>
      </c>
      <c r="C1128" s="15" t="str">
        <f>"郭义舅"</f>
        <v>郭义舅</v>
      </c>
      <c r="D1128" s="15" t="str">
        <f t="shared" si="33"/>
        <v>女</v>
      </c>
      <c r="E1128" s="16" t="s">
        <v>613</v>
      </c>
      <c r="F1128" s="13"/>
    </row>
    <row r="1129" spans="1:6" ht="34.5" customHeight="1">
      <c r="A1129" s="13">
        <v>1126</v>
      </c>
      <c r="B1129" s="14" t="str">
        <f>"60252023122708052644715"</f>
        <v>60252023122708052644715</v>
      </c>
      <c r="C1129" s="15" t="str">
        <f>"钟林婷"</f>
        <v>钟林婷</v>
      </c>
      <c r="D1129" s="15" t="str">
        <f t="shared" si="33"/>
        <v>女</v>
      </c>
      <c r="E1129" s="16" t="s">
        <v>196</v>
      </c>
      <c r="F1129" s="13"/>
    </row>
    <row r="1130" spans="1:6" ht="34.5" customHeight="1">
      <c r="A1130" s="13">
        <v>1127</v>
      </c>
      <c r="B1130" s="14" t="str">
        <f>"60252023122708423244744"</f>
        <v>60252023122708423244744</v>
      </c>
      <c r="C1130" s="15" t="str">
        <f>"陈丽婉"</f>
        <v>陈丽婉</v>
      </c>
      <c r="D1130" s="15" t="str">
        <f t="shared" si="33"/>
        <v>女</v>
      </c>
      <c r="E1130" s="16" t="s">
        <v>19</v>
      </c>
      <c r="F1130" s="13"/>
    </row>
    <row r="1131" spans="1:6" ht="34.5" customHeight="1">
      <c r="A1131" s="13">
        <v>1128</v>
      </c>
      <c r="B1131" s="14" t="str">
        <f>"60252023122612052943738"</f>
        <v>60252023122612052943738</v>
      </c>
      <c r="C1131" s="15" t="str">
        <f>"凌月"</f>
        <v>凌月</v>
      </c>
      <c r="D1131" s="15" t="str">
        <f t="shared" si="33"/>
        <v>女</v>
      </c>
      <c r="E1131" s="16" t="s">
        <v>614</v>
      </c>
      <c r="F1131" s="13"/>
    </row>
    <row r="1132" spans="1:6" ht="34.5" customHeight="1">
      <c r="A1132" s="13">
        <v>1129</v>
      </c>
      <c r="B1132" s="14" t="str">
        <f>"60252023122709150844776"</f>
        <v>60252023122709150844776</v>
      </c>
      <c r="C1132" s="15" t="str">
        <f>"周盛群"</f>
        <v>周盛群</v>
      </c>
      <c r="D1132" s="15" t="str">
        <f>"男"</f>
        <v>男</v>
      </c>
      <c r="E1132" s="16" t="s">
        <v>312</v>
      </c>
      <c r="F1132" s="13"/>
    </row>
    <row r="1133" spans="1:6" ht="34.5" customHeight="1">
      <c r="A1133" s="13">
        <v>1130</v>
      </c>
      <c r="B1133" s="14" t="str">
        <f>"60252023122709283544800"</f>
        <v>60252023122709283544800</v>
      </c>
      <c r="C1133" s="15" t="str">
        <f>"陈和景"</f>
        <v>陈和景</v>
      </c>
      <c r="D1133" s="15" t="str">
        <f aca="true" t="shared" si="34" ref="D1133:D1140">"女"</f>
        <v>女</v>
      </c>
      <c r="E1133" s="16" t="s">
        <v>51</v>
      </c>
      <c r="F1133" s="13"/>
    </row>
    <row r="1134" spans="1:6" ht="34.5" customHeight="1">
      <c r="A1134" s="13">
        <v>1131</v>
      </c>
      <c r="B1134" s="14" t="str">
        <f>"60252023122708370344738"</f>
        <v>60252023122708370344738</v>
      </c>
      <c r="C1134" s="15" t="str">
        <f>"李伊"</f>
        <v>李伊</v>
      </c>
      <c r="D1134" s="15" t="str">
        <f t="shared" si="34"/>
        <v>女</v>
      </c>
      <c r="E1134" s="16" t="s">
        <v>460</v>
      </c>
      <c r="F1134" s="13"/>
    </row>
    <row r="1135" spans="1:6" ht="34.5" customHeight="1">
      <c r="A1135" s="13">
        <v>1132</v>
      </c>
      <c r="B1135" s="14" t="str">
        <f>"60252023122709424244821"</f>
        <v>60252023122709424244821</v>
      </c>
      <c r="C1135" s="15" t="str">
        <f>"王纾纳"</f>
        <v>王纾纳</v>
      </c>
      <c r="D1135" s="15" t="str">
        <f t="shared" si="34"/>
        <v>女</v>
      </c>
      <c r="E1135" s="16" t="s">
        <v>21</v>
      </c>
      <c r="F1135" s="13"/>
    </row>
    <row r="1136" spans="1:6" ht="34.5" customHeight="1">
      <c r="A1136" s="13">
        <v>1133</v>
      </c>
      <c r="B1136" s="14" t="str">
        <f>"60252023122710122144861"</f>
        <v>60252023122710122144861</v>
      </c>
      <c r="C1136" s="15" t="str">
        <f>"吉美净"</f>
        <v>吉美净</v>
      </c>
      <c r="D1136" s="15" t="str">
        <f t="shared" si="34"/>
        <v>女</v>
      </c>
      <c r="E1136" s="16" t="s">
        <v>192</v>
      </c>
      <c r="F1136" s="13"/>
    </row>
    <row r="1137" spans="1:6" ht="34.5" customHeight="1">
      <c r="A1137" s="13">
        <v>1134</v>
      </c>
      <c r="B1137" s="14" t="str">
        <f>"60252023122711053944931"</f>
        <v>60252023122711053944931</v>
      </c>
      <c r="C1137" s="15" t="str">
        <f>"文周慧"</f>
        <v>文周慧</v>
      </c>
      <c r="D1137" s="15" t="str">
        <f t="shared" si="34"/>
        <v>女</v>
      </c>
      <c r="E1137" s="16" t="s">
        <v>52</v>
      </c>
      <c r="F1137" s="13"/>
    </row>
    <row r="1138" spans="1:6" ht="34.5" customHeight="1">
      <c r="A1138" s="13">
        <v>1135</v>
      </c>
      <c r="B1138" s="14" t="str">
        <f>"60252023122710573044918"</f>
        <v>60252023122710573044918</v>
      </c>
      <c r="C1138" s="15" t="str">
        <f>"许思思"</f>
        <v>许思思</v>
      </c>
      <c r="D1138" s="15" t="str">
        <f t="shared" si="34"/>
        <v>女</v>
      </c>
      <c r="E1138" s="16" t="s">
        <v>165</v>
      </c>
      <c r="F1138" s="13"/>
    </row>
    <row r="1139" spans="1:6" ht="34.5" customHeight="1">
      <c r="A1139" s="13">
        <v>1136</v>
      </c>
      <c r="B1139" s="14" t="str">
        <f>"60252023122611523343721"</f>
        <v>60252023122611523343721</v>
      </c>
      <c r="C1139" s="15" t="str">
        <f>"王海燕"</f>
        <v>王海燕</v>
      </c>
      <c r="D1139" s="15" t="str">
        <f t="shared" si="34"/>
        <v>女</v>
      </c>
      <c r="E1139" s="16" t="s">
        <v>615</v>
      </c>
      <c r="F1139" s="13"/>
    </row>
    <row r="1140" spans="1:6" ht="34.5" customHeight="1">
      <c r="A1140" s="13">
        <v>1137</v>
      </c>
      <c r="B1140" s="14" t="str">
        <f>"60252023122711143844942"</f>
        <v>60252023122711143844942</v>
      </c>
      <c r="C1140" s="15" t="str">
        <f>"黄菲菲"</f>
        <v>黄菲菲</v>
      </c>
      <c r="D1140" s="15" t="str">
        <f t="shared" si="34"/>
        <v>女</v>
      </c>
      <c r="E1140" s="16" t="s">
        <v>616</v>
      </c>
      <c r="F1140" s="13"/>
    </row>
    <row r="1141" spans="1:6" ht="34.5" customHeight="1">
      <c r="A1141" s="13">
        <v>1138</v>
      </c>
      <c r="B1141" s="14" t="str">
        <f>"60252023121809044424206"</f>
        <v>60252023121809044424206</v>
      </c>
      <c r="C1141" s="15" t="str">
        <f>"卢鑫杰"</f>
        <v>卢鑫杰</v>
      </c>
      <c r="D1141" s="15" t="str">
        <f aca="true" t="shared" si="35" ref="D1141:D1148">"男"</f>
        <v>男</v>
      </c>
      <c r="E1141" s="16" t="s">
        <v>394</v>
      </c>
      <c r="F1141" s="13"/>
    </row>
    <row r="1142" spans="1:6" ht="34.5" customHeight="1">
      <c r="A1142" s="13">
        <v>1139</v>
      </c>
      <c r="B1142" s="14" t="str">
        <f>"60252023121810235125165"</f>
        <v>60252023121810235125165</v>
      </c>
      <c r="C1142" s="15" t="str">
        <f>"罗家勤"</f>
        <v>罗家勤</v>
      </c>
      <c r="D1142" s="15" t="str">
        <f t="shared" si="35"/>
        <v>男</v>
      </c>
      <c r="E1142" s="16" t="s">
        <v>367</v>
      </c>
      <c r="F1142" s="13"/>
    </row>
    <row r="1143" spans="1:6" ht="34.5" customHeight="1">
      <c r="A1143" s="13">
        <v>1140</v>
      </c>
      <c r="B1143" s="14" t="str">
        <f>"60252023121810264025202"</f>
        <v>60252023121810264025202</v>
      </c>
      <c r="C1143" s="15" t="str">
        <f>"陈太鹏"</f>
        <v>陈太鹏</v>
      </c>
      <c r="D1143" s="15" t="str">
        <f t="shared" si="35"/>
        <v>男</v>
      </c>
      <c r="E1143" s="16" t="s">
        <v>617</v>
      </c>
      <c r="F1143" s="13"/>
    </row>
    <row r="1144" spans="1:6" ht="34.5" customHeight="1">
      <c r="A1144" s="13">
        <v>1141</v>
      </c>
      <c r="B1144" s="14" t="str">
        <f>"60252023121812464326272"</f>
        <v>60252023121812464326272</v>
      </c>
      <c r="C1144" s="15" t="str">
        <f>"王林彬"</f>
        <v>王林彬</v>
      </c>
      <c r="D1144" s="15" t="str">
        <f t="shared" si="35"/>
        <v>男</v>
      </c>
      <c r="E1144" s="16" t="s">
        <v>394</v>
      </c>
      <c r="F1144" s="13"/>
    </row>
    <row r="1145" spans="1:6" ht="34.5" customHeight="1">
      <c r="A1145" s="13">
        <v>1142</v>
      </c>
      <c r="B1145" s="14" t="str">
        <f>"60252023121813253026455"</f>
        <v>60252023121813253026455</v>
      </c>
      <c r="C1145" s="15" t="str">
        <f>"张东豪"</f>
        <v>张东豪</v>
      </c>
      <c r="D1145" s="15" t="str">
        <f t="shared" si="35"/>
        <v>男</v>
      </c>
      <c r="E1145" s="16" t="s">
        <v>394</v>
      </c>
      <c r="F1145" s="13"/>
    </row>
    <row r="1146" spans="1:6" ht="34.5" customHeight="1">
      <c r="A1146" s="13">
        <v>1143</v>
      </c>
      <c r="B1146" s="14" t="str">
        <f>"60252023121814275826773"</f>
        <v>60252023121814275826773</v>
      </c>
      <c r="C1146" s="15" t="str">
        <f>"钟学平"</f>
        <v>钟学平</v>
      </c>
      <c r="D1146" s="15" t="str">
        <f t="shared" si="35"/>
        <v>男</v>
      </c>
      <c r="E1146" s="16" t="s">
        <v>453</v>
      </c>
      <c r="F1146" s="13"/>
    </row>
    <row r="1147" spans="1:6" ht="34.5" customHeight="1">
      <c r="A1147" s="13">
        <v>1144</v>
      </c>
      <c r="B1147" s="14" t="str">
        <f>"60252023121813553526589"</f>
        <v>60252023121813553526589</v>
      </c>
      <c r="C1147" s="15" t="str">
        <f>"袁若宸"</f>
        <v>袁若宸</v>
      </c>
      <c r="D1147" s="15" t="str">
        <f t="shared" si="35"/>
        <v>男</v>
      </c>
      <c r="E1147" s="16" t="s">
        <v>618</v>
      </c>
      <c r="F1147" s="13"/>
    </row>
    <row r="1148" spans="1:6" ht="34.5" customHeight="1">
      <c r="A1148" s="13">
        <v>1145</v>
      </c>
      <c r="B1148" s="14" t="str">
        <f>"60252023121819570828581"</f>
        <v>60252023121819570828581</v>
      </c>
      <c r="C1148" s="15" t="str">
        <f>"高僖"</f>
        <v>高僖</v>
      </c>
      <c r="D1148" s="15" t="str">
        <f t="shared" si="35"/>
        <v>男</v>
      </c>
      <c r="E1148" s="16" t="s">
        <v>619</v>
      </c>
      <c r="F1148" s="13"/>
    </row>
    <row r="1149" spans="1:6" ht="34.5" customHeight="1">
      <c r="A1149" s="13">
        <v>1146</v>
      </c>
      <c r="B1149" s="14" t="str">
        <f>"60252023121820313128732"</f>
        <v>60252023121820313128732</v>
      </c>
      <c r="C1149" s="15" t="str">
        <f>"曾盈盈"</f>
        <v>曾盈盈</v>
      </c>
      <c r="D1149" s="15" t="str">
        <f>"女"</f>
        <v>女</v>
      </c>
      <c r="E1149" s="16" t="s">
        <v>334</v>
      </c>
      <c r="F1149" s="13"/>
    </row>
    <row r="1150" spans="1:6" ht="34.5" customHeight="1">
      <c r="A1150" s="13">
        <v>1147</v>
      </c>
      <c r="B1150" s="14" t="str">
        <f>"60252023121820372528755"</f>
        <v>60252023121820372528755</v>
      </c>
      <c r="C1150" s="15" t="str">
        <f>"邓丽筠"</f>
        <v>邓丽筠</v>
      </c>
      <c r="D1150" s="15" t="str">
        <f>"女"</f>
        <v>女</v>
      </c>
      <c r="E1150" s="16" t="s">
        <v>108</v>
      </c>
      <c r="F1150" s="13"/>
    </row>
    <row r="1151" spans="1:6" ht="34.5" customHeight="1">
      <c r="A1151" s="13">
        <v>1148</v>
      </c>
      <c r="B1151" s="14" t="str">
        <f>"60252023121822513529300"</f>
        <v>60252023121822513529300</v>
      </c>
      <c r="C1151" s="15" t="str">
        <f>"徐能增"</f>
        <v>徐能增</v>
      </c>
      <c r="D1151" s="15" t="str">
        <f aca="true" t="shared" si="36" ref="D1151:D1166">"男"</f>
        <v>男</v>
      </c>
      <c r="E1151" s="16" t="s">
        <v>620</v>
      </c>
      <c r="F1151" s="13"/>
    </row>
    <row r="1152" spans="1:6" ht="34.5" customHeight="1">
      <c r="A1152" s="13">
        <v>1149</v>
      </c>
      <c r="B1152" s="14" t="str">
        <f>"60252023121821292328990"</f>
        <v>60252023121821292328990</v>
      </c>
      <c r="C1152" s="15" t="str">
        <f>"陈俊宏"</f>
        <v>陈俊宏</v>
      </c>
      <c r="D1152" s="15" t="str">
        <f t="shared" si="36"/>
        <v>男</v>
      </c>
      <c r="E1152" s="16" t="s">
        <v>384</v>
      </c>
      <c r="F1152" s="13"/>
    </row>
    <row r="1153" spans="1:6" ht="34.5" customHeight="1">
      <c r="A1153" s="13">
        <v>1150</v>
      </c>
      <c r="B1153" s="14" t="str">
        <f>"60252023121815483327407"</f>
        <v>60252023121815483327407</v>
      </c>
      <c r="C1153" s="15" t="str">
        <f>"刘奥"</f>
        <v>刘奥</v>
      </c>
      <c r="D1153" s="15" t="str">
        <f t="shared" si="36"/>
        <v>男</v>
      </c>
      <c r="E1153" s="16" t="s">
        <v>621</v>
      </c>
      <c r="F1153" s="13"/>
    </row>
    <row r="1154" spans="1:6" ht="34.5" customHeight="1">
      <c r="A1154" s="13">
        <v>1151</v>
      </c>
      <c r="B1154" s="14" t="str">
        <f>"60252023121909525530079"</f>
        <v>60252023121909525530079</v>
      </c>
      <c r="C1154" s="15" t="str">
        <f>"温盛亮"</f>
        <v>温盛亮</v>
      </c>
      <c r="D1154" s="15" t="str">
        <f t="shared" si="36"/>
        <v>男</v>
      </c>
      <c r="E1154" s="16" t="s">
        <v>622</v>
      </c>
      <c r="F1154" s="13"/>
    </row>
    <row r="1155" spans="1:6" ht="34.5" customHeight="1">
      <c r="A1155" s="13">
        <v>1152</v>
      </c>
      <c r="B1155" s="14" t="str">
        <f>"60252023121916393131909"</f>
        <v>60252023121916393131909</v>
      </c>
      <c r="C1155" s="15" t="str">
        <f>"李成杰"</f>
        <v>李成杰</v>
      </c>
      <c r="D1155" s="15" t="str">
        <f t="shared" si="36"/>
        <v>男</v>
      </c>
      <c r="E1155" s="16" t="s">
        <v>554</v>
      </c>
      <c r="F1155" s="13"/>
    </row>
    <row r="1156" spans="1:6" ht="34.5" customHeight="1">
      <c r="A1156" s="13">
        <v>1153</v>
      </c>
      <c r="B1156" s="14" t="str">
        <f>"60252023121918480732492"</f>
        <v>60252023121918480732492</v>
      </c>
      <c r="C1156" s="15" t="str">
        <f>"王菲超"</f>
        <v>王菲超</v>
      </c>
      <c r="D1156" s="15" t="str">
        <f t="shared" si="36"/>
        <v>男</v>
      </c>
      <c r="E1156" s="16" t="s">
        <v>90</v>
      </c>
      <c r="F1156" s="13"/>
    </row>
    <row r="1157" spans="1:6" ht="34.5" customHeight="1">
      <c r="A1157" s="13">
        <v>1154</v>
      </c>
      <c r="B1157" s="14" t="str">
        <f>"60252023121919500432751"</f>
        <v>60252023121919500432751</v>
      </c>
      <c r="C1157" s="15" t="str">
        <f>"徐瑞余"</f>
        <v>徐瑞余</v>
      </c>
      <c r="D1157" s="15" t="str">
        <f t="shared" si="36"/>
        <v>男</v>
      </c>
      <c r="E1157" s="16" t="s">
        <v>623</v>
      </c>
      <c r="F1157" s="13"/>
    </row>
    <row r="1158" spans="1:6" ht="34.5" customHeight="1">
      <c r="A1158" s="13">
        <v>1155</v>
      </c>
      <c r="B1158" s="14" t="str">
        <f>"60252023122001404234078"</f>
        <v>60252023122001404234078</v>
      </c>
      <c r="C1158" s="15" t="str">
        <f>"赵志文"</f>
        <v>赵志文</v>
      </c>
      <c r="D1158" s="15" t="str">
        <f t="shared" si="36"/>
        <v>男</v>
      </c>
      <c r="E1158" s="16" t="s">
        <v>624</v>
      </c>
      <c r="F1158" s="13"/>
    </row>
    <row r="1159" spans="1:6" ht="34.5" customHeight="1">
      <c r="A1159" s="13">
        <v>1156</v>
      </c>
      <c r="B1159" s="14" t="str">
        <f>"60252023122012375735739"</f>
        <v>60252023122012375735739</v>
      </c>
      <c r="C1159" s="15" t="str">
        <f>"夏高龙"</f>
        <v>夏高龙</v>
      </c>
      <c r="D1159" s="15" t="str">
        <f t="shared" si="36"/>
        <v>男</v>
      </c>
      <c r="E1159" s="16" t="s">
        <v>66</v>
      </c>
      <c r="F1159" s="13"/>
    </row>
    <row r="1160" spans="1:6" ht="34.5" customHeight="1">
      <c r="A1160" s="13">
        <v>1157</v>
      </c>
      <c r="B1160" s="14" t="str">
        <f>"60252023121811350325879"</f>
        <v>60252023121811350325879</v>
      </c>
      <c r="C1160" s="15" t="str">
        <f>"王伦"</f>
        <v>王伦</v>
      </c>
      <c r="D1160" s="15" t="str">
        <f t="shared" si="36"/>
        <v>男</v>
      </c>
      <c r="E1160" s="16" t="s">
        <v>384</v>
      </c>
      <c r="F1160" s="13"/>
    </row>
    <row r="1161" spans="1:6" ht="34.5" customHeight="1">
      <c r="A1161" s="13">
        <v>1158</v>
      </c>
      <c r="B1161" s="14" t="str">
        <f>"60252023122014274536386"</f>
        <v>60252023122014274536386</v>
      </c>
      <c r="C1161" s="15" t="str">
        <f>"王泰健"</f>
        <v>王泰健</v>
      </c>
      <c r="D1161" s="15" t="str">
        <f t="shared" si="36"/>
        <v>男</v>
      </c>
      <c r="E1161" s="16" t="s">
        <v>625</v>
      </c>
      <c r="F1161" s="13"/>
    </row>
    <row r="1162" spans="1:6" ht="34.5" customHeight="1">
      <c r="A1162" s="13">
        <v>1159</v>
      </c>
      <c r="B1162" s="14" t="str">
        <f>"60252023121819172428410"</f>
        <v>60252023121819172428410</v>
      </c>
      <c r="C1162" s="15" t="str">
        <f>"张栩闻"</f>
        <v>张栩闻</v>
      </c>
      <c r="D1162" s="15" t="str">
        <f t="shared" si="36"/>
        <v>男</v>
      </c>
      <c r="E1162" s="16" t="s">
        <v>626</v>
      </c>
      <c r="F1162" s="13"/>
    </row>
    <row r="1163" spans="1:6" ht="34.5" customHeight="1">
      <c r="A1163" s="13">
        <v>1160</v>
      </c>
      <c r="B1163" s="14" t="str">
        <f>"60252023122017564337287"</f>
        <v>60252023122017564337287</v>
      </c>
      <c r="C1163" s="15" t="str">
        <f>"李培峰"</f>
        <v>李培峰</v>
      </c>
      <c r="D1163" s="15" t="str">
        <f t="shared" si="36"/>
        <v>男</v>
      </c>
      <c r="E1163" s="16" t="s">
        <v>627</v>
      </c>
      <c r="F1163" s="13"/>
    </row>
    <row r="1164" spans="1:6" ht="34.5" customHeight="1">
      <c r="A1164" s="13">
        <v>1161</v>
      </c>
      <c r="B1164" s="14" t="str">
        <f>"60252023121817271528022"</f>
        <v>60252023121817271528022</v>
      </c>
      <c r="C1164" s="15" t="str">
        <f>"郑东俊"</f>
        <v>郑东俊</v>
      </c>
      <c r="D1164" s="15" t="str">
        <f t="shared" si="36"/>
        <v>男</v>
      </c>
      <c r="E1164" s="16" t="s">
        <v>81</v>
      </c>
      <c r="F1164" s="13"/>
    </row>
    <row r="1165" spans="1:6" ht="34.5" customHeight="1">
      <c r="A1165" s="13">
        <v>1162</v>
      </c>
      <c r="B1165" s="14" t="str">
        <f>"60252023121923533533961"</f>
        <v>60252023121923533533961</v>
      </c>
      <c r="C1165" s="15" t="str">
        <f>"李强"</f>
        <v>李强</v>
      </c>
      <c r="D1165" s="15" t="str">
        <f t="shared" si="36"/>
        <v>男</v>
      </c>
      <c r="E1165" s="16" t="s">
        <v>16</v>
      </c>
      <c r="F1165" s="13"/>
    </row>
    <row r="1166" spans="1:6" ht="34.5" customHeight="1">
      <c r="A1166" s="13">
        <v>1163</v>
      </c>
      <c r="B1166" s="14" t="str">
        <f>"60252023122116594537840"</f>
        <v>60252023122116594537840</v>
      </c>
      <c r="C1166" s="15" t="str">
        <f>"王章钧"</f>
        <v>王章钧</v>
      </c>
      <c r="D1166" s="15" t="str">
        <f t="shared" si="36"/>
        <v>男</v>
      </c>
      <c r="E1166" s="16" t="s">
        <v>380</v>
      </c>
      <c r="F1166" s="13"/>
    </row>
    <row r="1167" spans="1:6" ht="34.5" customHeight="1">
      <c r="A1167" s="13">
        <v>1164</v>
      </c>
      <c r="B1167" s="14" t="str">
        <f>"60252023121810393125324"</f>
        <v>60252023121810393125324</v>
      </c>
      <c r="C1167" s="15" t="str">
        <f>"谢贤焰"</f>
        <v>谢贤焰</v>
      </c>
      <c r="D1167" s="15" t="str">
        <f>"女"</f>
        <v>女</v>
      </c>
      <c r="E1167" s="16" t="s">
        <v>628</v>
      </c>
      <c r="F1167" s="13"/>
    </row>
    <row r="1168" spans="1:6" ht="34.5" customHeight="1">
      <c r="A1168" s="13">
        <v>1165</v>
      </c>
      <c r="B1168" s="14" t="str">
        <f>"60252023122120574737952"</f>
        <v>60252023122120574737952</v>
      </c>
      <c r="C1168" s="15" t="str">
        <f>"廖宝通"</f>
        <v>廖宝通</v>
      </c>
      <c r="D1168" s="15" t="str">
        <f>"男"</f>
        <v>男</v>
      </c>
      <c r="E1168" s="16" t="s">
        <v>391</v>
      </c>
      <c r="F1168" s="13"/>
    </row>
    <row r="1169" spans="1:6" ht="34.5" customHeight="1">
      <c r="A1169" s="13">
        <v>1166</v>
      </c>
      <c r="B1169" s="14" t="str">
        <f>"60252023122112252137662"</f>
        <v>60252023122112252137662</v>
      </c>
      <c r="C1169" s="15" t="str">
        <f>"梁蕙萍"</f>
        <v>梁蕙萍</v>
      </c>
      <c r="D1169" s="15" t="str">
        <f>"女"</f>
        <v>女</v>
      </c>
      <c r="E1169" s="16" t="s">
        <v>308</v>
      </c>
      <c r="F1169" s="13"/>
    </row>
    <row r="1170" spans="1:6" ht="34.5" customHeight="1">
      <c r="A1170" s="13">
        <v>1167</v>
      </c>
      <c r="B1170" s="14" t="str">
        <f>"60252023122313511639748"</f>
        <v>60252023122313511639748</v>
      </c>
      <c r="C1170" s="15" t="str">
        <f>"吉丽慧"</f>
        <v>吉丽慧</v>
      </c>
      <c r="D1170" s="15" t="str">
        <f>"女"</f>
        <v>女</v>
      </c>
      <c r="E1170" s="16" t="s">
        <v>556</v>
      </c>
      <c r="F1170" s="13"/>
    </row>
    <row r="1171" spans="1:6" ht="34.5" customHeight="1">
      <c r="A1171" s="13">
        <v>1168</v>
      </c>
      <c r="B1171" s="14" t="str">
        <f>"60252023122316023139963"</f>
        <v>60252023122316023139963</v>
      </c>
      <c r="C1171" s="15" t="str">
        <f>"杨向佳"</f>
        <v>杨向佳</v>
      </c>
      <c r="D1171" s="15" t="str">
        <f>"男"</f>
        <v>男</v>
      </c>
      <c r="E1171" s="16" t="s">
        <v>629</v>
      </c>
      <c r="F1171" s="13"/>
    </row>
    <row r="1172" spans="1:6" ht="34.5" customHeight="1">
      <c r="A1172" s="13">
        <v>1169</v>
      </c>
      <c r="B1172" s="14" t="str">
        <f>"60252023122316460740039"</f>
        <v>60252023122316460740039</v>
      </c>
      <c r="C1172" s="15" t="str">
        <f>"钟慧"</f>
        <v>钟慧</v>
      </c>
      <c r="D1172" s="15" t="str">
        <f>"女"</f>
        <v>女</v>
      </c>
      <c r="E1172" s="16" t="s">
        <v>425</v>
      </c>
      <c r="F1172" s="13"/>
    </row>
    <row r="1173" spans="1:6" ht="34.5" customHeight="1">
      <c r="A1173" s="13">
        <v>1170</v>
      </c>
      <c r="B1173" s="14" t="str">
        <f>"60252023122317311040101"</f>
        <v>60252023122317311040101</v>
      </c>
      <c r="C1173" s="15" t="str">
        <f>"陈南姑"</f>
        <v>陈南姑</v>
      </c>
      <c r="D1173" s="15" t="str">
        <f>"女"</f>
        <v>女</v>
      </c>
      <c r="E1173" s="16" t="s">
        <v>64</v>
      </c>
      <c r="F1173" s="13"/>
    </row>
    <row r="1174" spans="1:6" ht="34.5" customHeight="1">
      <c r="A1174" s="13">
        <v>1171</v>
      </c>
      <c r="B1174" s="14" t="str">
        <f>"60252023122322165440536"</f>
        <v>60252023122322165440536</v>
      </c>
      <c r="C1174" s="15" t="str">
        <f>"罗毅"</f>
        <v>罗毅</v>
      </c>
      <c r="D1174" s="15" t="str">
        <f>"男"</f>
        <v>男</v>
      </c>
      <c r="E1174" s="16" t="s">
        <v>455</v>
      </c>
      <c r="F1174" s="13"/>
    </row>
    <row r="1175" spans="1:6" ht="34.5" customHeight="1">
      <c r="A1175" s="13">
        <v>1172</v>
      </c>
      <c r="B1175" s="14" t="str">
        <f>"60252023121818355428253"</f>
        <v>60252023121818355428253</v>
      </c>
      <c r="C1175" s="15" t="str">
        <f>"黄谟钊"</f>
        <v>黄谟钊</v>
      </c>
      <c r="D1175" s="15" t="str">
        <f>"男"</f>
        <v>男</v>
      </c>
      <c r="E1175" s="16" t="s">
        <v>286</v>
      </c>
      <c r="F1175" s="13"/>
    </row>
    <row r="1176" spans="1:6" ht="34.5" customHeight="1">
      <c r="A1176" s="13">
        <v>1173</v>
      </c>
      <c r="B1176" s="14" t="str">
        <f>"60252023122412393440856"</f>
        <v>60252023122412393440856</v>
      </c>
      <c r="C1176" s="15" t="str">
        <f>"邓兆华"</f>
        <v>邓兆华</v>
      </c>
      <c r="D1176" s="15" t="str">
        <f>"男"</f>
        <v>男</v>
      </c>
      <c r="E1176" s="16" t="s">
        <v>371</v>
      </c>
      <c r="F1176" s="13"/>
    </row>
    <row r="1177" spans="1:6" ht="34.5" customHeight="1">
      <c r="A1177" s="13">
        <v>1174</v>
      </c>
      <c r="B1177" s="14" t="str">
        <f>"60252023122322353940553"</f>
        <v>60252023122322353940553</v>
      </c>
      <c r="C1177" s="15" t="str">
        <f>"关恩恩"</f>
        <v>关恩恩</v>
      </c>
      <c r="D1177" s="15" t="str">
        <f>"女"</f>
        <v>女</v>
      </c>
      <c r="E1177" s="16" t="s">
        <v>197</v>
      </c>
      <c r="F1177" s="13"/>
    </row>
    <row r="1178" spans="1:6" ht="34.5" customHeight="1">
      <c r="A1178" s="13">
        <v>1175</v>
      </c>
      <c r="B1178" s="14" t="str">
        <f>"60252023122122100737975"</f>
        <v>60252023122122100737975</v>
      </c>
      <c r="C1178" s="15" t="str">
        <f>"李源源"</f>
        <v>李源源</v>
      </c>
      <c r="D1178" s="15" t="str">
        <f>"女"</f>
        <v>女</v>
      </c>
      <c r="E1178" s="16" t="s">
        <v>197</v>
      </c>
      <c r="F1178" s="13"/>
    </row>
    <row r="1179" spans="1:6" ht="34.5" customHeight="1">
      <c r="A1179" s="13">
        <v>1176</v>
      </c>
      <c r="B1179" s="14" t="str">
        <f>"60252023122420393941264"</f>
        <v>60252023122420393941264</v>
      </c>
      <c r="C1179" s="15" t="str">
        <f>"李小艳"</f>
        <v>李小艳</v>
      </c>
      <c r="D1179" s="15" t="str">
        <f>"女"</f>
        <v>女</v>
      </c>
      <c r="E1179" s="16" t="s">
        <v>159</v>
      </c>
      <c r="F1179" s="13"/>
    </row>
    <row r="1180" spans="1:6" ht="34.5" customHeight="1">
      <c r="A1180" s="13">
        <v>1177</v>
      </c>
      <c r="B1180" s="14" t="str">
        <f>"60252023122216063738345"</f>
        <v>60252023122216063738345</v>
      </c>
      <c r="C1180" s="15" t="str">
        <f>"曾琦智"</f>
        <v>曾琦智</v>
      </c>
      <c r="D1180" s="15" t="str">
        <f>"男"</f>
        <v>男</v>
      </c>
      <c r="E1180" s="16" t="s">
        <v>218</v>
      </c>
      <c r="F1180" s="13"/>
    </row>
    <row r="1181" spans="1:6" ht="34.5" customHeight="1">
      <c r="A1181" s="13">
        <v>1178</v>
      </c>
      <c r="B1181" s="14" t="str">
        <f>"60252023122415173941003"</f>
        <v>60252023122415173941003</v>
      </c>
      <c r="C1181" s="15" t="str">
        <f>"文利伟"</f>
        <v>文利伟</v>
      </c>
      <c r="D1181" s="15" t="str">
        <f>"男"</f>
        <v>男</v>
      </c>
      <c r="E1181" s="16" t="s">
        <v>630</v>
      </c>
      <c r="F1181" s="13"/>
    </row>
    <row r="1182" spans="1:6" ht="34.5" customHeight="1">
      <c r="A1182" s="13">
        <v>1179</v>
      </c>
      <c r="B1182" s="14" t="str">
        <f>"60252023122515564142575"</f>
        <v>60252023122515564142575</v>
      </c>
      <c r="C1182" s="15" t="str">
        <f>"何发豪"</f>
        <v>何发豪</v>
      </c>
      <c r="D1182" s="15" t="str">
        <f>"男"</f>
        <v>男</v>
      </c>
      <c r="E1182" s="16" t="s">
        <v>297</v>
      </c>
      <c r="F1182" s="13"/>
    </row>
    <row r="1183" spans="1:6" ht="34.5" customHeight="1">
      <c r="A1183" s="13">
        <v>1180</v>
      </c>
      <c r="B1183" s="14" t="str">
        <f>"60252023122518242242828"</f>
        <v>60252023122518242242828</v>
      </c>
      <c r="C1183" s="15" t="str">
        <f>"王利莉"</f>
        <v>王利莉</v>
      </c>
      <c r="D1183" s="15" t="str">
        <f>"女"</f>
        <v>女</v>
      </c>
      <c r="E1183" s="16" t="s">
        <v>631</v>
      </c>
      <c r="F1183" s="13"/>
    </row>
    <row r="1184" spans="1:6" ht="34.5" customHeight="1">
      <c r="A1184" s="13">
        <v>1181</v>
      </c>
      <c r="B1184" s="14" t="str">
        <f>"60252023122518380942840"</f>
        <v>60252023122518380942840</v>
      </c>
      <c r="C1184" s="15" t="str">
        <f>"黄飞虎"</f>
        <v>黄飞虎</v>
      </c>
      <c r="D1184" s="15" t="str">
        <f aca="true" t="shared" si="37" ref="D1184:D1192">"男"</f>
        <v>男</v>
      </c>
      <c r="E1184" s="16" t="s">
        <v>430</v>
      </c>
      <c r="F1184" s="13"/>
    </row>
    <row r="1185" spans="1:6" ht="34.5" customHeight="1">
      <c r="A1185" s="13">
        <v>1182</v>
      </c>
      <c r="B1185" s="14" t="str">
        <f>"60252023122600062543285"</f>
        <v>60252023122600062543285</v>
      </c>
      <c r="C1185" s="15" t="str">
        <f>"刘嘉乐"</f>
        <v>刘嘉乐</v>
      </c>
      <c r="D1185" s="15" t="str">
        <f t="shared" si="37"/>
        <v>男</v>
      </c>
      <c r="E1185" s="16" t="s">
        <v>110</v>
      </c>
      <c r="F1185" s="13"/>
    </row>
    <row r="1186" spans="1:6" ht="34.5" customHeight="1">
      <c r="A1186" s="13">
        <v>1183</v>
      </c>
      <c r="B1186" s="14" t="str">
        <f>"60252023122610565443622"</f>
        <v>60252023122610565443622</v>
      </c>
      <c r="C1186" s="15" t="str">
        <f>"吴小振"</f>
        <v>吴小振</v>
      </c>
      <c r="D1186" s="15" t="str">
        <f t="shared" si="37"/>
        <v>男</v>
      </c>
      <c r="E1186" s="16" t="s">
        <v>632</v>
      </c>
      <c r="F1186" s="13"/>
    </row>
    <row r="1187" spans="1:6" ht="34.5" customHeight="1">
      <c r="A1187" s="13">
        <v>1184</v>
      </c>
      <c r="B1187" s="14" t="str">
        <f>"60252023122610500643606"</f>
        <v>60252023122610500643606</v>
      </c>
      <c r="C1187" s="15" t="str">
        <f>"高辉杰"</f>
        <v>高辉杰</v>
      </c>
      <c r="D1187" s="15" t="str">
        <f t="shared" si="37"/>
        <v>男</v>
      </c>
      <c r="E1187" s="16" t="s">
        <v>633</v>
      </c>
      <c r="F1187" s="13"/>
    </row>
    <row r="1188" spans="1:6" ht="34.5" customHeight="1">
      <c r="A1188" s="13">
        <v>1185</v>
      </c>
      <c r="B1188" s="14" t="str">
        <f>"60252023122615213544075"</f>
        <v>60252023122615213544075</v>
      </c>
      <c r="C1188" s="15" t="str">
        <f>"卞在成"</f>
        <v>卞在成</v>
      </c>
      <c r="D1188" s="15" t="str">
        <f t="shared" si="37"/>
        <v>男</v>
      </c>
      <c r="E1188" s="16" t="s">
        <v>634</v>
      </c>
      <c r="F1188" s="13"/>
    </row>
    <row r="1189" spans="1:6" ht="34.5" customHeight="1">
      <c r="A1189" s="13">
        <v>1186</v>
      </c>
      <c r="B1189" s="14" t="str">
        <f>"60252023122212135238203"</f>
        <v>60252023122212135238203</v>
      </c>
      <c r="C1189" s="15" t="str">
        <f>"杨世业"</f>
        <v>杨世业</v>
      </c>
      <c r="D1189" s="15" t="str">
        <f t="shared" si="37"/>
        <v>男</v>
      </c>
      <c r="E1189" s="16" t="s">
        <v>635</v>
      </c>
      <c r="F1189" s="13"/>
    </row>
    <row r="1190" spans="1:6" ht="34.5" customHeight="1">
      <c r="A1190" s="13">
        <v>1187</v>
      </c>
      <c r="B1190" s="14" t="str">
        <f>"60252023122617095344260"</f>
        <v>60252023122617095344260</v>
      </c>
      <c r="C1190" s="15" t="str">
        <f>"张云飞"</f>
        <v>张云飞</v>
      </c>
      <c r="D1190" s="15" t="str">
        <f t="shared" si="37"/>
        <v>男</v>
      </c>
      <c r="E1190" s="16" t="s">
        <v>636</v>
      </c>
      <c r="F1190" s="13"/>
    </row>
    <row r="1191" spans="1:6" ht="34.5" customHeight="1">
      <c r="A1191" s="13">
        <v>1188</v>
      </c>
      <c r="B1191" s="14" t="str">
        <f>"60252023122618410144350"</f>
        <v>60252023122618410144350</v>
      </c>
      <c r="C1191" s="15" t="str">
        <f>"陈水武"</f>
        <v>陈水武</v>
      </c>
      <c r="D1191" s="15" t="str">
        <f t="shared" si="37"/>
        <v>男</v>
      </c>
      <c r="E1191" s="16" t="s">
        <v>637</v>
      </c>
      <c r="F1191" s="13"/>
    </row>
    <row r="1192" spans="1:6" ht="34.5" customHeight="1">
      <c r="A1192" s="13">
        <v>1189</v>
      </c>
      <c r="B1192" s="14" t="str">
        <f>"60252023122618354644348"</f>
        <v>60252023122618354644348</v>
      </c>
      <c r="C1192" s="15" t="str">
        <f>"叶家辉"</f>
        <v>叶家辉</v>
      </c>
      <c r="D1192" s="15" t="str">
        <f t="shared" si="37"/>
        <v>男</v>
      </c>
      <c r="E1192" s="16" t="s">
        <v>359</v>
      </c>
      <c r="F1192" s="13"/>
    </row>
    <row r="1193" spans="1:6" ht="34.5" customHeight="1">
      <c r="A1193" s="13">
        <v>1190</v>
      </c>
      <c r="B1193" s="14" t="str">
        <f>"60252023122700361544690"</f>
        <v>60252023122700361544690</v>
      </c>
      <c r="C1193" s="15" t="str">
        <f>"李璐璐"</f>
        <v>李璐璐</v>
      </c>
      <c r="D1193" s="15" t="str">
        <f>"女"</f>
        <v>女</v>
      </c>
      <c r="E1193" s="16" t="s">
        <v>421</v>
      </c>
      <c r="F1193" s="13"/>
    </row>
    <row r="1194" spans="1:6" ht="34.5" customHeight="1">
      <c r="A1194" s="13">
        <v>1191</v>
      </c>
      <c r="B1194" s="14" t="str">
        <f>"60252023121809043224195"</f>
        <v>60252023121809043224195</v>
      </c>
      <c r="C1194" s="15" t="str">
        <f>"陈开成"</f>
        <v>陈开成</v>
      </c>
      <c r="D1194" s="15" t="str">
        <f>"男"</f>
        <v>男</v>
      </c>
      <c r="E1194" s="16" t="s">
        <v>412</v>
      </c>
      <c r="F1194" s="13"/>
    </row>
    <row r="1195" spans="1:6" ht="34.5" customHeight="1">
      <c r="A1195" s="13">
        <v>1192</v>
      </c>
      <c r="B1195" s="14" t="str">
        <f>"60252023121810362025293"</f>
        <v>60252023121810362025293</v>
      </c>
      <c r="C1195" s="15" t="str">
        <f>"黄捷"</f>
        <v>黄捷</v>
      </c>
      <c r="D1195" s="15" t="str">
        <f>"男"</f>
        <v>男</v>
      </c>
      <c r="E1195" s="16" t="s">
        <v>576</v>
      </c>
      <c r="F1195" s="13"/>
    </row>
    <row r="1196" spans="1:6" ht="34.5" customHeight="1">
      <c r="A1196" s="13">
        <v>1193</v>
      </c>
      <c r="B1196" s="14" t="str">
        <f>"60252023121810444025376"</f>
        <v>60252023121810444025376</v>
      </c>
      <c r="C1196" s="15" t="str">
        <f>"文珺琦"</f>
        <v>文珺琦</v>
      </c>
      <c r="D1196" s="15" t="str">
        <f>"女"</f>
        <v>女</v>
      </c>
      <c r="E1196" s="16" t="s">
        <v>638</v>
      </c>
      <c r="F1196" s="13"/>
    </row>
    <row r="1197" spans="1:6" ht="34.5" customHeight="1">
      <c r="A1197" s="13">
        <v>1194</v>
      </c>
      <c r="B1197" s="14" t="str">
        <f>"60252023121809551724820"</f>
        <v>60252023121809551724820</v>
      </c>
      <c r="C1197" s="15" t="str">
        <f>"黄舜东"</f>
        <v>黄舜东</v>
      </c>
      <c r="D1197" s="15" t="str">
        <f>"男"</f>
        <v>男</v>
      </c>
      <c r="E1197" s="16" t="s">
        <v>66</v>
      </c>
      <c r="F1197" s="13"/>
    </row>
    <row r="1198" spans="1:6" ht="34.5" customHeight="1">
      <c r="A1198" s="13">
        <v>1195</v>
      </c>
      <c r="B1198" s="14" t="str">
        <f>"60252023121811365025885"</f>
        <v>60252023121811365025885</v>
      </c>
      <c r="C1198" s="15" t="str">
        <f>"朱丽虹"</f>
        <v>朱丽虹</v>
      </c>
      <c r="D1198" s="15" t="str">
        <f>"女"</f>
        <v>女</v>
      </c>
      <c r="E1198" s="16" t="s">
        <v>470</v>
      </c>
      <c r="F1198" s="13"/>
    </row>
    <row r="1199" spans="1:6" ht="34.5" customHeight="1">
      <c r="A1199" s="13">
        <v>1196</v>
      </c>
      <c r="B1199" s="14" t="str">
        <f>"60252023121812520626300"</f>
        <v>60252023121812520626300</v>
      </c>
      <c r="C1199" s="15" t="str">
        <f>"王昭璋"</f>
        <v>王昭璋</v>
      </c>
      <c r="D1199" s="15" t="str">
        <f>"男"</f>
        <v>男</v>
      </c>
      <c r="E1199" s="16" t="s">
        <v>380</v>
      </c>
      <c r="F1199" s="13"/>
    </row>
    <row r="1200" spans="1:6" ht="34.5" customHeight="1">
      <c r="A1200" s="13">
        <v>1197</v>
      </c>
      <c r="B1200" s="14" t="str">
        <f>"60252023121815280627250"</f>
        <v>60252023121815280627250</v>
      </c>
      <c r="C1200" s="15" t="str">
        <f>"陈业江"</f>
        <v>陈业江</v>
      </c>
      <c r="D1200" s="15" t="str">
        <f>"男"</f>
        <v>男</v>
      </c>
      <c r="E1200" s="16" t="s">
        <v>639</v>
      </c>
      <c r="F1200" s="13"/>
    </row>
    <row r="1201" spans="1:6" ht="34.5" customHeight="1">
      <c r="A1201" s="13">
        <v>1198</v>
      </c>
      <c r="B1201" s="14" t="str">
        <f>"60252023121815040227071"</f>
        <v>60252023121815040227071</v>
      </c>
      <c r="C1201" s="15" t="str">
        <f>"周福森"</f>
        <v>周福森</v>
      </c>
      <c r="D1201" s="15" t="str">
        <f>"男"</f>
        <v>男</v>
      </c>
      <c r="E1201" s="16" t="s">
        <v>640</v>
      </c>
      <c r="F1201" s="13"/>
    </row>
    <row r="1202" spans="1:6" ht="34.5" customHeight="1">
      <c r="A1202" s="13">
        <v>1199</v>
      </c>
      <c r="B1202" s="14" t="str">
        <f>"60252023121818170828196"</f>
        <v>60252023121818170828196</v>
      </c>
      <c r="C1202" s="15" t="str">
        <f>"李玉嘉"</f>
        <v>李玉嘉</v>
      </c>
      <c r="D1202" s="15" t="str">
        <f>"女"</f>
        <v>女</v>
      </c>
      <c r="E1202" s="16" t="s">
        <v>182</v>
      </c>
      <c r="F1202" s="13"/>
    </row>
    <row r="1203" spans="1:6" ht="34.5" customHeight="1">
      <c r="A1203" s="13">
        <v>1200</v>
      </c>
      <c r="B1203" s="14" t="str">
        <f>"60252023121910225430271"</f>
        <v>60252023121910225430271</v>
      </c>
      <c r="C1203" s="15" t="str">
        <f>"符晨怡"</f>
        <v>符晨怡</v>
      </c>
      <c r="D1203" s="15" t="str">
        <f>"女"</f>
        <v>女</v>
      </c>
      <c r="E1203" s="16" t="s">
        <v>585</v>
      </c>
      <c r="F1203" s="13"/>
    </row>
    <row r="1204" spans="1:6" ht="34.5" customHeight="1">
      <c r="A1204" s="13">
        <v>1201</v>
      </c>
      <c r="B1204" s="14" t="str">
        <f>"60252023121914311831235"</f>
        <v>60252023121914311831235</v>
      </c>
      <c r="C1204" s="15" t="str">
        <f>"邢梅冬"</f>
        <v>邢梅冬</v>
      </c>
      <c r="D1204" s="15" t="str">
        <f>"女"</f>
        <v>女</v>
      </c>
      <c r="E1204" s="16" t="s">
        <v>86</v>
      </c>
      <c r="F1204" s="13"/>
    </row>
    <row r="1205" spans="1:6" ht="34.5" customHeight="1">
      <c r="A1205" s="13">
        <v>1202</v>
      </c>
      <c r="B1205" s="14" t="str">
        <f>"60252023121823501129430"</f>
        <v>60252023121823501129430</v>
      </c>
      <c r="C1205" s="15" t="str">
        <f>"陈冠岳"</f>
        <v>陈冠岳</v>
      </c>
      <c r="D1205" s="15" t="str">
        <f>"男"</f>
        <v>男</v>
      </c>
      <c r="E1205" s="16" t="s">
        <v>641</v>
      </c>
      <c r="F1205" s="13"/>
    </row>
    <row r="1206" spans="1:6" ht="34.5" customHeight="1">
      <c r="A1206" s="13">
        <v>1203</v>
      </c>
      <c r="B1206" s="14" t="str">
        <f>"60252023122017001437226"</f>
        <v>60252023122017001437226</v>
      </c>
      <c r="C1206" s="15" t="str">
        <f>"肖明燕"</f>
        <v>肖明燕</v>
      </c>
      <c r="D1206" s="15" t="str">
        <f>"女"</f>
        <v>女</v>
      </c>
      <c r="E1206" s="16" t="s">
        <v>255</v>
      </c>
      <c r="F1206" s="13"/>
    </row>
    <row r="1207" spans="1:6" ht="34.5" customHeight="1">
      <c r="A1207" s="13">
        <v>1204</v>
      </c>
      <c r="B1207" s="14" t="str">
        <f>"60252023122022090437415"</f>
        <v>60252023122022090437415</v>
      </c>
      <c r="C1207" s="15" t="str">
        <f>"陈奕锦"</f>
        <v>陈奕锦</v>
      </c>
      <c r="D1207" s="15" t="str">
        <f>"男"</f>
        <v>男</v>
      </c>
      <c r="E1207" s="16" t="s">
        <v>620</v>
      </c>
      <c r="F1207" s="13"/>
    </row>
    <row r="1208" spans="1:6" ht="34.5" customHeight="1">
      <c r="A1208" s="13">
        <v>1205</v>
      </c>
      <c r="B1208" s="14" t="str">
        <f>"60252023122111380837625"</f>
        <v>60252023122111380837625</v>
      </c>
      <c r="C1208" s="15" t="str">
        <f>"王德兴"</f>
        <v>王德兴</v>
      </c>
      <c r="D1208" s="15" t="str">
        <f>"男"</f>
        <v>男</v>
      </c>
      <c r="E1208" s="16" t="s">
        <v>297</v>
      </c>
      <c r="F1208" s="13"/>
    </row>
    <row r="1209" spans="1:6" ht="34.5" customHeight="1">
      <c r="A1209" s="13">
        <v>1206</v>
      </c>
      <c r="B1209" s="14" t="str">
        <f>"60252023122111403837629"</f>
        <v>60252023122111403837629</v>
      </c>
      <c r="C1209" s="15" t="str">
        <f>"潘静薇"</f>
        <v>潘静薇</v>
      </c>
      <c r="D1209" s="15" t="str">
        <f aca="true" t="shared" si="38" ref="D1209:D1215">"女"</f>
        <v>女</v>
      </c>
      <c r="E1209" s="16" t="s">
        <v>642</v>
      </c>
      <c r="F1209" s="13"/>
    </row>
    <row r="1210" spans="1:6" ht="34.5" customHeight="1">
      <c r="A1210" s="13">
        <v>1207</v>
      </c>
      <c r="B1210" s="14" t="str">
        <f>"60252023122117294037857"</f>
        <v>60252023122117294037857</v>
      </c>
      <c r="C1210" s="15" t="str">
        <f>"颜秀娟"</f>
        <v>颜秀娟</v>
      </c>
      <c r="D1210" s="15" t="str">
        <f t="shared" si="38"/>
        <v>女</v>
      </c>
      <c r="E1210" s="16" t="s">
        <v>357</v>
      </c>
      <c r="F1210" s="13"/>
    </row>
    <row r="1211" spans="1:6" ht="34.5" customHeight="1">
      <c r="A1211" s="13">
        <v>1208</v>
      </c>
      <c r="B1211" s="14" t="str">
        <f>"60252023122118190437889"</f>
        <v>60252023122118190437889</v>
      </c>
      <c r="C1211" s="15" t="str">
        <f>"陈晶晶"</f>
        <v>陈晶晶</v>
      </c>
      <c r="D1211" s="15" t="str">
        <f t="shared" si="38"/>
        <v>女</v>
      </c>
      <c r="E1211" s="16" t="s">
        <v>470</v>
      </c>
      <c r="F1211" s="13"/>
    </row>
    <row r="1212" spans="1:6" ht="34.5" customHeight="1">
      <c r="A1212" s="13">
        <v>1209</v>
      </c>
      <c r="B1212" s="14" t="str">
        <f>"60252023122214384438257"</f>
        <v>60252023122214384438257</v>
      </c>
      <c r="C1212" s="15" t="str">
        <f>"陈颖颖"</f>
        <v>陈颖颖</v>
      </c>
      <c r="D1212" s="15" t="str">
        <f t="shared" si="38"/>
        <v>女</v>
      </c>
      <c r="E1212" s="16" t="s">
        <v>119</v>
      </c>
      <c r="F1212" s="13"/>
    </row>
    <row r="1213" spans="1:6" ht="34.5" customHeight="1">
      <c r="A1213" s="13">
        <v>1210</v>
      </c>
      <c r="B1213" s="14" t="str">
        <f>"60252023122216000638343"</f>
        <v>60252023122216000638343</v>
      </c>
      <c r="C1213" s="15" t="str">
        <f>"符珊珊"</f>
        <v>符珊珊</v>
      </c>
      <c r="D1213" s="15" t="str">
        <f t="shared" si="38"/>
        <v>女</v>
      </c>
      <c r="E1213" s="16" t="s">
        <v>255</v>
      </c>
      <c r="F1213" s="13"/>
    </row>
    <row r="1214" spans="1:6" ht="34.5" customHeight="1">
      <c r="A1214" s="13">
        <v>1211</v>
      </c>
      <c r="B1214" s="14" t="str">
        <f>"60252023122321332740472"</f>
        <v>60252023122321332740472</v>
      </c>
      <c r="C1214" s="15" t="str">
        <f>"钟文玲"</f>
        <v>钟文玲</v>
      </c>
      <c r="D1214" s="15" t="str">
        <f t="shared" si="38"/>
        <v>女</v>
      </c>
      <c r="E1214" s="16" t="s">
        <v>643</v>
      </c>
      <c r="F1214" s="13"/>
    </row>
    <row r="1215" spans="1:6" ht="34.5" customHeight="1">
      <c r="A1215" s="13">
        <v>1212</v>
      </c>
      <c r="B1215" s="14" t="str">
        <f>"60252023122409511040694"</f>
        <v>60252023122409511040694</v>
      </c>
      <c r="C1215" s="15" t="str">
        <f>"王文倩"</f>
        <v>王文倩</v>
      </c>
      <c r="D1215" s="15" t="str">
        <f t="shared" si="38"/>
        <v>女</v>
      </c>
      <c r="E1215" s="16" t="s">
        <v>94</v>
      </c>
      <c r="F1215" s="13"/>
    </row>
    <row r="1216" spans="1:6" ht="34.5" customHeight="1">
      <c r="A1216" s="13">
        <v>1213</v>
      </c>
      <c r="B1216" s="14" t="str">
        <f>"60252023122416564541082"</f>
        <v>60252023122416564541082</v>
      </c>
      <c r="C1216" s="15" t="str">
        <f>"符传明"</f>
        <v>符传明</v>
      </c>
      <c r="D1216" s="15" t="str">
        <f>"男"</f>
        <v>男</v>
      </c>
      <c r="E1216" s="16" t="s">
        <v>644</v>
      </c>
      <c r="F1216" s="13"/>
    </row>
    <row r="1217" spans="1:6" ht="34.5" customHeight="1">
      <c r="A1217" s="13">
        <v>1214</v>
      </c>
      <c r="B1217" s="14" t="str">
        <f>"60252023121914490431316"</f>
        <v>60252023121914490431316</v>
      </c>
      <c r="C1217" s="15" t="str">
        <f>"王川"</f>
        <v>王川</v>
      </c>
      <c r="D1217" s="15" t="str">
        <f>"男"</f>
        <v>男</v>
      </c>
      <c r="E1217" s="16" t="s">
        <v>408</v>
      </c>
      <c r="F1217" s="13"/>
    </row>
    <row r="1218" spans="1:6" ht="34.5" customHeight="1">
      <c r="A1218" s="13">
        <v>1215</v>
      </c>
      <c r="B1218" s="14" t="str">
        <f>"60252023122422572841388"</f>
        <v>60252023122422572841388</v>
      </c>
      <c r="C1218" s="15" t="str">
        <f>"黄惠"</f>
        <v>黄惠</v>
      </c>
      <c r="D1218" s="15" t="str">
        <f>"女"</f>
        <v>女</v>
      </c>
      <c r="E1218" s="16" t="s">
        <v>645</v>
      </c>
      <c r="F1218" s="13"/>
    </row>
    <row r="1219" spans="1:6" ht="34.5" customHeight="1">
      <c r="A1219" s="13">
        <v>1216</v>
      </c>
      <c r="B1219" s="14" t="str">
        <f>"60252023122509081941556"</f>
        <v>60252023122509081941556</v>
      </c>
      <c r="C1219" s="15" t="str">
        <f>"吴育武"</f>
        <v>吴育武</v>
      </c>
      <c r="D1219" s="15" t="str">
        <f>"男"</f>
        <v>男</v>
      </c>
      <c r="E1219" s="16" t="s">
        <v>646</v>
      </c>
      <c r="F1219" s="13"/>
    </row>
    <row r="1220" spans="1:6" ht="34.5" customHeight="1">
      <c r="A1220" s="13">
        <v>1217</v>
      </c>
      <c r="B1220" s="14" t="str">
        <f>"60252023122512322942166"</f>
        <v>60252023122512322942166</v>
      </c>
      <c r="C1220" s="15" t="str">
        <f>"刘景元"</f>
        <v>刘景元</v>
      </c>
      <c r="D1220" s="15" t="str">
        <f>"男"</f>
        <v>男</v>
      </c>
      <c r="E1220" s="16" t="s">
        <v>474</v>
      </c>
      <c r="F1220" s="13"/>
    </row>
    <row r="1221" spans="1:6" ht="34.5" customHeight="1">
      <c r="A1221" s="13">
        <v>1218</v>
      </c>
      <c r="B1221" s="14" t="str">
        <f>"60252023122510331941876"</f>
        <v>60252023122510331941876</v>
      </c>
      <c r="C1221" s="15" t="str">
        <f>"文晓"</f>
        <v>文晓</v>
      </c>
      <c r="D1221" s="15" t="str">
        <f>"女"</f>
        <v>女</v>
      </c>
      <c r="E1221" s="16" t="s">
        <v>275</v>
      </c>
      <c r="F1221" s="13"/>
    </row>
    <row r="1222" spans="1:6" ht="34.5" customHeight="1">
      <c r="A1222" s="13">
        <v>1219</v>
      </c>
      <c r="B1222" s="14" t="str">
        <f>"60252023121814320026796"</f>
        <v>60252023121814320026796</v>
      </c>
      <c r="C1222" s="15" t="str">
        <f>"朱福珍"</f>
        <v>朱福珍</v>
      </c>
      <c r="D1222" s="15" t="str">
        <f>"女"</f>
        <v>女</v>
      </c>
      <c r="E1222" s="16" t="s">
        <v>302</v>
      </c>
      <c r="F1222" s="13"/>
    </row>
    <row r="1223" spans="1:6" ht="34.5" customHeight="1">
      <c r="A1223" s="13">
        <v>1220</v>
      </c>
      <c r="B1223" s="14" t="str">
        <f>"60252023122521203143096"</f>
        <v>60252023122521203143096</v>
      </c>
      <c r="C1223" s="15" t="str">
        <f>"陈明妹"</f>
        <v>陈明妹</v>
      </c>
      <c r="D1223" s="15" t="str">
        <f>"女"</f>
        <v>女</v>
      </c>
      <c r="E1223" s="16" t="s">
        <v>467</v>
      </c>
      <c r="F1223" s="13"/>
    </row>
    <row r="1224" spans="1:6" ht="34.5" customHeight="1">
      <c r="A1224" s="13">
        <v>1221</v>
      </c>
      <c r="B1224" s="14" t="str">
        <f>"60252023121809014524160"</f>
        <v>60252023121809014524160</v>
      </c>
      <c r="C1224" s="15" t="str">
        <f>"高夕玉"</f>
        <v>高夕玉</v>
      </c>
      <c r="D1224" s="15" t="str">
        <f>"女"</f>
        <v>女</v>
      </c>
      <c r="E1224" s="16" t="s">
        <v>647</v>
      </c>
      <c r="F1224" s="13"/>
    </row>
    <row r="1225" spans="1:6" ht="34.5" customHeight="1">
      <c r="A1225" s="13">
        <v>1222</v>
      </c>
      <c r="B1225" s="14" t="str">
        <f>"60252023122316474940044"</f>
        <v>60252023122316474940044</v>
      </c>
      <c r="C1225" s="15" t="str">
        <f>"许禄烈"</f>
        <v>许禄烈</v>
      </c>
      <c r="D1225" s="15" t="str">
        <f>"男"</f>
        <v>男</v>
      </c>
      <c r="E1225" s="16" t="s">
        <v>218</v>
      </c>
      <c r="F1225" s="13"/>
    </row>
    <row r="1226" spans="1:6" ht="34.5" customHeight="1">
      <c r="A1226" s="13">
        <v>1223</v>
      </c>
      <c r="B1226" s="14" t="str">
        <f>"60252023122518211442823"</f>
        <v>60252023122518211442823</v>
      </c>
      <c r="C1226" s="15" t="str">
        <f>"符朝浩"</f>
        <v>符朝浩</v>
      </c>
      <c r="D1226" s="15" t="str">
        <f>"女"</f>
        <v>女</v>
      </c>
      <c r="E1226" s="16" t="s">
        <v>648</v>
      </c>
      <c r="F1226" s="13"/>
    </row>
    <row r="1227" spans="1:6" ht="34.5" customHeight="1">
      <c r="A1227" s="13">
        <v>1224</v>
      </c>
      <c r="B1227" s="14" t="str">
        <f>"60252023122610210143533"</f>
        <v>60252023122610210143533</v>
      </c>
      <c r="C1227" s="15" t="str">
        <f>"韩晶晶"</f>
        <v>韩晶晶</v>
      </c>
      <c r="D1227" s="15" t="str">
        <f>"女"</f>
        <v>女</v>
      </c>
      <c r="E1227" s="16" t="s">
        <v>649</v>
      </c>
      <c r="F1227" s="13"/>
    </row>
    <row r="1228" spans="1:6" ht="34.5" customHeight="1">
      <c r="A1228" s="13">
        <v>1225</v>
      </c>
      <c r="B1228" s="14" t="str">
        <f>"60252023122613165643861"</f>
        <v>60252023122613165643861</v>
      </c>
      <c r="C1228" s="15" t="str">
        <f>"林友芳"</f>
        <v>林友芳</v>
      </c>
      <c r="D1228" s="15" t="str">
        <f>"男"</f>
        <v>男</v>
      </c>
      <c r="E1228" s="16" t="s">
        <v>301</v>
      </c>
      <c r="F1228" s="13"/>
    </row>
    <row r="1229" spans="1:6" ht="34.5" customHeight="1">
      <c r="A1229" s="13">
        <v>1226</v>
      </c>
      <c r="B1229" s="14" t="str">
        <f>"60252023122617463344299"</f>
        <v>60252023122617463344299</v>
      </c>
      <c r="C1229" s="15" t="str">
        <f>"唐玉妹"</f>
        <v>唐玉妹</v>
      </c>
      <c r="D1229" s="15" t="str">
        <f>"女"</f>
        <v>女</v>
      </c>
      <c r="E1229" s="16" t="s">
        <v>377</v>
      </c>
      <c r="F1229" s="13"/>
    </row>
    <row r="1230" spans="1:6" ht="34.5" customHeight="1">
      <c r="A1230" s="13">
        <v>1227</v>
      </c>
      <c r="B1230" s="14" t="str">
        <f>"60252023122620074744442"</f>
        <v>60252023122620074744442</v>
      </c>
      <c r="C1230" s="15" t="str">
        <f>"符气仙"</f>
        <v>符气仙</v>
      </c>
      <c r="D1230" s="15" t="str">
        <f>"男"</f>
        <v>男</v>
      </c>
      <c r="E1230" s="16" t="s">
        <v>44</v>
      </c>
      <c r="F1230" s="13"/>
    </row>
    <row r="1231" spans="1:6" ht="34.5" customHeight="1">
      <c r="A1231" s="13">
        <v>1228</v>
      </c>
      <c r="B1231" s="14" t="str">
        <f>"60252023122610493443605"</f>
        <v>60252023122610493443605</v>
      </c>
      <c r="C1231" s="15" t="str">
        <f>"周宁"</f>
        <v>周宁</v>
      </c>
      <c r="D1231" s="15" t="str">
        <f>"男"</f>
        <v>男</v>
      </c>
      <c r="E1231" s="16" t="s">
        <v>395</v>
      </c>
      <c r="F1231" s="13"/>
    </row>
    <row r="1232" spans="1:6" ht="34.5" customHeight="1">
      <c r="A1232" s="13">
        <v>1229</v>
      </c>
      <c r="B1232" s="14" t="str">
        <f>"60252023122710240144873"</f>
        <v>60252023122710240144873</v>
      </c>
      <c r="C1232" s="15" t="str">
        <f>"许书耀"</f>
        <v>许书耀</v>
      </c>
      <c r="D1232" s="15" t="str">
        <f>"男"</f>
        <v>男</v>
      </c>
      <c r="E1232" s="16" t="s">
        <v>560</v>
      </c>
      <c r="F1232" s="13"/>
    </row>
    <row r="1233" spans="1:6" ht="34.5" customHeight="1">
      <c r="A1233" s="13">
        <v>1230</v>
      </c>
      <c r="B1233" s="14" t="str">
        <f>"60252023122511115941986"</f>
        <v>60252023122511115941986</v>
      </c>
      <c r="C1233" s="15" t="str">
        <f>"张静"</f>
        <v>张静</v>
      </c>
      <c r="D1233" s="15" t="str">
        <f>"女"</f>
        <v>女</v>
      </c>
      <c r="E1233" s="16" t="s">
        <v>650</v>
      </c>
      <c r="F1233" s="13"/>
    </row>
  </sheetData>
  <sheetProtection/>
  <mergeCells count="2">
    <mergeCell ref="A1:B1"/>
    <mergeCell ref="A2:F2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wzb</dc:creator>
  <cp:keywords/>
  <dc:description/>
  <cp:lastModifiedBy>未定义</cp:lastModifiedBy>
  <dcterms:created xsi:type="dcterms:W3CDTF">2023-12-28T03:14:58Z</dcterms:created>
  <dcterms:modified xsi:type="dcterms:W3CDTF">2024-01-05T01:50:39Z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02368F217255471AAA302D45423E660B_13</vt:lpwstr>
  </property>
  <property fmtid="{D5CDD505-2E9C-101B-9397-08002B2CF9AE}" pid="4" name="KSOProductBuildV">
    <vt:lpwstr>2052-12.1.0.16120</vt:lpwstr>
  </property>
</Properties>
</file>