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</sheets>
  <definedNames>
    <definedName name="_xlnm._FilterDatabase" localSheetId="0" hidden="1">'Sheet1'!$A$3:$I$952</definedName>
  </definedNames>
  <calcPr fullCalcOnLoad="1"/>
</workbook>
</file>

<file path=xl/sharedStrings.xml><?xml version="1.0" encoding="utf-8"?>
<sst xmlns="http://schemas.openxmlformats.org/spreadsheetml/2006/main" count="2685" uniqueCount="16">
  <si>
    <t>附件1：</t>
  </si>
  <si>
    <t>海南省残疾人联合会公开招聘省残疾人劳动就业服务中心工作人员
笔试成绩单</t>
  </si>
  <si>
    <t>序号</t>
  </si>
  <si>
    <t>招聘单位</t>
  </si>
  <si>
    <t>岗位名称</t>
  </si>
  <si>
    <t>岗位代码</t>
  </si>
  <si>
    <t>姓名</t>
  </si>
  <si>
    <t>准考证号</t>
  </si>
  <si>
    <t>笔试成绩</t>
  </si>
  <si>
    <t>排名</t>
  </si>
  <si>
    <t>备注</t>
  </si>
  <si>
    <t>海南省残疾人劳动就业服务中心</t>
  </si>
  <si>
    <t>办公室九级管理人员</t>
  </si>
  <si>
    <t>—</t>
  </si>
  <si>
    <t>缺考</t>
  </si>
  <si>
    <t>培训就业科九级管理人员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</si>
</sst>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0"/>
      <color theme="1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52"/>
  <sheetViews>
    <sheetView tabSelected="1" zoomScaleSheetLayoutView="100" workbookViewId="0" topLeftCell="A1">
      <pane ySplit="3" topLeftCell="A4" activePane="bottomLeft" state="frozen"/>
      <selection pane="bottomLeft" activeCell="A2" sqref="A2:I2"/>
    </sheetView>
  </sheetViews>
  <sheetFormatPr defaultColWidth="9.00390625" defaultRowHeight="14.25"/>
  <cols>
    <col min="2" max="2" width="29.625" style="0" customWidth="1"/>
    <col min="3" max="3" width="23.375" style="0" customWidth="1"/>
    <col min="4" max="4" width="13.375" style="0" customWidth="1"/>
    <col min="5" max="5" width="19.25390625" style="0" customWidth="1"/>
    <col min="6" max="6" width="17.375" style="0" customWidth="1"/>
    <col min="7" max="7" width="10.75390625" style="0" customWidth="1"/>
  </cols>
  <sheetData>
    <row r="1" ht="14.25">
      <c r="A1" t="s">
        <v>0</v>
      </c>
    </row>
    <row r="2" spans="1:9" ht="84" customHeight="1">
      <c r="A2" s="1" t="s">
        <v>1</v>
      </c>
      <c r="B2" s="1"/>
      <c r="C2" s="2"/>
      <c r="D2" s="2"/>
      <c r="E2" s="2"/>
      <c r="F2" s="2"/>
      <c r="G2" s="2"/>
      <c r="H2" s="2"/>
      <c r="I2" s="2"/>
    </row>
    <row r="3" spans="1:9" ht="24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3" t="s">
        <v>10</v>
      </c>
    </row>
    <row r="4" spans="1:9" ht="24.75" customHeight="1">
      <c r="A4" s="5">
        <v>1</v>
      </c>
      <c r="B4" s="6" t="s">
        <v>11</v>
      </c>
      <c r="C4" s="6" t="s">
        <v>12</v>
      </c>
      <c r="D4" s="6" t="str">
        <f aca="true" t="shared" si="0" ref="D4:D67">"001"</f>
        <v>001</v>
      </c>
      <c r="E4" s="6" t="str">
        <f>"吴佩婷"</f>
        <v>吴佩婷</v>
      </c>
      <c r="F4" s="6" t="str">
        <f>"202311182121"</f>
        <v>202311182121</v>
      </c>
      <c r="G4" s="7">
        <v>82.5</v>
      </c>
      <c r="H4" s="8">
        <v>1</v>
      </c>
      <c r="I4" s="5"/>
    </row>
    <row r="5" spans="1:9" ht="24.75" customHeight="1">
      <c r="A5" s="5">
        <v>2</v>
      </c>
      <c r="B5" s="6" t="s">
        <v>11</v>
      </c>
      <c r="C5" s="6" t="s">
        <v>12</v>
      </c>
      <c r="D5" s="6" t="str">
        <f t="shared" si="0"/>
        <v>001</v>
      </c>
      <c r="E5" s="6" t="str">
        <f>"徐宁康"</f>
        <v>徐宁康</v>
      </c>
      <c r="F5" s="6" t="str">
        <f>"202311180428"</f>
        <v>202311180428</v>
      </c>
      <c r="G5" s="7">
        <v>81.25</v>
      </c>
      <c r="H5" s="8">
        <v>2</v>
      </c>
      <c r="I5" s="5"/>
    </row>
    <row r="6" spans="1:9" ht="24.75" customHeight="1">
      <c r="A6" s="5">
        <v>3</v>
      </c>
      <c r="B6" s="6" t="s">
        <v>11</v>
      </c>
      <c r="C6" s="6" t="s">
        <v>12</v>
      </c>
      <c r="D6" s="6" t="str">
        <f t="shared" si="0"/>
        <v>001</v>
      </c>
      <c r="E6" s="6" t="str">
        <f>"林小格"</f>
        <v>林小格</v>
      </c>
      <c r="F6" s="6" t="str">
        <f>"202311180205"</f>
        <v>202311180205</v>
      </c>
      <c r="G6" s="7">
        <v>81</v>
      </c>
      <c r="H6" s="8">
        <v>3</v>
      </c>
      <c r="I6" s="5"/>
    </row>
    <row r="7" spans="1:9" ht="24.75" customHeight="1">
      <c r="A7" s="5">
        <v>4</v>
      </c>
      <c r="B7" s="6" t="s">
        <v>11</v>
      </c>
      <c r="C7" s="6" t="s">
        <v>12</v>
      </c>
      <c r="D7" s="6" t="str">
        <f t="shared" si="0"/>
        <v>001</v>
      </c>
      <c r="E7" s="6" t="str">
        <f>"许茗茸"</f>
        <v>许茗茸</v>
      </c>
      <c r="F7" s="6" t="str">
        <f>"202311181217"</f>
        <v>202311181217</v>
      </c>
      <c r="G7" s="7">
        <v>78.5</v>
      </c>
      <c r="H7" s="8">
        <v>4</v>
      </c>
      <c r="I7" s="5"/>
    </row>
    <row r="8" spans="1:9" ht="24.75" customHeight="1">
      <c r="A8" s="5">
        <v>5</v>
      </c>
      <c r="B8" s="6" t="s">
        <v>11</v>
      </c>
      <c r="C8" s="6" t="s">
        <v>12</v>
      </c>
      <c r="D8" s="6" t="str">
        <f t="shared" si="0"/>
        <v>001</v>
      </c>
      <c r="E8" s="6" t="str">
        <f>"云薇"</f>
        <v>云薇</v>
      </c>
      <c r="F8" s="6" t="str">
        <f>"202311182129"</f>
        <v>202311182129</v>
      </c>
      <c r="G8" s="7">
        <v>78.25</v>
      </c>
      <c r="H8" s="8">
        <v>5</v>
      </c>
      <c r="I8" s="5"/>
    </row>
    <row r="9" spans="1:9" ht="24.75" customHeight="1">
      <c r="A9" s="5">
        <v>6</v>
      </c>
      <c r="B9" s="6" t="s">
        <v>11</v>
      </c>
      <c r="C9" s="6" t="s">
        <v>12</v>
      </c>
      <c r="D9" s="6" t="str">
        <f t="shared" si="0"/>
        <v>001</v>
      </c>
      <c r="E9" s="6" t="str">
        <f>"高僖"</f>
        <v>高僖</v>
      </c>
      <c r="F9" s="6" t="str">
        <f>"202311180219"</f>
        <v>202311180219</v>
      </c>
      <c r="G9" s="7">
        <v>77.75</v>
      </c>
      <c r="H9" s="8">
        <v>6</v>
      </c>
      <c r="I9" s="5"/>
    </row>
    <row r="10" spans="1:9" ht="24.75" customHeight="1">
      <c r="A10" s="5">
        <v>7</v>
      </c>
      <c r="B10" s="6" t="s">
        <v>11</v>
      </c>
      <c r="C10" s="6" t="s">
        <v>12</v>
      </c>
      <c r="D10" s="6" t="str">
        <f t="shared" si="0"/>
        <v>001</v>
      </c>
      <c r="E10" s="6" t="str">
        <f>"黎美烨"</f>
        <v>黎美烨</v>
      </c>
      <c r="F10" s="6" t="str">
        <f>"202311181516"</f>
        <v>202311181516</v>
      </c>
      <c r="G10" s="7">
        <v>77.75</v>
      </c>
      <c r="H10" s="8">
        <v>6</v>
      </c>
      <c r="I10" s="5"/>
    </row>
    <row r="11" spans="1:9" ht="24.75" customHeight="1">
      <c r="A11" s="5">
        <v>8</v>
      </c>
      <c r="B11" s="6" t="s">
        <v>11</v>
      </c>
      <c r="C11" s="6" t="s">
        <v>12</v>
      </c>
      <c r="D11" s="6" t="str">
        <f t="shared" si="0"/>
        <v>001</v>
      </c>
      <c r="E11" s="6" t="str">
        <f>"周春柳"</f>
        <v>周春柳</v>
      </c>
      <c r="F11" s="6" t="str">
        <f>"202311181112"</f>
        <v>202311181112</v>
      </c>
      <c r="G11" s="7">
        <v>76.75</v>
      </c>
      <c r="H11" s="8">
        <v>8</v>
      </c>
      <c r="I11" s="5"/>
    </row>
    <row r="12" spans="1:9" ht="24.75" customHeight="1">
      <c r="A12" s="5">
        <v>9</v>
      </c>
      <c r="B12" s="6" t="s">
        <v>11</v>
      </c>
      <c r="C12" s="6" t="s">
        <v>12</v>
      </c>
      <c r="D12" s="6" t="str">
        <f t="shared" si="0"/>
        <v>001</v>
      </c>
      <c r="E12" s="6" t="str">
        <f>"蓝秋媛"</f>
        <v>蓝秋媛</v>
      </c>
      <c r="F12" s="6" t="str">
        <f>"202311181514"</f>
        <v>202311181514</v>
      </c>
      <c r="G12" s="7">
        <v>76.75</v>
      </c>
      <c r="H12" s="8">
        <v>8</v>
      </c>
      <c r="I12" s="5"/>
    </row>
    <row r="13" spans="1:9" ht="24.75" customHeight="1">
      <c r="A13" s="5">
        <v>10</v>
      </c>
      <c r="B13" s="6" t="s">
        <v>11</v>
      </c>
      <c r="C13" s="6" t="s">
        <v>12</v>
      </c>
      <c r="D13" s="6" t="str">
        <f t="shared" si="0"/>
        <v>001</v>
      </c>
      <c r="E13" s="6" t="str">
        <f>"张榆悦"</f>
        <v>张榆悦</v>
      </c>
      <c r="F13" s="6" t="str">
        <f>"202311180811"</f>
        <v>202311180811</v>
      </c>
      <c r="G13" s="7">
        <v>76.5</v>
      </c>
      <c r="H13" s="8">
        <v>10</v>
      </c>
      <c r="I13" s="5"/>
    </row>
    <row r="14" spans="1:9" ht="24.75" customHeight="1">
      <c r="A14" s="5">
        <v>11</v>
      </c>
      <c r="B14" s="6" t="s">
        <v>11</v>
      </c>
      <c r="C14" s="6" t="s">
        <v>12</v>
      </c>
      <c r="D14" s="6" t="str">
        <f t="shared" si="0"/>
        <v>001</v>
      </c>
      <c r="E14" s="6" t="str">
        <f>"周永文"</f>
        <v>周永文</v>
      </c>
      <c r="F14" s="6" t="str">
        <f>"202311180123"</f>
        <v>202311180123</v>
      </c>
      <c r="G14" s="7">
        <v>76.25</v>
      </c>
      <c r="H14" s="8">
        <v>11</v>
      </c>
      <c r="I14" s="5"/>
    </row>
    <row r="15" spans="1:9" ht="24.75" customHeight="1">
      <c r="A15" s="5">
        <v>12</v>
      </c>
      <c r="B15" s="6" t="s">
        <v>11</v>
      </c>
      <c r="C15" s="6" t="s">
        <v>12</v>
      </c>
      <c r="D15" s="6" t="str">
        <f t="shared" si="0"/>
        <v>001</v>
      </c>
      <c r="E15" s="6" t="str">
        <f>"陈日晶"</f>
        <v>陈日晶</v>
      </c>
      <c r="F15" s="6" t="str">
        <f>"202311180214"</f>
        <v>202311180214</v>
      </c>
      <c r="G15" s="7">
        <v>76.25</v>
      </c>
      <c r="H15" s="8">
        <v>11</v>
      </c>
      <c r="I15" s="5"/>
    </row>
    <row r="16" spans="1:9" ht="24.75" customHeight="1">
      <c r="A16" s="5">
        <v>13</v>
      </c>
      <c r="B16" s="6" t="s">
        <v>11</v>
      </c>
      <c r="C16" s="6" t="s">
        <v>12</v>
      </c>
      <c r="D16" s="6" t="str">
        <f t="shared" si="0"/>
        <v>001</v>
      </c>
      <c r="E16" s="6" t="str">
        <f>"周小颖"</f>
        <v>周小颖</v>
      </c>
      <c r="F16" s="6" t="str">
        <f>"202311181429"</f>
        <v>202311181429</v>
      </c>
      <c r="G16" s="7">
        <v>76.25</v>
      </c>
      <c r="H16" s="8">
        <v>11</v>
      </c>
      <c r="I16" s="5"/>
    </row>
    <row r="17" spans="1:9" ht="24.75" customHeight="1">
      <c r="A17" s="5">
        <v>14</v>
      </c>
      <c r="B17" s="6" t="s">
        <v>11</v>
      </c>
      <c r="C17" s="6" t="s">
        <v>12</v>
      </c>
      <c r="D17" s="6" t="str">
        <f t="shared" si="0"/>
        <v>001</v>
      </c>
      <c r="E17" s="6" t="str">
        <f>"吴敏"</f>
        <v>吴敏</v>
      </c>
      <c r="F17" s="6" t="str">
        <f>"202311182003"</f>
        <v>202311182003</v>
      </c>
      <c r="G17" s="7">
        <v>76.25</v>
      </c>
      <c r="H17" s="8">
        <v>11</v>
      </c>
      <c r="I17" s="5"/>
    </row>
    <row r="18" spans="1:9" ht="24.75" customHeight="1">
      <c r="A18" s="5">
        <v>15</v>
      </c>
      <c r="B18" s="6" t="s">
        <v>11</v>
      </c>
      <c r="C18" s="6" t="s">
        <v>12</v>
      </c>
      <c r="D18" s="6" t="str">
        <f t="shared" si="0"/>
        <v>001</v>
      </c>
      <c r="E18" s="6" t="str">
        <f>"杨贻婷"</f>
        <v>杨贻婷</v>
      </c>
      <c r="F18" s="6" t="str">
        <f>"202311181227"</f>
        <v>202311181227</v>
      </c>
      <c r="G18" s="7">
        <v>76</v>
      </c>
      <c r="H18" s="8">
        <v>15</v>
      </c>
      <c r="I18" s="5"/>
    </row>
    <row r="19" spans="1:9" ht="24.75" customHeight="1">
      <c r="A19" s="5">
        <v>16</v>
      </c>
      <c r="B19" s="6" t="s">
        <v>11</v>
      </c>
      <c r="C19" s="6" t="s">
        <v>12</v>
      </c>
      <c r="D19" s="6" t="str">
        <f t="shared" si="0"/>
        <v>001</v>
      </c>
      <c r="E19" s="6" t="str">
        <f>"冯立果"</f>
        <v>冯立果</v>
      </c>
      <c r="F19" s="6" t="str">
        <f>"202311181022"</f>
        <v>202311181022</v>
      </c>
      <c r="G19" s="7">
        <v>75.75</v>
      </c>
      <c r="H19" s="8">
        <v>16</v>
      </c>
      <c r="I19" s="5"/>
    </row>
    <row r="20" spans="1:9" ht="24.75" customHeight="1">
      <c r="A20" s="5">
        <v>17</v>
      </c>
      <c r="B20" s="6" t="s">
        <v>11</v>
      </c>
      <c r="C20" s="6" t="s">
        <v>12</v>
      </c>
      <c r="D20" s="6" t="str">
        <f t="shared" si="0"/>
        <v>001</v>
      </c>
      <c r="E20" s="6" t="str">
        <f>"曾乾姬"</f>
        <v>曾乾姬</v>
      </c>
      <c r="F20" s="6" t="str">
        <f>"202311180109"</f>
        <v>202311180109</v>
      </c>
      <c r="G20" s="7">
        <v>75.5</v>
      </c>
      <c r="H20" s="8">
        <v>17</v>
      </c>
      <c r="I20" s="5"/>
    </row>
    <row r="21" spans="1:9" ht="24.75" customHeight="1">
      <c r="A21" s="5">
        <v>18</v>
      </c>
      <c r="B21" s="6" t="s">
        <v>11</v>
      </c>
      <c r="C21" s="6" t="s">
        <v>12</v>
      </c>
      <c r="D21" s="6" t="str">
        <f t="shared" si="0"/>
        <v>001</v>
      </c>
      <c r="E21" s="6" t="str">
        <f>"邓显斌"</f>
        <v>邓显斌</v>
      </c>
      <c r="F21" s="6" t="str">
        <f>"202311180602"</f>
        <v>202311180602</v>
      </c>
      <c r="G21" s="7">
        <v>74.25</v>
      </c>
      <c r="H21" s="8">
        <v>18</v>
      </c>
      <c r="I21" s="5"/>
    </row>
    <row r="22" spans="1:9" ht="24.75" customHeight="1">
      <c r="A22" s="5">
        <v>19</v>
      </c>
      <c r="B22" s="6" t="s">
        <v>11</v>
      </c>
      <c r="C22" s="6" t="s">
        <v>12</v>
      </c>
      <c r="D22" s="6" t="str">
        <f t="shared" si="0"/>
        <v>001</v>
      </c>
      <c r="E22" s="6" t="str">
        <f>"李婧文"</f>
        <v>李婧文</v>
      </c>
      <c r="F22" s="6" t="str">
        <f>"202311181320"</f>
        <v>202311181320</v>
      </c>
      <c r="G22" s="7">
        <v>74</v>
      </c>
      <c r="H22" s="8">
        <v>19</v>
      </c>
      <c r="I22" s="5"/>
    </row>
    <row r="23" spans="1:9" ht="24.75" customHeight="1">
      <c r="A23" s="5">
        <v>20</v>
      </c>
      <c r="B23" s="6" t="s">
        <v>11</v>
      </c>
      <c r="C23" s="6" t="s">
        <v>12</v>
      </c>
      <c r="D23" s="6" t="str">
        <f t="shared" si="0"/>
        <v>001</v>
      </c>
      <c r="E23" s="6" t="str">
        <f>"周波"</f>
        <v>周波</v>
      </c>
      <c r="F23" s="6" t="str">
        <f>"202311181714"</f>
        <v>202311181714</v>
      </c>
      <c r="G23" s="7">
        <v>74</v>
      </c>
      <c r="H23" s="8">
        <v>19</v>
      </c>
      <c r="I23" s="5"/>
    </row>
    <row r="24" spans="1:9" ht="24.75" customHeight="1">
      <c r="A24" s="5">
        <v>21</v>
      </c>
      <c r="B24" s="6" t="s">
        <v>11</v>
      </c>
      <c r="C24" s="6" t="s">
        <v>12</v>
      </c>
      <c r="D24" s="6" t="str">
        <f t="shared" si="0"/>
        <v>001</v>
      </c>
      <c r="E24" s="6" t="str">
        <f>"曾天岸"</f>
        <v>曾天岸</v>
      </c>
      <c r="F24" s="6" t="str">
        <f>"202311181917"</f>
        <v>202311181917</v>
      </c>
      <c r="G24" s="7">
        <v>74</v>
      </c>
      <c r="H24" s="8">
        <v>19</v>
      </c>
      <c r="I24" s="5"/>
    </row>
    <row r="25" spans="1:9" ht="24.75" customHeight="1">
      <c r="A25" s="5">
        <v>22</v>
      </c>
      <c r="B25" s="6" t="s">
        <v>11</v>
      </c>
      <c r="C25" s="6" t="s">
        <v>12</v>
      </c>
      <c r="D25" s="6" t="str">
        <f t="shared" si="0"/>
        <v>001</v>
      </c>
      <c r="E25" s="6" t="str">
        <f>"王元利"</f>
        <v>王元利</v>
      </c>
      <c r="F25" s="6" t="str">
        <f>"202311182517"</f>
        <v>202311182517</v>
      </c>
      <c r="G25" s="7">
        <v>74</v>
      </c>
      <c r="H25" s="8">
        <v>19</v>
      </c>
      <c r="I25" s="5"/>
    </row>
    <row r="26" spans="1:9" ht="24.75" customHeight="1">
      <c r="A26" s="5">
        <v>23</v>
      </c>
      <c r="B26" s="6" t="s">
        <v>11</v>
      </c>
      <c r="C26" s="6" t="s">
        <v>12</v>
      </c>
      <c r="D26" s="6" t="str">
        <f t="shared" si="0"/>
        <v>001</v>
      </c>
      <c r="E26" s="6" t="str">
        <f>"吴秋颜"</f>
        <v>吴秋颜</v>
      </c>
      <c r="F26" s="6" t="str">
        <f>"202311180107"</f>
        <v>202311180107</v>
      </c>
      <c r="G26" s="7">
        <v>73.25</v>
      </c>
      <c r="H26" s="8">
        <v>23</v>
      </c>
      <c r="I26" s="5"/>
    </row>
    <row r="27" spans="1:9" ht="24.75" customHeight="1">
      <c r="A27" s="5">
        <v>24</v>
      </c>
      <c r="B27" s="6" t="s">
        <v>11</v>
      </c>
      <c r="C27" s="6" t="s">
        <v>12</v>
      </c>
      <c r="D27" s="6" t="str">
        <f t="shared" si="0"/>
        <v>001</v>
      </c>
      <c r="E27" s="6" t="str">
        <f>"王桃瑞"</f>
        <v>王桃瑞</v>
      </c>
      <c r="F27" s="6" t="str">
        <f>"202311180505"</f>
        <v>202311180505</v>
      </c>
      <c r="G27" s="7">
        <v>73.25</v>
      </c>
      <c r="H27" s="8">
        <v>23</v>
      </c>
      <c r="I27" s="5"/>
    </row>
    <row r="28" spans="1:9" ht="24.75" customHeight="1">
      <c r="A28" s="5">
        <v>25</v>
      </c>
      <c r="B28" s="6" t="s">
        <v>11</v>
      </c>
      <c r="C28" s="6" t="s">
        <v>12</v>
      </c>
      <c r="D28" s="6" t="str">
        <f t="shared" si="0"/>
        <v>001</v>
      </c>
      <c r="E28" s="6" t="str">
        <f>"符俊娜"</f>
        <v>符俊娜</v>
      </c>
      <c r="F28" s="6" t="str">
        <f>"202311182307"</f>
        <v>202311182307</v>
      </c>
      <c r="G28" s="7">
        <v>73.25</v>
      </c>
      <c r="H28" s="8">
        <v>23</v>
      </c>
      <c r="I28" s="5"/>
    </row>
    <row r="29" spans="1:9" ht="24.75" customHeight="1">
      <c r="A29" s="5">
        <v>26</v>
      </c>
      <c r="B29" s="6" t="s">
        <v>11</v>
      </c>
      <c r="C29" s="6" t="s">
        <v>12</v>
      </c>
      <c r="D29" s="6" t="str">
        <f t="shared" si="0"/>
        <v>001</v>
      </c>
      <c r="E29" s="6" t="str">
        <f>"李松键"</f>
        <v>李松键</v>
      </c>
      <c r="F29" s="6" t="str">
        <f>"202311180515"</f>
        <v>202311180515</v>
      </c>
      <c r="G29" s="7">
        <v>72.25</v>
      </c>
      <c r="H29" s="8">
        <v>26</v>
      </c>
      <c r="I29" s="5"/>
    </row>
    <row r="30" spans="1:9" ht="24.75" customHeight="1">
      <c r="A30" s="5">
        <v>27</v>
      </c>
      <c r="B30" s="6" t="s">
        <v>11</v>
      </c>
      <c r="C30" s="6" t="s">
        <v>12</v>
      </c>
      <c r="D30" s="6" t="str">
        <f t="shared" si="0"/>
        <v>001</v>
      </c>
      <c r="E30" s="6" t="str">
        <f>"林芷蔚"</f>
        <v>林芷蔚</v>
      </c>
      <c r="F30" s="6" t="str">
        <f>"202311180618"</f>
        <v>202311180618</v>
      </c>
      <c r="G30" s="7">
        <v>72.25</v>
      </c>
      <c r="H30" s="8">
        <v>26</v>
      </c>
      <c r="I30" s="5"/>
    </row>
    <row r="31" spans="1:9" ht="24.75" customHeight="1">
      <c r="A31" s="5">
        <v>28</v>
      </c>
      <c r="B31" s="6" t="s">
        <v>11</v>
      </c>
      <c r="C31" s="6" t="s">
        <v>12</v>
      </c>
      <c r="D31" s="6" t="str">
        <f t="shared" si="0"/>
        <v>001</v>
      </c>
      <c r="E31" s="6" t="str">
        <f>"蔡惠卿"</f>
        <v>蔡惠卿</v>
      </c>
      <c r="F31" s="6" t="str">
        <f>"202311180717"</f>
        <v>202311180717</v>
      </c>
      <c r="G31" s="7">
        <v>72</v>
      </c>
      <c r="H31" s="8">
        <v>28</v>
      </c>
      <c r="I31" s="5"/>
    </row>
    <row r="32" spans="1:9" ht="24.75" customHeight="1">
      <c r="A32" s="5">
        <v>29</v>
      </c>
      <c r="B32" s="6" t="s">
        <v>11</v>
      </c>
      <c r="C32" s="6" t="s">
        <v>12</v>
      </c>
      <c r="D32" s="6" t="str">
        <f t="shared" si="0"/>
        <v>001</v>
      </c>
      <c r="E32" s="6" t="str">
        <f>"辜冠铭"</f>
        <v>辜冠铭</v>
      </c>
      <c r="F32" s="6" t="str">
        <f>"202311180730"</f>
        <v>202311180730</v>
      </c>
      <c r="G32" s="7">
        <v>71.75</v>
      </c>
      <c r="H32" s="8">
        <v>29</v>
      </c>
      <c r="I32" s="5"/>
    </row>
    <row r="33" spans="1:9" ht="24.75" customHeight="1">
      <c r="A33" s="5">
        <v>30</v>
      </c>
      <c r="B33" s="6" t="s">
        <v>11</v>
      </c>
      <c r="C33" s="6" t="s">
        <v>12</v>
      </c>
      <c r="D33" s="6" t="str">
        <f t="shared" si="0"/>
        <v>001</v>
      </c>
      <c r="E33" s="6" t="str">
        <f>"吴壮"</f>
        <v>吴壮</v>
      </c>
      <c r="F33" s="6" t="str">
        <f>"202311181208"</f>
        <v>202311181208</v>
      </c>
      <c r="G33" s="7">
        <v>71.75</v>
      </c>
      <c r="H33" s="8">
        <v>29</v>
      </c>
      <c r="I33" s="5"/>
    </row>
    <row r="34" spans="1:9" ht="24.75" customHeight="1">
      <c r="A34" s="5">
        <v>31</v>
      </c>
      <c r="B34" s="6" t="s">
        <v>11</v>
      </c>
      <c r="C34" s="6" t="s">
        <v>12</v>
      </c>
      <c r="D34" s="6" t="str">
        <f t="shared" si="0"/>
        <v>001</v>
      </c>
      <c r="E34" s="6" t="str">
        <f>"李一诚"</f>
        <v>李一诚</v>
      </c>
      <c r="F34" s="6" t="str">
        <f>"202311182122"</f>
        <v>202311182122</v>
      </c>
      <c r="G34" s="7">
        <v>71.75</v>
      </c>
      <c r="H34" s="8">
        <v>29</v>
      </c>
      <c r="I34" s="5"/>
    </row>
    <row r="35" spans="1:9" ht="24.75" customHeight="1">
      <c r="A35" s="5">
        <v>32</v>
      </c>
      <c r="B35" s="6" t="s">
        <v>11</v>
      </c>
      <c r="C35" s="6" t="s">
        <v>12</v>
      </c>
      <c r="D35" s="6" t="str">
        <f t="shared" si="0"/>
        <v>001</v>
      </c>
      <c r="E35" s="6" t="str">
        <f>"郑春伟"</f>
        <v>郑春伟</v>
      </c>
      <c r="F35" s="6" t="str">
        <f>"202311182118"</f>
        <v>202311182118</v>
      </c>
      <c r="G35" s="7">
        <v>71.5</v>
      </c>
      <c r="H35" s="8">
        <v>32</v>
      </c>
      <c r="I35" s="5"/>
    </row>
    <row r="36" spans="1:9" ht="24.75" customHeight="1">
      <c r="A36" s="5">
        <v>33</v>
      </c>
      <c r="B36" s="6" t="s">
        <v>11</v>
      </c>
      <c r="C36" s="6" t="s">
        <v>12</v>
      </c>
      <c r="D36" s="6" t="str">
        <f t="shared" si="0"/>
        <v>001</v>
      </c>
      <c r="E36" s="6" t="str">
        <f>"郑月新"</f>
        <v>郑月新</v>
      </c>
      <c r="F36" s="6" t="str">
        <f>"202311182415"</f>
        <v>202311182415</v>
      </c>
      <c r="G36" s="7">
        <v>71.25</v>
      </c>
      <c r="H36" s="8">
        <v>33</v>
      </c>
      <c r="I36" s="5"/>
    </row>
    <row r="37" spans="1:9" ht="24.75" customHeight="1">
      <c r="A37" s="5">
        <v>34</v>
      </c>
      <c r="B37" s="6" t="s">
        <v>11</v>
      </c>
      <c r="C37" s="6" t="s">
        <v>12</v>
      </c>
      <c r="D37" s="6" t="str">
        <f t="shared" si="0"/>
        <v>001</v>
      </c>
      <c r="E37" s="6" t="str">
        <f>"孙培旺"</f>
        <v>孙培旺</v>
      </c>
      <c r="F37" s="6" t="str">
        <f>"202311180701"</f>
        <v>202311180701</v>
      </c>
      <c r="G37" s="7">
        <v>71</v>
      </c>
      <c r="H37" s="8">
        <v>34</v>
      </c>
      <c r="I37" s="5"/>
    </row>
    <row r="38" spans="1:9" ht="24.75" customHeight="1">
      <c r="A38" s="5">
        <v>35</v>
      </c>
      <c r="B38" s="6" t="s">
        <v>11</v>
      </c>
      <c r="C38" s="6" t="s">
        <v>12</v>
      </c>
      <c r="D38" s="6" t="str">
        <f t="shared" si="0"/>
        <v>001</v>
      </c>
      <c r="E38" s="6" t="str">
        <f>"陈梦圆"</f>
        <v>陈梦圆</v>
      </c>
      <c r="F38" s="6" t="str">
        <f>"202311180829"</f>
        <v>202311180829</v>
      </c>
      <c r="G38" s="7">
        <v>71</v>
      </c>
      <c r="H38" s="8">
        <v>34</v>
      </c>
      <c r="I38" s="5"/>
    </row>
    <row r="39" spans="1:9" ht="24.75" customHeight="1">
      <c r="A39" s="5">
        <v>36</v>
      </c>
      <c r="B39" s="6" t="s">
        <v>11</v>
      </c>
      <c r="C39" s="6" t="s">
        <v>12</v>
      </c>
      <c r="D39" s="6" t="str">
        <f t="shared" si="0"/>
        <v>001</v>
      </c>
      <c r="E39" s="6" t="str">
        <f>"陈芳慧"</f>
        <v>陈芳慧</v>
      </c>
      <c r="F39" s="6" t="str">
        <f>"202311180916"</f>
        <v>202311180916</v>
      </c>
      <c r="G39" s="7">
        <v>71</v>
      </c>
      <c r="H39" s="8">
        <v>34</v>
      </c>
      <c r="I39" s="5"/>
    </row>
    <row r="40" spans="1:9" ht="24.75" customHeight="1">
      <c r="A40" s="5">
        <v>37</v>
      </c>
      <c r="B40" s="6" t="s">
        <v>11</v>
      </c>
      <c r="C40" s="6" t="s">
        <v>12</v>
      </c>
      <c r="D40" s="6" t="str">
        <f t="shared" si="0"/>
        <v>001</v>
      </c>
      <c r="E40" s="6" t="str">
        <f>"陈莹"</f>
        <v>陈莹</v>
      </c>
      <c r="F40" s="6" t="str">
        <f>"202311181014"</f>
        <v>202311181014</v>
      </c>
      <c r="G40" s="7">
        <v>71</v>
      </c>
      <c r="H40" s="8">
        <v>34</v>
      </c>
      <c r="I40" s="5"/>
    </row>
    <row r="41" spans="1:9" ht="24.75" customHeight="1">
      <c r="A41" s="5">
        <v>38</v>
      </c>
      <c r="B41" s="6" t="s">
        <v>11</v>
      </c>
      <c r="C41" s="6" t="s">
        <v>12</v>
      </c>
      <c r="D41" s="6" t="str">
        <f t="shared" si="0"/>
        <v>001</v>
      </c>
      <c r="E41" s="6" t="str">
        <f>"柯莹"</f>
        <v>柯莹</v>
      </c>
      <c r="F41" s="6" t="str">
        <f>"202311181622"</f>
        <v>202311181622</v>
      </c>
      <c r="G41" s="7">
        <v>71</v>
      </c>
      <c r="H41" s="8">
        <v>34</v>
      </c>
      <c r="I41" s="5"/>
    </row>
    <row r="42" spans="1:9" ht="24.75" customHeight="1">
      <c r="A42" s="5">
        <v>39</v>
      </c>
      <c r="B42" s="6" t="s">
        <v>11</v>
      </c>
      <c r="C42" s="6" t="s">
        <v>12</v>
      </c>
      <c r="D42" s="6" t="str">
        <f t="shared" si="0"/>
        <v>001</v>
      </c>
      <c r="E42" s="6" t="str">
        <f>"池泽云"</f>
        <v>池泽云</v>
      </c>
      <c r="F42" s="6" t="str">
        <f>"202311182408"</f>
        <v>202311182408</v>
      </c>
      <c r="G42" s="7">
        <v>71</v>
      </c>
      <c r="H42" s="8">
        <v>34</v>
      </c>
      <c r="I42" s="5"/>
    </row>
    <row r="43" spans="1:9" ht="24.75" customHeight="1">
      <c r="A43" s="5">
        <v>40</v>
      </c>
      <c r="B43" s="6" t="s">
        <v>11</v>
      </c>
      <c r="C43" s="6" t="s">
        <v>12</v>
      </c>
      <c r="D43" s="6" t="str">
        <f t="shared" si="0"/>
        <v>001</v>
      </c>
      <c r="E43" s="6" t="str">
        <f>"韦晓春"</f>
        <v>韦晓春</v>
      </c>
      <c r="F43" s="6" t="str">
        <f>"202311180813"</f>
        <v>202311180813</v>
      </c>
      <c r="G43" s="7">
        <v>70.75</v>
      </c>
      <c r="H43" s="8">
        <v>40</v>
      </c>
      <c r="I43" s="5"/>
    </row>
    <row r="44" spans="1:9" ht="24.75" customHeight="1">
      <c r="A44" s="5">
        <v>41</v>
      </c>
      <c r="B44" s="6" t="s">
        <v>11</v>
      </c>
      <c r="C44" s="6" t="s">
        <v>12</v>
      </c>
      <c r="D44" s="6" t="str">
        <f t="shared" si="0"/>
        <v>001</v>
      </c>
      <c r="E44" s="6" t="str">
        <f>"占忠忠"</f>
        <v>占忠忠</v>
      </c>
      <c r="F44" s="6" t="str">
        <f>"202311181512"</f>
        <v>202311181512</v>
      </c>
      <c r="G44" s="7">
        <v>70.75</v>
      </c>
      <c r="H44" s="8">
        <v>40</v>
      </c>
      <c r="I44" s="5"/>
    </row>
    <row r="45" spans="1:9" ht="24.75" customHeight="1">
      <c r="A45" s="5">
        <v>42</v>
      </c>
      <c r="B45" s="6" t="s">
        <v>11</v>
      </c>
      <c r="C45" s="6" t="s">
        <v>12</v>
      </c>
      <c r="D45" s="6" t="str">
        <f t="shared" si="0"/>
        <v>001</v>
      </c>
      <c r="E45" s="6" t="str">
        <f>"王惠娇"</f>
        <v>王惠娇</v>
      </c>
      <c r="F45" s="6" t="str">
        <f>"202311181518"</f>
        <v>202311181518</v>
      </c>
      <c r="G45" s="7">
        <v>70.75</v>
      </c>
      <c r="H45" s="8">
        <v>40</v>
      </c>
      <c r="I45" s="5"/>
    </row>
    <row r="46" spans="1:9" ht="24.75" customHeight="1">
      <c r="A46" s="5">
        <v>43</v>
      </c>
      <c r="B46" s="6" t="s">
        <v>11</v>
      </c>
      <c r="C46" s="6" t="s">
        <v>12</v>
      </c>
      <c r="D46" s="6" t="str">
        <f t="shared" si="0"/>
        <v>001</v>
      </c>
      <c r="E46" s="6" t="str">
        <f>"龚楚昊"</f>
        <v>龚楚昊</v>
      </c>
      <c r="F46" s="6" t="str">
        <f>"202311182126"</f>
        <v>202311182126</v>
      </c>
      <c r="G46" s="7">
        <v>70.75</v>
      </c>
      <c r="H46" s="8">
        <v>40</v>
      </c>
      <c r="I46" s="5"/>
    </row>
    <row r="47" spans="1:9" ht="24.75" customHeight="1">
      <c r="A47" s="5">
        <v>44</v>
      </c>
      <c r="B47" s="6" t="s">
        <v>11</v>
      </c>
      <c r="C47" s="6" t="s">
        <v>12</v>
      </c>
      <c r="D47" s="6" t="str">
        <f t="shared" si="0"/>
        <v>001</v>
      </c>
      <c r="E47" s="6" t="str">
        <f>"吕丽君"</f>
        <v>吕丽君</v>
      </c>
      <c r="F47" s="6" t="str">
        <f>"202311182602"</f>
        <v>202311182602</v>
      </c>
      <c r="G47" s="7">
        <v>70.75</v>
      </c>
      <c r="H47" s="8">
        <v>40</v>
      </c>
      <c r="I47" s="5"/>
    </row>
    <row r="48" spans="1:9" ht="24.75" customHeight="1">
      <c r="A48" s="5">
        <v>45</v>
      </c>
      <c r="B48" s="6" t="s">
        <v>11</v>
      </c>
      <c r="C48" s="6" t="s">
        <v>12</v>
      </c>
      <c r="D48" s="6" t="str">
        <f t="shared" si="0"/>
        <v>001</v>
      </c>
      <c r="E48" s="6" t="str">
        <f>"李王玲"</f>
        <v>李王玲</v>
      </c>
      <c r="F48" s="6" t="str">
        <f>"202311181406"</f>
        <v>202311181406</v>
      </c>
      <c r="G48" s="7">
        <v>70.5</v>
      </c>
      <c r="H48" s="8">
        <v>45</v>
      </c>
      <c r="I48" s="5"/>
    </row>
    <row r="49" spans="1:9" ht="24.75" customHeight="1">
      <c r="A49" s="5">
        <v>46</v>
      </c>
      <c r="B49" s="6" t="s">
        <v>11</v>
      </c>
      <c r="C49" s="6" t="s">
        <v>12</v>
      </c>
      <c r="D49" s="6" t="str">
        <f t="shared" si="0"/>
        <v>001</v>
      </c>
      <c r="E49" s="6" t="str">
        <f>"黎品良"</f>
        <v>黎品良</v>
      </c>
      <c r="F49" s="6" t="str">
        <f>"202311182407"</f>
        <v>202311182407</v>
      </c>
      <c r="G49" s="7">
        <v>70.5</v>
      </c>
      <c r="H49" s="8">
        <v>45</v>
      </c>
      <c r="I49" s="5"/>
    </row>
    <row r="50" spans="1:9" ht="24.75" customHeight="1">
      <c r="A50" s="5">
        <v>47</v>
      </c>
      <c r="B50" s="6" t="s">
        <v>11</v>
      </c>
      <c r="C50" s="6" t="s">
        <v>12</v>
      </c>
      <c r="D50" s="6" t="str">
        <f t="shared" si="0"/>
        <v>001</v>
      </c>
      <c r="E50" s="6" t="str">
        <f>"罗鹏"</f>
        <v>罗鹏</v>
      </c>
      <c r="F50" s="6" t="str">
        <f>"202311182603"</f>
        <v>202311182603</v>
      </c>
      <c r="G50" s="7">
        <v>70.5</v>
      </c>
      <c r="H50" s="8">
        <v>45</v>
      </c>
      <c r="I50" s="5"/>
    </row>
    <row r="51" spans="1:9" ht="24.75" customHeight="1">
      <c r="A51" s="5">
        <v>48</v>
      </c>
      <c r="B51" s="6" t="s">
        <v>11</v>
      </c>
      <c r="C51" s="6" t="s">
        <v>12</v>
      </c>
      <c r="D51" s="6" t="str">
        <f t="shared" si="0"/>
        <v>001</v>
      </c>
      <c r="E51" s="6" t="str">
        <f>"林斯香"</f>
        <v>林斯香</v>
      </c>
      <c r="F51" s="6" t="str">
        <f>"202311180727"</f>
        <v>202311180727</v>
      </c>
      <c r="G51" s="7">
        <v>70.25</v>
      </c>
      <c r="H51" s="8">
        <v>48</v>
      </c>
      <c r="I51" s="5"/>
    </row>
    <row r="52" spans="1:9" ht="24.75" customHeight="1">
      <c r="A52" s="5">
        <v>49</v>
      </c>
      <c r="B52" s="6" t="s">
        <v>11</v>
      </c>
      <c r="C52" s="6" t="s">
        <v>12</v>
      </c>
      <c r="D52" s="6" t="str">
        <f t="shared" si="0"/>
        <v>001</v>
      </c>
      <c r="E52" s="6" t="str">
        <f>"吴子勇"</f>
        <v>吴子勇</v>
      </c>
      <c r="F52" s="6" t="str">
        <f>"202311181013"</f>
        <v>202311181013</v>
      </c>
      <c r="G52" s="7">
        <v>70.25</v>
      </c>
      <c r="H52" s="8">
        <v>48</v>
      </c>
      <c r="I52" s="5"/>
    </row>
    <row r="53" spans="1:9" ht="24.75" customHeight="1">
      <c r="A53" s="5">
        <v>50</v>
      </c>
      <c r="B53" s="6" t="s">
        <v>11</v>
      </c>
      <c r="C53" s="6" t="s">
        <v>12</v>
      </c>
      <c r="D53" s="6" t="str">
        <f t="shared" si="0"/>
        <v>001</v>
      </c>
      <c r="E53" s="6" t="str">
        <f>"夏高龙"</f>
        <v>夏高龙</v>
      </c>
      <c r="F53" s="6" t="str">
        <f>"202311181230"</f>
        <v>202311181230</v>
      </c>
      <c r="G53" s="7">
        <v>70.25</v>
      </c>
      <c r="H53" s="8">
        <v>48</v>
      </c>
      <c r="I53" s="5"/>
    </row>
    <row r="54" spans="1:9" ht="24.75" customHeight="1">
      <c r="A54" s="5">
        <v>51</v>
      </c>
      <c r="B54" s="6" t="s">
        <v>11</v>
      </c>
      <c r="C54" s="6" t="s">
        <v>12</v>
      </c>
      <c r="D54" s="6" t="str">
        <f t="shared" si="0"/>
        <v>001</v>
      </c>
      <c r="E54" s="6" t="str">
        <f>"李秋娟"</f>
        <v>李秋娟</v>
      </c>
      <c r="F54" s="6" t="str">
        <f>"202311181603"</f>
        <v>202311181603</v>
      </c>
      <c r="G54" s="7">
        <v>70.25</v>
      </c>
      <c r="H54" s="8">
        <v>48</v>
      </c>
      <c r="I54" s="5"/>
    </row>
    <row r="55" spans="1:9" ht="24.75" customHeight="1">
      <c r="A55" s="5">
        <v>52</v>
      </c>
      <c r="B55" s="6" t="s">
        <v>11</v>
      </c>
      <c r="C55" s="6" t="s">
        <v>12</v>
      </c>
      <c r="D55" s="6" t="str">
        <f t="shared" si="0"/>
        <v>001</v>
      </c>
      <c r="E55" s="6" t="str">
        <f>"钟云"</f>
        <v>钟云</v>
      </c>
      <c r="F55" s="6" t="str">
        <f>"202311181620"</f>
        <v>202311181620</v>
      </c>
      <c r="G55" s="7">
        <v>70.25</v>
      </c>
      <c r="H55" s="8">
        <v>48</v>
      </c>
      <c r="I55" s="5"/>
    </row>
    <row r="56" spans="1:9" ht="24.75" customHeight="1">
      <c r="A56" s="5">
        <v>53</v>
      </c>
      <c r="B56" s="6" t="s">
        <v>11</v>
      </c>
      <c r="C56" s="6" t="s">
        <v>12</v>
      </c>
      <c r="D56" s="6" t="str">
        <f t="shared" si="0"/>
        <v>001</v>
      </c>
      <c r="E56" s="6" t="str">
        <f>"王丽莹"</f>
        <v>王丽莹</v>
      </c>
      <c r="F56" s="6" t="str">
        <f>"202311182013"</f>
        <v>202311182013</v>
      </c>
      <c r="G56" s="7">
        <v>70.25</v>
      </c>
      <c r="H56" s="8">
        <v>48</v>
      </c>
      <c r="I56" s="5"/>
    </row>
    <row r="57" spans="1:9" ht="24.75" customHeight="1">
      <c r="A57" s="5">
        <v>54</v>
      </c>
      <c r="B57" s="6" t="s">
        <v>11</v>
      </c>
      <c r="C57" s="6" t="s">
        <v>12</v>
      </c>
      <c r="D57" s="6" t="str">
        <f t="shared" si="0"/>
        <v>001</v>
      </c>
      <c r="E57" s="6" t="str">
        <f>"陈月浪"</f>
        <v>陈月浪</v>
      </c>
      <c r="F57" s="6" t="str">
        <f>"202311180608"</f>
        <v>202311180608</v>
      </c>
      <c r="G57" s="7">
        <v>70</v>
      </c>
      <c r="H57" s="8">
        <v>54</v>
      </c>
      <c r="I57" s="5"/>
    </row>
    <row r="58" spans="1:9" ht="24.75" customHeight="1">
      <c r="A58" s="5">
        <v>55</v>
      </c>
      <c r="B58" s="6" t="s">
        <v>11</v>
      </c>
      <c r="C58" s="6" t="s">
        <v>12</v>
      </c>
      <c r="D58" s="6" t="str">
        <f t="shared" si="0"/>
        <v>001</v>
      </c>
      <c r="E58" s="6" t="str">
        <f>"苏静娴"</f>
        <v>苏静娴</v>
      </c>
      <c r="F58" s="6" t="str">
        <f>"202311180814"</f>
        <v>202311180814</v>
      </c>
      <c r="G58" s="7">
        <v>70</v>
      </c>
      <c r="H58" s="8">
        <v>54</v>
      </c>
      <c r="I58" s="5"/>
    </row>
    <row r="59" spans="1:9" ht="24.75" customHeight="1">
      <c r="A59" s="5">
        <v>56</v>
      </c>
      <c r="B59" s="6" t="s">
        <v>11</v>
      </c>
      <c r="C59" s="6" t="s">
        <v>12</v>
      </c>
      <c r="D59" s="6" t="str">
        <f t="shared" si="0"/>
        <v>001</v>
      </c>
      <c r="E59" s="6" t="str">
        <f>"李明珠"</f>
        <v>李明珠</v>
      </c>
      <c r="F59" s="6" t="str">
        <f>"202311181418"</f>
        <v>202311181418</v>
      </c>
      <c r="G59" s="7">
        <v>69.75</v>
      </c>
      <c r="H59" s="8">
        <v>56</v>
      </c>
      <c r="I59" s="5"/>
    </row>
    <row r="60" spans="1:9" ht="24.75" customHeight="1">
      <c r="A60" s="5">
        <v>57</v>
      </c>
      <c r="B60" s="6" t="s">
        <v>11</v>
      </c>
      <c r="C60" s="6" t="s">
        <v>12</v>
      </c>
      <c r="D60" s="6" t="str">
        <f t="shared" si="0"/>
        <v>001</v>
      </c>
      <c r="E60" s="6" t="str">
        <f>"石洁"</f>
        <v>石洁</v>
      </c>
      <c r="F60" s="6" t="str">
        <f>"202311182221"</f>
        <v>202311182221</v>
      </c>
      <c r="G60" s="7">
        <v>69.75</v>
      </c>
      <c r="H60" s="8">
        <v>56</v>
      </c>
      <c r="I60" s="5"/>
    </row>
    <row r="61" spans="1:9" ht="24.75" customHeight="1">
      <c r="A61" s="5">
        <v>58</v>
      </c>
      <c r="B61" s="6" t="s">
        <v>11</v>
      </c>
      <c r="C61" s="6" t="s">
        <v>12</v>
      </c>
      <c r="D61" s="6" t="str">
        <f t="shared" si="0"/>
        <v>001</v>
      </c>
      <c r="E61" s="6" t="str">
        <f>"韦昌权"</f>
        <v>韦昌权</v>
      </c>
      <c r="F61" s="6" t="str">
        <f>"202311182324"</f>
        <v>202311182324</v>
      </c>
      <c r="G61" s="7">
        <v>69.75</v>
      </c>
      <c r="H61" s="8">
        <v>56</v>
      </c>
      <c r="I61" s="5"/>
    </row>
    <row r="62" spans="1:9" ht="24.75" customHeight="1">
      <c r="A62" s="5">
        <v>59</v>
      </c>
      <c r="B62" s="6" t="s">
        <v>11</v>
      </c>
      <c r="C62" s="6" t="s">
        <v>12</v>
      </c>
      <c r="D62" s="6" t="str">
        <f t="shared" si="0"/>
        <v>001</v>
      </c>
      <c r="E62" s="6" t="str">
        <f>"李铭灿"</f>
        <v>李铭灿</v>
      </c>
      <c r="F62" s="6" t="str">
        <f>"202311182525"</f>
        <v>202311182525</v>
      </c>
      <c r="G62" s="7">
        <v>69.75</v>
      </c>
      <c r="H62" s="8">
        <v>56</v>
      </c>
      <c r="I62" s="5"/>
    </row>
    <row r="63" spans="1:9" ht="24.75" customHeight="1">
      <c r="A63" s="5">
        <v>60</v>
      </c>
      <c r="B63" s="6" t="s">
        <v>11</v>
      </c>
      <c r="C63" s="6" t="s">
        <v>12</v>
      </c>
      <c r="D63" s="6" t="str">
        <f t="shared" si="0"/>
        <v>001</v>
      </c>
      <c r="E63" s="6" t="str">
        <f>"陈昱妃"</f>
        <v>陈昱妃</v>
      </c>
      <c r="F63" s="6" t="str">
        <f>"202311180715"</f>
        <v>202311180715</v>
      </c>
      <c r="G63" s="7">
        <v>69.5</v>
      </c>
      <c r="H63" s="8">
        <v>60</v>
      </c>
      <c r="I63" s="5"/>
    </row>
    <row r="64" spans="1:9" ht="24.75" customHeight="1">
      <c r="A64" s="5">
        <v>61</v>
      </c>
      <c r="B64" s="6" t="s">
        <v>11</v>
      </c>
      <c r="C64" s="6" t="s">
        <v>12</v>
      </c>
      <c r="D64" s="6" t="str">
        <f t="shared" si="0"/>
        <v>001</v>
      </c>
      <c r="E64" s="6" t="str">
        <f>"曾龙"</f>
        <v>曾龙</v>
      </c>
      <c r="F64" s="6" t="str">
        <f>"202311182101"</f>
        <v>202311182101</v>
      </c>
      <c r="G64" s="7">
        <v>69.5</v>
      </c>
      <c r="H64" s="8">
        <v>60</v>
      </c>
      <c r="I64" s="5"/>
    </row>
    <row r="65" spans="1:9" ht="24.75" customHeight="1">
      <c r="A65" s="5">
        <v>62</v>
      </c>
      <c r="B65" s="6" t="s">
        <v>11</v>
      </c>
      <c r="C65" s="6" t="s">
        <v>12</v>
      </c>
      <c r="D65" s="6" t="str">
        <f t="shared" si="0"/>
        <v>001</v>
      </c>
      <c r="E65" s="6" t="str">
        <f>"刘学嘉"</f>
        <v>刘学嘉</v>
      </c>
      <c r="F65" s="6" t="str">
        <f>"202311180201"</f>
        <v>202311180201</v>
      </c>
      <c r="G65" s="7">
        <v>69.25</v>
      </c>
      <c r="H65" s="8">
        <v>62</v>
      </c>
      <c r="I65" s="5"/>
    </row>
    <row r="66" spans="1:9" ht="24.75" customHeight="1">
      <c r="A66" s="5">
        <v>63</v>
      </c>
      <c r="B66" s="6" t="s">
        <v>11</v>
      </c>
      <c r="C66" s="6" t="s">
        <v>12</v>
      </c>
      <c r="D66" s="6" t="str">
        <f t="shared" si="0"/>
        <v>001</v>
      </c>
      <c r="E66" s="6" t="str">
        <f>"胡茂俊"</f>
        <v>胡茂俊</v>
      </c>
      <c r="F66" s="6" t="str">
        <f>"202311181027"</f>
        <v>202311181027</v>
      </c>
      <c r="G66" s="7">
        <v>69.25</v>
      </c>
      <c r="H66" s="8">
        <v>62</v>
      </c>
      <c r="I66" s="5"/>
    </row>
    <row r="67" spans="1:9" ht="24.75" customHeight="1">
      <c r="A67" s="5">
        <v>64</v>
      </c>
      <c r="B67" s="6" t="s">
        <v>11</v>
      </c>
      <c r="C67" s="6" t="s">
        <v>12</v>
      </c>
      <c r="D67" s="6" t="str">
        <f t="shared" si="0"/>
        <v>001</v>
      </c>
      <c r="E67" s="6" t="str">
        <f>"陈梦云"</f>
        <v>陈梦云</v>
      </c>
      <c r="F67" s="6" t="str">
        <f>"202311181722"</f>
        <v>202311181722</v>
      </c>
      <c r="G67" s="7">
        <v>69.25</v>
      </c>
      <c r="H67" s="8">
        <v>62</v>
      </c>
      <c r="I67" s="5"/>
    </row>
    <row r="68" spans="1:9" ht="24.75" customHeight="1">
      <c r="A68" s="5">
        <v>65</v>
      </c>
      <c r="B68" s="6" t="s">
        <v>11</v>
      </c>
      <c r="C68" s="6" t="s">
        <v>12</v>
      </c>
      <c r="D68" s="6" t="str">
        <f aca="true" t="shared" si="1" ref="D68:D131">"001"</f>
        <v>001</v>
      </c>
      <c r="E68" s="6" t="str">
        <f>"容英"</f>
        <v>容英</v>
      </c>
      <c r="F68" s="6" t="str">
        <f>"202311181905"</f>
        <v>202311181905</v>
      </c>
      <c r="G68" s="7">
        <v>69.25</v>
      </c>
      <c r="H68" s="8">
        <v>62</v>
      </c>
      <c r="I68" s="5"/>
    </row>
    <row r="69" spans="1:9" ht="24.75" customHeight="1">
      <c r="A69" s="5">
        <v>66</v>
      </c>
      <c r="B69" s="6" t="s">
        <v>11</v>
      </c>
      <c r="C69" s="6" t="s">
        <v>12</v>
      </c>
      <c r="D69" s="6" t="str">
        <f t="shared" si="1"/>
        <v>001</v>
      </c>
      <c r="E69" s="6" t="str">
        <f>"李雨芊"</f>
        <v>李雨芊</v>
      </c>
      <c r="F69" s="6" t="str">
        <f>"202311180928"</f>
        <v>202311180928</v>
      </c>
      <c r="G69" s="7">
        <v>69</v>
      </c>
      <c r="H69" s="8">
        <v>66</v>
      </c>
      <c r="I69" s="5"/>
    </row>
    <row r="70" spans="1:9" ht="24.75" customHeight="1">
      <c r="A70" s="5">
        <v>67</v>
      </c>
      <c r="B70" s="6" t="s">
        <v>11</v>
      </c>
      <c r="C70" s="6" t="s">
        <v>12</v>
      </c>
      <c r="D70" s="6" t="str">
        <f t="shared" si="1"/>
        <v>001</v>
      </c>
      <c r="E70" s="6" t="str">
        <f>"杨欣翀"</f>
        <v>杨欣翀</v>
      </c>
      <c r="F70" s="6" t="str">
        <f>"202311181408"</f>
        <v>202311181408</v>
      </c>
      <c r="G70" s="7">
        <v>69</v>
      </c>
      <c r="H70" s="8">
        <v>66</v>
      </c>
      <c r="I70" s="5"/>
    </row>
    <row r="71" spans="1:9" ht="24.75" customHeight="1">
      <c r="A71" s="5">
        <v>68</v>
      </c>
      <c r="B71" s="6" t="s">
        <v>11</v>
      </c>
      <c r="C71" s="6" t="s">
        <v>12</v>
      </c>
      <c r="D71" s="6" t="str">
        <f t="shared" si="1"/>
        <v>001</v>
      </c>
      <c r="E71" s="6" t="str">
        <f>"王秀容"</f>
        <v>王秀容</v>
      </c>
      <c r="F71" s="6" t="str">
        <f>"202311181723"</f>
        <v>202311181723</v>
      </c>
      <c r="G71" s="7">
        <v>69</v>
      </c>
      <c r="H71" s="8">
        <v>66</v>
      </c>
      <c r="I71" s="5"/>
    </row>
    <row r="72" spans="1:9" ht="24.75" customHeight="1">
      <c r="A72" s="5">
        <v>69</v>
      </c>
      <c r="B72" s="6" t="s">
        <v>11</v>
      </c>
      <c r="C72" s="6" t="s">
        <v>12</v>
      </c>
      <c r="D72" s="6" t="str">
        <f t="shared" si="1"/>
        <v>001</v>
      </c>
      <c r="E72" s="6" t="str">
        <f>"梁青"</f>
        <v>梁青</v>
      </c>
      <c r="F72" s="6" t="str">
        <f>"202311180117"</f>
        <v>202311180117</v>
      </c>
      <c r="G72" s="7">
        <v>68.75</v>
      </c>
      <c r="H72" s="8">
        <v>69</v>
      </c>
      <c r="I72" s="5"/>
    </row>
    <row r="73" spans="1:9" ht="24.75" customHeight="1">
      <c r="A73" s="5">
        <v>70</v>
      </c>
      <c r="B73" s="6" t="s">
        <v>11</v>
      </c>
      <c r="C73" s="6" t="s">
        <v>12</v>
      </c>
      <c r="D73" s="6" t="str">
        <f t="shared" si="1"/>
        <v>001</v>
      </c>
      <c r="E73" s="6" t="str">
        <f>"林静怡"</f>
        <v>林静怡</v>
      </c>
      <c r="F73" s="6" t="str">
        <f>"202311181329"</f>
        <v>202311181329</v>
      </c>
      <c r="G73" s="7">
        <v>68.75</v>
      </c>
      <c r="H73" s="8">
        <v>69</v>
      </c>
      <c r="I73" s="5"/>
    </row>
    <row r="74" spans="1:9" ht="24.75" customHeight="1">
      <c r="A74" s="5">
        <v>71</v>
      </c>
      <c r="B74" s="6" t="s">
        <v>11</v>
      </c>
      <c r="C74" s="6" t="s">
        <v>12</v>
      </c>
      <c r="D74" s="6" t="str">
        <f t="shared" si="1"/>
        <v>001</v>
      </c>
      <c r="E74" s="6" t="str">
        <f>"谢佳佳"</f>
        <v>谢佳佳</v>
      </c>
      <c r="F74" s="6" t="str">
        <f>"202311182528"</f>
        <v>202311182528</v>
      </c>
      <c r="G74" s="7">
        <v>68.75</v>
      </c>
      <c r="H74" s="8">
        <v>69</v>
      </c>
      <c r="I74" s="5"/>
    </row>
    <row r="75" spans="1:9" ht="24.75" customHeight="1">
      <c r="A75" s="5">
        <v>72</v>
      </c>
      <c r="B75" s="6" t="s">
        <v>11</v>
      </c>
      <c r="C75" s="6" t="s">
        <v>12</v>
      </c>
      <c r="D75" s="6" t="str">
        <f t="shared" si="1"/>
        <v>001</v>
      </c>
      <c r="E75" s="6" t="str">
        <f>"梁明银"</f>
        <v>梁明银</v>
      </c>
      <c r="F75" s="6" t="str">
        <f>"202311180412"</f>
        <v>202311180412</v>
      </c>
      <c r="G75" s="7">
        <v>68.5</v>
      </c>
      <c r="H75" s="8">
        <v>72</v>
      </c>
      <c r="I75" s="5"/>
    </row>
    <row r="76" spans="1:9" ht="24.75" customHeight="1">
      <c r="A76" s="5">
        <v>73</v>
      </c>
      <c r="B76" s="6" t="s">
        <v>11</v>
      </c>
      <c r="C76" s="6" t="s">
        <v>12</v>
      </c>
      <c r="D76" s="6" t="str">
        <f t="shared" si="1"/>
        <v>001</v>
      </c>
      <c r="E76" s="6" t="str">
        <f>"张飞艳"</f>
        <v>张飞艳</v>
      </c>
      <c r="F76" s="6" t="str">
        <f>"202311180425"</f>
        <v>202311180425</v>
      </c>
      <c r="G76" s="7">
        <v>68.5</v>
      </c>
      <c r="H76" s="8">
        <v>72</v>
      </c>
      <c r="I76" s="5"/>
    </row>
    <row r="77" spans="1:9" ht="24.75" customHeight="1">
      <c r="A77" s="5">
        <v>74</v>
      </c>
      <c r="B77" s="6" t="s">
        <v>11</v>
      </c>
      <c r="C77" s="6" t="s">
        <v>12</v>
      </c>
      <c r="D77" s="6" t="str">
        <f t="shared" si="1"/>
        <v>001</v>
      </c>
      <c r="E77" s="6" t="str">
        <f>"王腾"</f>
        <v>王腾</v>
      </c>
      <c r="F77" s="6" t="str">
        <f>"202311180825"</f>
        <v>202311180825</v>
      </c>
      <c r="G77" s="7">
        <v>68.5</v>
      </c>
      <c r="H77" s="8">
        <v>72</v>
      </c>
      <c r="I77" s="5"/>
    </row>
    <row r="78" spans="1:9" ht="24.75" customHeight="1">
      <c r="A78" s="5">
        <v>75</v>
      </c>
      <c r="B78" s="6" t="s">
        <v>11</v>
      </c>
      <c r="C78" s="6" t="s">
        <v>12</v>
      </c>
      <c r="D78" s="6" t="str">
        <f t="shared" si="1"/>
        <v>001</v>
      </c>
      <c r="E78" s="6" t="str">
        <f>"吴美慧"</f>
        <v>吴美慧</v>
      </c>
      <c r="F78" s="6" t="str">
        <f>"202311180930"</f>
        <v>202311180930</v>
      </c>
      <c r="G78" s="7">
        <v>68.5</v>
      </c>
      <c r="H78" s="8">
        <v>72</v>
      </c>
      <c r="I78" s="5"/>
    </row>
    <row r="79" spans="1:9" ht="24.75" customHeight="1">
      <c r="A79" s="5">
        <v>76</v>
      </c>
      <c r="B79" s="6" t="s">
        <v>11</v>
      </c>
      <c r="C79" s="6" t="s">
        <v>12</v>
      </c>
      <c r="D79" s="6" t="str">
        <f t="shared" si="1"/>
        <v>001</v>
      </c>
      <c r="E79" s="6" t="str">
        <f>"陈诗韵"</f>
        <v>陈诗韵</v>
      </c>
      <c r="F79" s="6" t="str">
        <f>"202311181315"</f>
        <v>202311181315</v>
      </c>
      <c r="G79" s="7">
        <v>68.5</v>
      </c>
      <c r="H79" s="8">
        <v>72</v>
      </c>
      <c r="I79" s="5"/>
    </row>
    <row r="80" spans="1:9" ht="24.75" customHeight="1">
      <c r="A80" s="5">
        <v>77</v>
      </c>
      <c r="B80" s="6" t="s">
        <v>11</v>
      </c>
      <c r="C80" s="6" t="s">
        <v>12</v>
      </c>
      <c r="D80" s="6" t="str">
        <f t="shared" si="1"/>
        <v>001</v>
      </c>
      <c r="E80" s="6" t="str">
        <f>"陈姝言"</f>
        <v>陈姝言</v>
      </c>
      <c r="F80" s="6" t="str">
        <f>"202311182318"</f>
        <v>202311182318</v>
      </c>
      <c r="G80" s="7">
        <v>68.5</v>
      </c>
      <c r="H80" s="8">
        <v>72</v>
      </c>
      <c r="I80" s="5"/>
    </row>
    <row r="81" spans="1:9" ht="24.75" customHeight="1">
      <c r="A81" s="5">
        <v>78</v>
      </c>
      <c r="B81" s="6" t="s">
        <v>11</v>
      </c>
      <c r="C81" s="6" t="s">
        <v>12</v>
      </c>
      <c r="D81" s="6" t="str">
        <f t="shared" si="1"/>
        <v>001</v>
      </c>
      <c r="E81" s="6" t="str">
        <f>"刘赫轩"</f>
        <v>刘赫轩</v>
      </c>
      <c r="F81" s="6" t="str">
        <f>"202311180617"</f>
        <v>202311180617</v>
      </c>
      <c r="G81" s="7">
        <v>68.25</v>
      </c>
      <c r="H81" s="8">
        <v>78</v>
      </c>
      <c r="I81" s="5"/>
    </row>
    <row r="82" spans="1:9" ht="24.75" customHeight="1">
      <c r="A82" s="5">
        <v>79</v>
      </c>
      <c r="B82" s="6" t="s">
        <v>11</v>
      </c>
      <c r="C82" s="6" t="s">
        <v>12</v>
      </c>
      <c r="D82" s="6" t="str">
        <f t="shared" si="1"/>
        <v>001</v>
      </c>
      <c r="E82" s="6" t="str">
        <f>"张承锋"</f>
        <v>张承锋</v>
      </c>
      <c r="F82" s="6" t="str">
        <f>"202311181410"</f>
        <v>202311181410</v>
      </c>
      <c r="G82" s="7">
        <v>68.25</v>
      </c>
      <c r="H82" s="8">
        <v>78</v>
      </c>
      <c r="I82" s="5"/>
    </row>
    <row r="83" spans="1:9" ht="24.75" customHeight="1">
      <c r="A83" s="5">
        <v>80</v>
      </c>
      <c r="B83" s="6" t="s">
        <v>11</v>
      </c>
      <c r="C83" s="6" t="s">
        <v>12</v>
      </c>
      <c r="D83" s="6" t="str">
        <f t="shared" si="1"/>
        <v>001</v>
      </c>
      <c r="E83" s="6" t="str">
        <f>"廖小燕"</f>
        <v>廖小燕</v>
      </c>
      <c r="F83" s="6" t="str">
        <f>"202311181430"</f>
        <v>202311181430</v>
      </c>
      <c r="G83" s="7">
        <v>68.25</v>
      </c>
      <c r="H83" s="8">
        <v>78</v>
      </c>
      <c r="I83" s="5"/>
    </row>
    <row r="84" spans="1:9" ht="24.75" customHeight="1">
      <c r="A84" s="5">
        <v>81</v>
      </c>
      <c r="B84" s="6" t="s">
        <v>11</v>
      </c>
      <c r="C84" s="6" t="s">
        <v>12</v>
      </c>
      <c r="D84" s="6" t="str">
        <f t="shared" si="1"/>
        <v>001</v>
      </c>
      <c r="E84" s="6" t="str">
        <f>"林师宇"</f>
        <v>林师宇</v>
      </c>
      <c r="F84" s="6" t="str">
        <f>"202311181911"</f>
        <v>202311181911</v>
      </c>
      <c r="G84" s="7">
        <v>68.25</v>
      </c>
      <c r="H84" s="8">
        <v>78</v>
      </c>
      <c r="I84" s="5"/>
    </row>
    <row r="85" spans="1:9" ht="24.75" customHeight="1">
      <c r="A85" s="5">
        <v>82</v>
      </c>
      <c r="B85" s="6" t="s">
        <v>11</v>
      </c>
      <c r="C85" s="6" t="s">
        <v>12</v>
      </c>
      <c r="D85" s="6" t="str">
        <f t="shared" si="1"/>
        <v>001</v>
      </c>
      <c r="E85" s="6" t="str">
        <f>"王婷婷"</f>
        <v>王婷婷</v>
      </c>
      <c r="F85" s="6" t="str">
        <f>"202311182622"</f>
        <v>202311182622</v>
      </c>
      <c r="G85" s="7">
        <v>68.25</v>
      </c>
      <c r="H85" s="8">
        <v>78</v>
      </c>
      <c r="I85" s="5"/>
    </row>
    <row r="86" spans="1:9" ht="24.75" customHeight="1">
      <c r="A86" s="5">
        <v>83</v>
      </c>
      <c r="B86" s="6" t="s">
        <v>11</v>
      </c>
      <c r="C86" s="6" t="s">
        <v>12</v>
      </c>
      <c r="D86" s="6" t="str">
        <f t="shared" si="1"/>
        <v>001</v>
      </c>
      <c r="E86" s="6" t="str">
        <f>"王宁"</f>
        <v>王宁</v>
      </c>
      <c r="F86" s="6" t="str">
        <f>"202311180121"</f>
        <v>202311180121</v>
      </c>
      <c r="G86" s="7">
        <v>68</v>
      </c>
      <c r="H86" s="8">
        <v>83</v>
      </c>
      <c r="I86" s="5"/>
    </row>
    <row r="87" spans="1:9" ht="24.75" customHeight="1">
      <c r="A87" s="5">
        <v>84</v>
      </c>
      <c r="B87" s="6" t="s">
        <v>11</v>
      </c>
      <c r="C87" s="6" t="s">
        <v>12</v>
      </c>
      <c r="D87" s="6" t="str">
        <f t="shared" si="1"/>
        <v>001</v>
      </c>
      <c r="E87" s="6" t="str">
        <f>"郭子莹"</f>
        <v>郭子莹</v>
      </c>
      <c r="F87" s="6" t="str">
        <f>"202311180303"</f>
        <v>202311180303</v>
      </c>
      <c r="G87" s="7">
        <v>68</v>
      </c>
      <c r="H87" s="8">
        <v>83</v>
      </c>
      <c r="I87" s="5"/>
    </row>
    <row r="88" spans="1:9" ht="24.75" customHeight="1">
      <c r="A88" s="5">
        <v>85</v>
      </c>
      <c r="B88" s="6" t="s">
        <v>11</v>
      </c>
      <c r="C88" s="6" t="s">
        <v>12</v>
      </c>
      <c r="D88" s="6" t="str">
        <f t="shared" si="1"/>
        <v>001</v>
      </c>
      <c r="E88" s="6" t="str">
        <f>"蒙亚妹"</f>
        <v>蒙亚妹</v>
      </c>
      <c r="F88" s="6" t="str">
        <f>"202311180629"</f>
        <v>202311180629</v>
      </c>
      <c r="G88" s="7">
        <v>68</v>
      </c>
      <c r="H88" s="8">
        <v>83</v>
      </c>
      <c r="I88" s="5"/>
    </row>
    <row r="89" spans="1:9" ht="24.75" customHeight="1">
      <c r="A89" s="5">
        <v>86</v>
      </c>
      <c r="B89" s="6" t="s">
        <v>11</v>
      </c>
      <c r="C89" s="6" t="s">
        <v>12</v>
      </c>
      <c r="D89" s="6" t="str">
        <f t="shared" si="1"/>
        <v>001</v>
      </c>
      <c r="E89" s="6" t="str">
        <f>"潘逸"</f>
        <v>潘逸</v>
      </c>
      <c r="F89" s="6" t="str">
        <f>"202311181629"</f>
        <v>202311181629</v>
      </c>
      <c r="G89" s="7">
        <v>68</v>
      </c>
      <c r="H89" s="8">
        <v>83</v>
      </c>
      <c r="I89" s="5"/>
    </row>
    <row r="90" spans="1:9" ht="24.75" customHeight="1">
      <c r="A90" s="5">
        <v>87</v>
      </c>
      <c r="B90" s="6" t="s">
        <v>11</v>
      </c>
      <c r="C90" s="6" t="s">
        <v>12</v>
      </c>
      <c r="D90" s="6" t="str">
        <f t="shared" si="1"/>
        <v>001</v>
      </c>
      <c r="E90" s="6" t="str">
        <f>"王汉鸿"</f>
        <v>王汉鸿</v>
      </c>
      <c r="F90" s="6" t="str">
        <f>"202311181924"</f>
        <v>202311181924</v>
      </c>
      <c r="G90" s="7">
        <v>68</v>
      </c>
      <c r="H90" s="8">
        <v>83</v>
      </c>
      <c r="I90" s="5"/>
    </row>
    <row r="91" spans="1:9" ht="24.75" customHeight="1">
      <c r="A91" s="5">
        <v>88</v>
      </c>
      <c r="B91" s="6" t="s">
        <v>11</v>
      </c>
      <c r="C91" s="6" t="s">
        <v>12</v>
      </c>
      <c r="D91" s="6" t="str">
        <f t="shared" si="1"/>
        <v>001</v>
      </c>
      <c r="E91" s="6" t="str">
        <f>"周莹"</f>
        <v>周莹</v>
      </c>
      <c r="F91" s="6" t="str">
        <f>"202311181929"</f>
        <v>202311181929</v>
      </c>
      <c r="G91" s="7">
        <v>68</v>
      </c>
      <c r="H91" s="8">
        <v>83</v>
      </c>
      <c r="I91" s="5"/>
    </row>
    <row r="92" spans="1:9" ht="24.75" customHeight="1">
      <c r="A92" s="5">
        <v>89</v>
      </c>
      <c r="B92" s="6" t="s">
        <v>11</v>
      </c>
      <c r="C92" s="6" t="s">
        <v>12</v>
      </c>
      <c r="D92" s="6" t="str">
        <f t="shared" si="1"/>
        <v>001</v>
      </c>
      <c r="E92" s="6" t="str">
        <f>"周千惠"</f>
        <v>周千惠</v>
      </c>
      <c r="F92" s="6" t="str">
        <f>"202311182411"</f>
        <v>202311182411</v>
      </c>
      <c r="G92" s="7">
        <v>68</v>
      </c>
      <c r="H92" s="8">
        <v>83</v>
      </c>
      <c r="I92" s="5"/>
    </row>
    <row r="93" spans="1:9" ht="24.75" customHeight="1">
      <c r="A93" s="5">
        <v>90</v>
      </c>
      <c r="B93" s="6" t="s">
        <v>11</v>
      </c>
      <c r="C93" s="6" t="s">
        <v>12</v>
      </c>
      <c r="D93" s="6" t="str">
        <f t="shared" si="1"/>
        <v>001</v>
      </c>
      <c r="E93" s="6" t="str">
        <f>"莫思琦"</f>
        <v>莫思琦</v>
      </c>
      <c r="F93" s="6" t="str">
        <f>"202311180323"</f>
        <v>202311180323</v>
      </c>
      <c r="G93" s="7">
        <v>67.75</v>
      </c>
      <c r="H93" s="8">
        <v>90</v>
      </c>
      <c r="I93" s="5"/>
    </row>
    <row r="94" spans="1:9" ht="24.75" customHeight="1">
      <c r="A94" s="5">
        <v>91</v>
      </c>
      <c r="B94" s="6" t="s">
        <v>11</v>
      </c>
      <c r="C94" s="6" t="s">
        <v>12</v>
      </c>
      <c r="D94" s="6" t="str">
        <f t="shared" si="1"/>
        <v>001</v>
      </c>
      <c r="E94" s="6" t="str">
        <f>"麦秋翠"</f>
        <v>麦秋翠</v>
      </c>
      <c r="F94" s="6" t="str">
        <f>"202311180507"</f>
        <v>202311180507</v>
      </c>
      <c r="G94" s="7">
        <v>67.75</v>
      </c>
      <c r="H94" s="8">
        <v>90</v>
      </c>
      <c r="I94" s="5"/>
    </row>
    <row r="95" spans="1:9" ht="24.75" customHeight="1">
      <c r="A95" s="5">
        <v>92</v>
      </c>
      <c r="B95" s="6" t="s">
        <v>11</v>
      </c>
      <c r="C95" s="6" t="s">
        <v>12</v>
      </c>
      <c r="D95" s="6" t="str">
        <f t="shared" si="1"/>
        <v>001</v>
      </c>
      <c r="E95" s="6" t="str">
        <f>"张可"</f>
        <v>张可</v>
      </c>
      <c r="F95" s="6" t="str">
        <f>"202311181809"</f>
        <v>202311181809</v>
      </c>
      <c r="G95" s="7">
        <v>67.75</v>
      </c>
      <c r="H95" s="8">
        <v>90</v>
      </c>
      <c r="I95" s="5"/>
    </row>
    <row r="96" spans="1:9" ht="24.75" customHeight="1">
      <c r="A96" s="5">
        <v>93</v>
      </c>
      <c r="B96" s="6" t="s">
        <v>11</v>
      </c>
      <c r="C96" s="6" t="s">
        <v>12</v>
      </c>
      <c r="D96" s="6" t="str">
        <f t="shared" si="1"/>
        <v>001</v>
      </c>
      <c r="E96" s="6" t="str">
        <f>"林小涯"</f>
        <v>林小涯</v>
      </c>
      <c r="F96" s="6" t="str">
        <f>"202311182002"</f>
        <v>202311182002</v>
      </c>
      <c r="G96" s="7">
        <v>67.75</v>
      </c>
      <c r="H96" s="8">
        <v>90</v>
      </c>
      <c r="I96" s="5"/>
    </row>
    <row r="97" spans="1:9" ht="24.75" customHeight="1">
      <c r="A97" s="5">
        <v>94</v>
      </c>
      <c r="B97" s="6" t="s">
        <v>11</v>
      </c>
      <c r="C97" s="6" t="s">
        <v>12</v>
      </c>
      <c r="D97" s="6" t="str">
        <f t="shared" si="1"/>
        <v>001</v>
      </c>
      <c r="E97" s="6" t="str">
        <f>"黄小珍"</f>
        <v>黄小珍</v>
      </c>
      <c r="F97" s="6" t="str">
        <f>"202311182410"</f>
        <v>202311182410</v>
      </c>
      <c r="G97" s="7">
        <v>67.75</v>
      </c>
      <c r="H97" s="8">
        <v>90</v>
      </c>
      <c r="I97" s="5"/>
    </row>
    <row r="98" spans="1:9" ht="24.75" customHeight="1">
      <c r="A98" s="5">
        <v>95</v>
      </c>
      <c r="B98" s="6" t="s">
        <v>11</v>
      </c>
      <c r="C98" s="6" t="s">
        <v>12</v>
      </c>
      <c r="D98" s="6" t="str">
        <f t="shared" si="1"/>
        <v>001</v>
      </c>
      <c r="E98" s="6" t="str">
        <f>"陈腾"</f>
        <v>陈腾</v>
      </c>
      <c r="F98" s="6" t="str">
        <f>"202311180325"</f>
        <v>202311180325</v>
      </c>
      <c r="G98" s="7">
        <v>67.5</v>
      </c>
      <c r="H98" s="8">
        <v>95</v>
      </c>
      <c r="I98" s="5"/>
    </row>
    <row r="99" spans="1:9" ht="24.75" customHeight="1">
      <c r="A99" s="5">
        <v>96</v>
      </c>
      <c r="B99" s="6" t="s">
        <v>11</v>
      </c>
      <c r="C99" s="6" t="s">
        <v>12</v>
      </c>
      <c r="D99" s="6" t="str">
        <f t="shared" si="1"/>
        <v>001</v>
      </c>
      <c r="E99" s="6" t="str">
        <f>"黎昱杉"</f>
        <v>黎昱杉</v>
      </c>
      <c r="F99" s="6" t="str">
        <f>"202311181815"</f>
        <v>202311181815</v>
      </c>
      <c r="G99" s="7">
        <v>67.5</v>
      </c>
      <c r="H99" s="8">
        <v>95</v>
      </c>
      <c r="I99" s="5"/>
    </row>
    <row r="100" spans="1:9" ht="24.75" customHeight="1">
      <c r="A100" s="5">
        <v>97</v>
      </c>
      <c r="B100" s="6" t="s">
        <v>11</v>
      </c>
      <c r="C100" s="6" t="s">
        <v>12</v>
      </c>
      <c r="D100" s="6" t="str">
        <f t="shared" si="1"/>
        <v>001</v>
      </c>
      <c r="E100" s="6" t="str">
        <f>"洪梅"</f>
        <v>洪梅</v>
      </c>
      <c r="F100" s="6" t="str">
        <f>"202311180526"</f>
        <v>202311180526</v>
      </c>
      <c r="G100" s="7">
        <v>67.25</v>
      </c>
      <c r="H100" s="8">
        <v>97</v>
      </c>
      <c r="I100" s="5"/>
    </row>
    <row r="101" spans="1:9" ht="24.75" customHeight="1">
      <c r="A101" s="5">
        <v>98</v>
      </c>
      <c r="B101" s="6" t="s">
        <v>11</v>
      </c>
      <c r="C101" s="6" t="s">
        <v>12</v>
      </c>
      <c r="D101" s="6" t="str">
        <f t="shared" si="1"/>
        <v>001</v>
      </c>
      <c r="E101" s="6" t="str">
        <f>"符慧娴"</f>
        <v>符慧娴</v>
      </c>
      <c r="F101" s="6" t="str">
        <f>"202311181515"</f>
        <v>202311181515</v>
      </c>
      <c r="G101" s="7">
        <v>67.25</v>
      </c>
      <c r="H101" s="8">
        <v>97</v>
      </c>
      <c r="I101" s="5"/>
    </row>
    <row r="102" spans="1:9" ht="24.75" customHeight="1">
      <c r="A102" s="5">
        <v>99</v>
      </c>
      <c r="B102" s="6" t="s">
        <v>11</v>
      </c>
      <c r="C102" s="6" t="s">
        <v>12</v>
      </c>
      <c r="D102" s="6" t="str">
        <f t="shared" si="1"/>
        <v>001</v>
      </c>
      <c r="E102" s="6" t="str">
        <f>"黄云飞"</f>
        <v>黄云飞</v>
      </c>
      <c r="F102" s="6" t="str">
        <f>"202311181607"</f>
        <v>202311181607</v>
      </c>
      <c r="G102" s="7">
        <v>67.25</v>
      </c>
      <c r="H102" s="8">
        <v>97</v>
      </c>
      <c r="I102" s="5"/>
    </row>
    <row r="103" spans="1:9" ht="24.75" customHeight="1">
      <c r="A103" s="5">
        <v>100</v>
      </c>
      <c r="B103" s="6" t="s">
        <v>11</v>
      </c>
      <c r="C103" s="6" t="s">
        <v>12</v>
      </c>
      <c r="D103" s="6" t="str">
        <f t="shared" si="1"/>
        <v>001</v>
      </c>
      <c r="E103" s="6" t="str">
        <f>"李光伟"</f>
        <v>李光伟</v>
      </c>
      <c r="F103" s="6" t="str">
        <f>"202311181812"</f>
        <v>202311181812</v>
      </c>
      <c r="G103" s="7">
        <v>67.25</v>
      </c>
      <c r="H103" s="8">
        <v>97</v>
      </c>
      <c r="I103" s="5"/>
    </row>
    <row r="104" spans="1:9" ht="24.75" customHeight="1">
      <c r="A104" s="5">
        <v>101</v>
      </c>
      <c r="B104" s="6" t="s">
        <v>11</v>
      </c>
      <c r="C104" s="6" t="s">
        <v>12</v>
      </c>
      <c r="D104" s="6" t="str">
        <f t="shared" si="1"/>
        <v>001</v>
      </c>
      <c r="E104" s="6" t="str">
        <f>"谢小惠"</f>
        <v>谢小惠</v>
      </c>
      <c r="F104" s="6" t="str">
        <f>"202311181910"</f>
        <v>202311181910</v>
      </c>
      <c r="G104" s="7">
        <v>67.25</v>
      </c>
      <c r="H104" s="8">
        <v>97</v>
      </c>
      <c r="I104" s="5"/>
    </row>
    <row r="105" spans="1:9" ht="24.75" customHeight="1">
      <c r="A105" s="5">
        <v>102</v>
      </c>
      <c r="B105" s="6" t="s">
        <v>11</v>
      </c>
      <c r="C105" s="6" t="s">
        <v>12</v>
      </c>
      <c r="D105" s="6" t="str">
        <f t="shared" si="1"/>
        <v>001</v>
      </c>
      <c r="E105" s="6" t="str">
        <f>"梁晓熔"</f>
        <v>梁晓熔</v>
      </c>
      <c r="F105" s="6" t="str">
        <f>"202311180314"</f>
        <v>202311180314</v>
      </c>
      <c r="G105" s="7">
        <v>67</v>
      </c>
      <c r="H105" s="8">
        <v>102</v>
      </c>
      <c r="I105" s="5"/>
    </row>
    <row r="106" spans="1:9" ht="24.75" customHeight="1">
      <c r="A106" s="5">
        <v>103</v>
      </c>
      <c r="B106" s="6" t="s">
        <v>11</v>
      </c>
      <c r="C106" s="6" t="s">
        <v>12</v>
      </c>
      <c r="D106" s="6" t="str">
        <f t="shared" si="1"/>
        <v>001</v>
      </c>
      <c r="E106" s="6" t="str">
        <f>"王淑煜"</f>
        <v>王淑煜</v>
      </c>
      <c r="F106" s="6" t="str">
        <f>"202311180612"</f>
        <v>202311180612</v>
      </c>
      <c r="G106" s="7">
        <v>67</v>
      </c>
      <c r="H106" s="8">
        <v>102</v>
      </c>
      <c r="I106" s="5"/>
    </row>
    <row r="107" spans="1:9" ht="24.75" customHeight="1">
      <c r="A107" s="5">
        <v>104</v>
      </c>
      <c r="B107" s="6" t="s">
        <v>11</v>
      </c>
      <c r="C107" s="6" t="s">
        <v>12</v>
      </c>
      <c r="D107" s="6" t="str">
        <f t="shared" si="1"/>
        <v>001</v>
      </c>
      <c r="E107" s="6" t="str">
        <f>"周键杨"</f>
        <v>周键杨</v>
      </c>
      <c r="F107" s="6" t="str">
        <f>"202311180821"</f>
        <v>202311180821</v>
      </c>
      <c r="G107" s="7">
        <v>67</v>
      </c>
      <c r="H107" s="8">
        <v>102</v>
      </c>
      <c r="I107" s="5"/>
    </row>
    <row r="108" spans="1:9" ht="24.75" customHeight="1">
      <c r="A108" s="5">
        <v>105</v>
      </c>
      <c r="B108" s="6" t="s">
        <v>11</v>
      </c>
      <c r="C108" s="6" t="s">
        <v>12</v>
      </c>
      <c r="D108" s="6" t="str">
        <f t="shared" si="1"/>
        <v>001</v>
      </c>
      <c r="E108" s="6" t="str">
        <f>"符气健"</f>
        <v>符气健</v>
      </c>
      <c r="F108" s="6" t="str">
        <f>"202311182229"</f>
        <v>202311182229</v>
      </c>
      <c r="G108" s="7">
        <v>67</v>
      </c>
      <c r="H108" s="8">
        <v>102</v>
      </c>
      <c r="I108" s="5"/>
    </row>
    <row r="109" spans="1:9" ht="24.75" customHeight="1">
      <c r="A109" s="5">
        <v>106</v>
      </c>
      <c r="B109" s="6" t="s">
        <v>11</v>
      </c>
      <c r="C109" s="6" t="s">
        <v>12</v>
      </c>
      <c r="D109" s="6" t="str">
        <f t="shared" si="1"/>
        <v>001</v>
      </c>
      <c r="E109" s="6" t="str">
        <f>"钱丽波"</f>
        <v>钱丽波</v>
      </c>
      <c r="F109" s="6" t="str">
        <f>"202311182520"</f>
        <v>202311182520</v>
      </c>
      <c r="G109" s="7">
        <v>67</v>
      </c>
      <c r="H109" s="8">
        <v>102</v>
      </c>
      <c r="I109" s="5"/>
    </row>
    <row r="110" spans="1:9" ht="24.75" customHeight="1">
      <c r="A110" s="5">
        <v>107</v>
      </c>
      <c r="B110" s="6" t="s">
        <v>11</v>
      </c>
      <c r="C110" s="6" t="s">
        <v>12</v>
      </c>
      <c r="D110" s="6" t="str">
        <f t="shared" si="1"/>
        <v>001</v>
      </c>
      <c r="E110" s="6" t="str">
        <f>"陈红旭"</f>
        <v>陈红旭</v>
      </c>
      <c r="F110" s="6" t="str">
        <f>"202311182605"</f>
        <v>202311182605</v>
      </c>
      <c r="G110" s="7">
        <v>67</v>
      </c>
      <c r="H110" s="8">
        <v>102</v>
      </c>
      <c r="I110" s="5"/>
    </row>
    <row r="111" spans="1:9" ht="24.75" customHeight="1">
      <c r="A111" s="5">
        <v>108</v>
      </c>
      <c r="B111" s="6" t="s">
        <v>11</v>
      </c>
      <c r="C111" s="6" t="s">
        <v>12</v>
      </c>
      <c r="D111" s="6" t="str">
        <f t="shared" si="1"/>
        <v>001</v>
      </c>
      <c r="E111" s="6" t="str">
        <f>"冯菲菲"</f>
        <v>冯菲菲</v>
      </c>
      <c r="F111" s="6" t="str">
        <f>"202311181029"</f>
        <v>202311181029</v>
      </c>
      <c r="G111" s="7">
        <v>66.75</v>
      </c>
      <c r="H111" s="8">
        <v>108</v>
      </c>
      <c r="I111" s="5"/>
    </row>
    <row r="112" spans="1:9" ht="24.75" customHeight="1">
      <c r="A112" s="5">
        <v>109</v>
      </c>
      <c r="B112" s="6" t="s">
        <v>11</v>
      </c>
      <c r="C112" s="6" t="s">
        <v>12</v>
      </c>
      <c r="D112" s="6" t="str">
        <f t="shared" si="1"/>
        <v>001</v>
      </c>
      <c r="E112" s="6" t="str">
        <f>"吴妍"</f>
        <v>吴妍</v>
      </c>
      <c r="F112" s="6" t="str">
        <f>"202311181706"</f>
        <v>202311181706</v>
      </c>
      <c r="G112" s="7">
        <v>66.75</v>
      </c>
      <c r="H112" s="8">
        <v>108</v>
      </c>
      <c r="I112" s="5"/>
    </row>
    <row r="113" spans="1:9" ht="24.75" customHeight="1">
      <c r="A113" s="5">
        <v>110</v>
      </c>
      <c r="B113" s="6" t="s">
        <v>11</v>
      </c>
      <c r="C113" s="6" t="s">
        <v>12</v>
      </c>
      <c r="D113" s="6" t="str">
        <f t="shared" si="1"/>
        <v>001</v>
      </c>
      <c r="E113" s="6" t="str">
        <f>"叶富健"</f>
        <v>叶富健</v>
      </c>
      <c r="F113" s="6" t="str">
        <f>"202311180320"</f>
        <v>202311180320</v>
      </c>
      <c r="G113" s="7">
        <v>66.5</v>
      </c>
      <c r="H113" s="8">
        <v>110</v>
      </c>
      <c r="I113" s="5"/>
    </row>
    <row r="114" spans="1:9" ht="24.75" customHeight="1">
      <c r="A114" s="5">
        <v>111</v>
      </c>
      <c r="B114" s="6" t="s">
        <v>11</v>
      </c>
      <c r="C114" s="6" t="s">
        <v>12</v>
      </c>
      <c r="D114" s="6" t="str">
        <f t="shared" si="1"/>
        <v>001</v>
      </c>
      <c r="E114" s="6" t="str">
        <f>"谭永臻"</f>
        <v>谭永臻</v>
      </c>
      <c r="F114" s="6" t="str">
        <f>"202311180809"</f>
        <v>202311180809</v>
      </c>
      <c r="G114" s="7">
        <v>66.5</v>
      </c>
      <c r="H114" s="8">
        <v>110</v>
      </c>
      <c r="I114" s="5"/>
    </row>
    <row r="115" spans="1:9" ht="24.75" customHeight="1">
      <c r="A115" s="5">
        <v>112</v>
      </c>
      <c r="B115" s="6" t="s">
        <v>11</v>
      </c>
      <c r="C115" s="6" t="s">
        <v>12</v>
      </c>
      <c r="D115" s="6" t="str">
        <f t="shared" si="1"/>
        <v>001</v>
      </c>
      <c r="E115" s="6" t="str">
        <f>"陈川花"</f>
        <v>陈川花</v>
      </c>
      <c r="F115" s="6" t="str">
        <f>"202311181401"</f>
        <v>202311181401</v>
      </c>
      <c r="G115" s="7">
        <v>66.5</v>
      </c>
      <c r="H115" s="8">
        <v>110</v>
      </c>
      <c r="I115" s="5"/>
    </row>
    <row r="116" spans="1:9" ht="24.75" customHeight="1">
      <c r="A116" s="5">
        <v>113</v>
      </c>
      <c r="B116" s="6" t="s">
        <v>11</v>
      </c>
      <c r="C116" s="6" t="s">
        <v>12</v>
      </c>
      <c r="D116" s="6" t="str">
        <f t="shared" si="1"/>
        <v>001</v>
      </c>
      <c r="E116" s="6" t="str">
        <f>"朱园梦"</f>
        <v>朱园梦</v>
      </c>
      <c r="F116" s="6" t="str">
        <f>"202311182011"</f>
        <v>202311182011</v>
      </c>
      <c r="G116" s="7">
        <v>66.5</v>
      </c>
      <c r="H116" s="8">
        <v>110</v>
      </c>
      <c r="I116" s="5"/>
    </row>
    <row r="117" spans="1:9" ht="24.75" customHeight="1">
      <c r="A117" s="5">
        <v>114</v>
      </c>
      <c r="B117" s="6" t="s">
        <v>11</v>
      </c>
      <c r="C117" s="6" t="s">
        <v>12</v>
      </c>
      <c r="D117" s="6" t="str">
        <f t="shared" si="1"/>
        <v>001</v>
      </c>
      <c r="E117" s="6" t="str">
        <f>"徐小娟"</f>
        <v>徐小娟</v>
      </c>
      <c r="F117" s="6" t="str">
        <f>"202311182023"</f>
        <v>202311182023</v>
      </c>
      <c r="G117" s="7">
        <v>66.5</v>
      </c>
      <c r="H117" s="8">
        <v>110</v>
      </c>
      <c r="I117" s="5"/>
    </row>
    <row r="118" spans="1:9" ht="24.75" customHeight="1">
      <c r="A118" s="5">
        <v>115</v>
      </c>
      <c r="B118" s="6" t="s">
        <v>11</v>
      </c>
      <c r="C118" s="6" t="s">
        <v>12</v>
      </c>
      <c r="D118" s="6" t="str">
        <f t="shared" si="1"/>
        <v>001</v>
      </c>
      <c r="E118" s="6" t="str">
        <f>"钟尊竺"</f>
        <v>钟尊竺</v>
      </c>
      <c r="F118" s="6" t="str">
        <f>"202311182323"</f>
        <v>202311182323</v>
      </c>
      <c r="G118" s="7">
        <v>66.5</v>
      </c>
      <c r="H118" s="8">
        <v>110</v>
      </c>
      <c r="I118" s="5"/>
    </row>
    <row r="119" spans="1:9" ht="24.75" customHeight="1">
      <c r="A119" s="5">
        <v>116</v>
      </c>
      <c r="B119" s="6" t="s">
        <v>11</v>
      </c>
      <c r="C119" s="6" t="s">
        <v>12</v>
      </c>
      <c r="D119" s="6" t="str">
        <f t="shared" si="1"/>
        <v>001</v>
      </c>
      <c r="E119" s="6" t="str">
        <f>"陈永帅"</f>
        <v>陈永帅</v>
      </c>
      <c r="F119" s="6" t="str">
        <f>"202311182604"</f>
        <v>202311182604</v>
      </c>
      <c r="G119" s="7">
        <v>66.5</v>
      </c>
      <c r="H119" s="8">
        <v>110</v>
      </c>
      <c r="I119" s="5"/>
    </row>
    <row r="120" spans="1:9" ht="24.75" customHeight="1">
      <c r="A120" s="5">
        <v>117</v>
      </c>
      <c r="B120" s="6" t="s">
        <v>11</v>
      </c>
      <c r="C120" s="6" t="s">
        <v>12</v>
      </c>
      <c r="D120" s="6" t="str">
        <f t="shared" si="1"/>
        <v>001</v>
      </c>
      <c r="E120" s="6" t="str">
        <f>"林天彩"</f>
        <v>林天彩</v>
      </c>
      <c r="F120" s="6" t="str">
        <f>"202311180705"</f>
        <v>202311180705</v>
      </c>
      <c r="G120" s="7">
        <v>66.25</v>
      </c>
      <c r="H120" s="8">
        <v>117</v>
      </c>
      <c r="I120" s="5"/>
    </row>
    <row r="121" spans="1:9" ht="24.75" customHeight="1">
      <c r="A121" s="5">
        <v>118</v>
      </c>
      <c r="B121" s="6" t="s">
        <v>11</v>
      </c>
      <c r="C121" s="6" t="s">
        <v>12</v>
      </c>
      <c r="D121" s="6" t="str">
        <f t="shared" si="1"/>
        <v>001</v>
      </c>
      <c r="E121" s="6" t="str">
        <f>"张一"</f>
        <v>张一</v>
      </c>
      <c r="F121" s="6" t="str">
        <f>"202311182514"</f>
        <v>202311182514</v>
      </c>
      <c r="G121" s="7">
        <v>66.25</v>
      </c>
      <c r="H121" s="8">
        <v>117</v>
      </c>
      <c r="I121" s="5"/>
    </row>
    <row r="122" spans="1:9" ht="24.75" customHeight="1">
      <c r="A122" s="5">
        <v>119</v>
      </c>
      <c r="B122" s="6" t="s">
        <v>11</v>
      </c>
      <c r="C122" s="6" t="s">
        <v>12</v>
      </c>
      <c r="D122" s="6" t="str">
        <f t="shared" si="1"/>
        <v>001</v>
      </c>
      <c r="E122" s="6" t="str">
        <f>"吴岳健"</f>
        <v>吴岳健</v>
      </c>
      <c r="F122" s="6" t="str">
        <f>"202311181002"</f>
        <v>202311181002</v>
      </c>
      <c r="G122" s="7">
        <v>66</v>
      </c>
      <c r="H122" s="8">
        <v>119</v>
      </c>
      <c r="I122" s="5"/>
    </row>
    <row r="123" spans="1:9" ht="24.75" customHeight="1">
      <c r="A123" s="5">
        <v>120</v>
      </c>
      <c r="B123" s="6" t="s">
        <v>11</v>
      </c>
      <c r="C123" s="6" t="s">
        <v>12</v>
      </c>
      <c r="D123" s="6" t="str">
        <f t="shared" si="1"/>
        <v>001</v>
      </c>
      <c r="E123" s="6" t="str">
        <f>"叶子龙"</f>
        <v>叶子龙</v>
      </c>
      <c r="F123" s="6" t="str">
        <f>"202311181110"</f>
        <v>202311181110</v>
      </c>
      <c r="G123" s="7">
        <v>66</v>
      </c>
      <c r="H123" s="8">
        <v>119</v>
      </c>
      <c r="I123" s="5"/>
    </row>
    <row r="124" spans="1:9" ht="24.75" customHeight="1">
      <c r="A124" s="5">
        <v>121</v>
      </c>
      <c r="B124" s="6" t="s">
        <v>11</v>
      </c>
      <c r="C124" s="6" t="s">
        <v>12</v>
      </c>
      <c r="D124" s="6" t="str">
        <f t="shared" si="1"/>
        <v>001</v>
      </c>
      <c r="E124" s="6" t="str">
        <f>"周微颖"</f>
        <v>周微颖</v>
      </c>
      <c r="F124" s="6" t="str">
        <f>"202311181521"</f>
        <v>202311181521</v>
      </c>
      <c r="G124" s="7">
        <v>66</v>
      </c>
      <c r="H124" s="8">
        <v>119</v>
      </c>
      <c r="I124" s="5"/>
    </row>
    <row r="125" spans="1:9" ht="24.75" customHeight="1">
      <c r="A125" s="5">
        <v>122</v>
      </c>
      <c r="B125" s="6" t="s">
        <v>11</v>
      </c>
      <c r="C125" s="6" t="s">
        <v>12</v>
      </c>
      <c r="D125" s="6" t="str">
        <f t="shared" si="1"/>
        <v>001</v>
      </c>
      <c r="E125" s="6" t="str">
        <f>"陈凡 "</f>
        <v>陈凡 </v>
      </c>
      <c r="F125" s="6" t="str">
        <f>"202311182311"</f>
        <v>202311182311</v>
      </c>
      <c r="G125" s="7">
        <v>66</v>
      </c>
      <c r="H125" s="8">
        <v>119</v>
      </c>
      <c r="I125" s="5"/>
    </row>
    <row r="126" spans="1:9" ht="24.75" customHeight="1">
      <c r="A126" s="5">
        <v>123</v>
      </c>
      <c r="B126" s="6" t="s">
        <v>11</v>
      </c>
      <c r="C126" s="6" t="s">
        <v>12</v>
      </c>
      <c r="D126" s="6" t="str">
        <f t="shared" si="1"/>
        <v>001</v>
      </c>
      <c r="E126" s="6" t="str">
        <f>"劳衍兴"</f>
        <v>劳衍兴</v>
      </c>
      <c r="F126" s="6" t="str">
        <f>"202311182620"</f>
        <v>202311182620</v>
      </c>
      <c r="G126" s="7">
        <v>66</v>
      </c>
      <c r="H126" s="8">
        <v>119</v>
      </c>
      <c r="I126" s="5"/>
    </row>
    <row r="127" spans="1:9" ht="24.75" customHeight="1">
      <c r="A127" s="5">
        <v>124</v>
      </c>
      <c r="B127" s="6" t="s">
        <v>11</v>
      </c>
      <c r="C127" s="6" t="s">
        <v>12</v>
      </c>
      <c r="D127" s="6" t="str">
        <f t="shared" si="1"/>
        <v>001</v>
      </c>
      <c r="E127" s="6" t="str">
        <f>"麦子瑞"</f>
        <v>麦子瑞</v>
      </c>
      <c r="F127" s="6" t="str">
        <f>"202311180110"</f>
        <v>202311180110</v>
      </c>
      <c r="G127" s="7">
        <v>65.5</v>
      </c>
      <c r="H127" s="8">
        <v>124</v>
      </c>
      <c r="I127" s="5"/>
    </row>
    <row r="128" spans="1:9" ht="24.75" customHeight="1">
      <c r="A128" s="5">
        <v>125</v>
      </c>
      <c r="B128" s="6" t="s">
        <v>11</v>
      </c>
      <c r="C128" s="6" t="s">
        <v>12</v>
      </c>
      <c r="D128" s="6" t="str">
        <f t="shared" si="1"/>
        <v>001</v>
      </c>
      <c r="E128" s="6" t="str">
        <f>"周帆"</f>
        <v>周帆</v>
      </c>
      <c r="F128" s="6" t="str">
        <f>"202311180313"</f>
        <v>202311180313</v>
      </c>
      <c r="G128" s="7">
        <v>65.5</v>
      </c>
      <c r="H128" s="8">
        <v>124</v>
      </c>
      <c r="I128" s="5"/>
    </row>
    <row r="129" spans="1:9" ht="24.75" customHeight="1">
      <c r="A129" s="5">
        <v>126</v>
      </c>
      <c r="B129" s="6" t="s">
        <v>11</v>
      </c>
      <c r="C129" s="6" t="s">
        <v>12</v>
      </c>
      <c r="D129" s="6" t="str">
        <f t="shared" si="1"/>
        <v>001</v>
      </c>
      <c r="E129" s="6" t="str">
        <f>"颜诗怡"</f>
        <v>颜诗怡</v>
      </c>
      <c r="F129" s="6" t="str">
        <f>"202311182329"</f>
        <v>202311182329</v>
      </c>
      <c r="G129" s="7">
        <v>65.5</v>
      </c>
      <c r="H129" s="8">
        <v>124</v>
      </c>
      <c r="I129" s="5"/>
    </row>
    <row r="130" spans="1:9" ht="24.75" customHeight="1">
      <c r="A130" s="5">
        <v>127</v>
      </c>
      <c r="B130" s="6" t="s">
        <v>11</v>
      </c>
      <c r="C130" s="6" t="s">
        <v>12</v>
      </c>
      <c r="D130" s="6" t="str">
        <f t="shared" si="1"/>
        <v>001</v>
      </c>
      <c r="E130" s="6" t="str">
        <f>"莫朝颖"</f>
        <v>莫朝颖</v>
      </c>
      <c r="F130" s="6" t="str">
        <f>"202311182427"</f>
        <v>202311182427</v>
      </c>
      <c r="G130" s="7">
        <v>65.5</v>
      </c>
      <c r="H130" s="8">
        <v>124</v>
      </c>
      <c r="I130" s="5"/>
    </row>
    <row r="131" spans="1:9" ht="24.75" customHeight="1">
      <c r="A131" s="5">
        <v>128</v>
      </c>
      <c r="B131" s="6" t="s">
        <v>11</v>
      </c>
      <c r="C131" s="6" t="s">
        <v>12</v>
      </c>
      <c r="D131" s="6" t="str">
        <f t="shared" si="1"/>
        <v>001</v>
      </c>
      <c r="E131" s="6" t="str">
        <f>"张之淼"</f>
        <v>张之淼</v>
      </c>
      <c r="F131" s="6" t="str">
        <f>"202311182505"</f>
        <v>202311182505</v>
      </c>
      <c r="G131" s="7">
        <v>65.5</v>
      </c>
      <c r="H131" s="8">
        <v>124</v>
      </c>
      <c r="I131" s="5"/>
    </row>
    <row r="132" spans="1:9" ht="24.75" customHeight="1">
      <c r="A132" s="5">
        <v>129</v>
      </c>
      <c r="B132" s="6" t="s">
        <v>11</v>
      </c>
      <c r="C132" s="6" t="s">
        <v>12</v>
      </c>
      <c r="D132" s="6" t="str">
        <f aca="true" t="shared" si="2" ref="D132:D195">"001"</f>
        <v>001</v>
      </c>
      <c r="E132" s="6" t="str">
        <f>"张峻"</f>
        <v>张峻</v>
      </c>
      <c r="F132" s="6" t="str">
        <f>"202311180227"</f>
        <v>202311180227</v>
      </c>
      <c r="G132" s="7">
        <v>65.25</v>
      </c>
      <c r="H132" s="8">
        <v>129</v>
      </c>
      <c r="I132" s="5"/>
    </row>
    <row r="133" spans="1:9" ht="24.75" customHeight="1">
      <c r="A133" s="5">
        <v>130</v>
      </c>
      <c r="B133" s="6" t="s">
        <v>11</v>
      </c>
      <c r="C133" s="6" t="s">
        <v>12</v>
      </c>
      <c r="D133" s="6" t="str">
        <f t="shared" si="2"/>
        <v>001</v>
      </c>
      <c r="E133" s="6" t="str">
        <f>"陈益端"</f>
        <v>陈益端</v>
      </c>
      <c r="F133" s="6" t="str">
        <f>"202311180903"</f>
        <v>202311180903</v>
      </c>
      <c r="G133" s="7">
        <v>65.25</v>
      </c>
      <c r="H133" s="8">
        <v>129</v>
      </c>
      <c r="I133" s="5"/>
    </row>
    <row r="134" spans="1:9" ht="24.75" customHeight="1">
      <c r="A134" s="5">
        <v>131</v>
      </c>
      <c r="B134" s="6" t="s">
        <v>11</v>
      </c>
      <c r="C134" s="6" t="s">
        <v>12</v>
      </c>
      <c r="D134" s="6" t="str">
        <f t="shared" si="2"/>
        <v>001</v>
      </c>
      <c r="E134" s="6" t="str">
        <f>"郭颖"</f>
        <v>郭颖</v>
      </c>
      <c r="F134" s="6" t="str">
        <f>"202311181102"</f>
        <v>202311181102</v>
      </c>
      <c r="G134" s="7">
        <v>65.25</v>
      </c>
      <c r="H134" s="8">
        <v>129</v>
      </c>
      <c r="I134" s="5"/>
    </row>
    <row r="135" spans="1:9" ht="24.75" customHeight="1">
      <c r="A135" s="5">
        <v>132</v>
      </c>
      <c r="B135" s="6" t="s">
        <v>11</v>
      </c>
      <c r="C135" s="6" t="s">
        <v>12</v>
      </c>
      <c r="D135" s="6" t="str">
        <f t="shared" si="2"/>
        <v>001</v>
      </c>
      <c r="E135" s="6" t="str">
        <f>"高美婷"</f>
        <v>高美婷</v>
      </c>
      <c r="F135" s="6" t="str">
        <f>"202311181328"</f>
        <v>202311181328</v>
      </c>
      <c r="G135" s="7">
        <v>65.25</v>
      </c>
      <c r="H135" s="8">
        <v>129</v>
      </c>
      <c r="I135" s="5"/>
    </row>
    <row r="136" spans="1:9" ht="24.75" customHeight="1">
      <c r="A136" s="5">
        <v>133</v>
      </c>
      <c r="B136" s="6" t="s">
        <v>11</v>
      </c>
      <c r="C136" s="6" t="s">
        <v>12</v>
      </c>
      <c r="D136" s="6" t="str">
        <f t="shared" si="2"/>
        <v>001</v>
      </c>
      <c r="E136" s="6" t="str">
        <f>"吴佩颖"</f>
        <v>吴佩颖</v>
      </c>
      <c r="F136" s="6" t="str">
        <f>"202311181409"</f>
        <v>202311181409</v>
      </c>
      <c r="G136" s="7">
        <v>65.25</v>
      </c>
      <c r="H136" s="8">
        <v>129</v>
      </c>
      <c r="I136" s="5"/>
    </row>
    <row r="137" spans="1:9" ht="24.75" customHeight="1">
      <c r="A137" s="5">
        <v>134</v>
      </c>
      <c r="B137" s="6" t="s">
        <v>11</v>
      </c>
      <c r="C137" s="6" t="s">
        <v>12</v>
      </c>
      <c r="D137" s="6" t="str">
        <f t="shared" si="2"/>
        <v>001</v>
      </c>
      <c r="E137" s="6" t="str">
        <f>"陈月文"</f>
        <v>陈月文</v>
      </c>
      <c r="F137" s="6" t="str">
        <f>"202311182225"</f>
        <v>202311182225</v>
      </c>
      <c r="G137" s="7">
        <v>65.25</v>
      </c>
      <c r="H137" s="8">
        <v>129</v>
      </c>
      <c r="I137" s="5"/>
    </row>
    <row r="138" spans="1:9" ht="24.75" customHeight="1">
      <c r="A138" s="5">
        <v>135</v>
      </c>
      <c r="B138" s="6" t="s">
        <v>11</v>
      </c>
      <c r="C138" s="6" t="s">
        <v>12</v>
      </c>
      <c r="D138" s="6" t="str">
        <f t="shared" si="2"/>
        <v>001</v>
      </c>
      <c r="E138" s="6" t="str">
        <f>"冯在任"</f>
        <v>冯在任</v>
      </c>
      <c r="F138" s="6" t="str">
        <f>"202311182601"</f>
        <v>202311182601</v>
      </c>
      <c r="G138" s="7">
        <v>65.25</v>
      </c>
      <c r="H138" s="8">
        <v>129</v>
      </c>
      <c r="I138" s="5"/>
    </row>
    <row r="139" spans="1:9" ht="24.75" customHeight="1">
      <c r="A139" s="5">
        <v>136</v>
      </c>
      <c r="B139" s="6" t="s">
        <v>11</v>
      </c>
      <c r="C139" s="6" t="s">
        <v>12</v>
      </c>
      <c r="D139" s="6" t="str">
        <f t="shared" si="2"/>
        <v>001</v>
      </c>
      <c r="E139" s="6" t="str">
        <f>"黄月洁"</f>
        <v>黄月洁</v>
      </c>
      <c r="F139" s="6" t="str">
        <f>"202311180725"</f>
        <v>202311180725</v>
      </c>
      <c r="G139" s="7">
        <v>65</v>
      </c>
      <c r="H139" s="8">
        <v>136</v>
      </c>
      <c r="I139" s="5"/>
    </row>
    <row r="140" spans="1:9" ht="24.75" customHeight="1">
      <c r="A140" s="5">
        <v>137</v>
      </c>
      <c r="B140" s="6" t="s">
        <v>11</v>
      </c>
      <c r="C140" s="6" t="s">
        <v>12</v>
      </c>
      <c r="D140" s="6" t="str">
        <f t="shared" si="2"/>
        <v>001</v>
      </c>
      <c r="E140" s="6" t="str">
        <f>"孙影"</f>
        <v>孙影</v>
      </c>
      <c r="F140" s="6" t="str">
        <f>"202311181619"</f>
        <v>202311181619</v>
      </c>
      <c r="G140" s="7">
        <v>65</v>
      </c>
      <c r="H140" s="8">
        <v>136</v>
      </c>
      <c r="I140" s="5"/>
    </row>
    <row r="141" spans="1:9" ht="24.75" customHeight="1">
      <c r="A141" s="5">
        <v>138</v>
      </c>
      <c r="B141" s="6" t="s">
        <v>11</v>
      </c>
      <c r="C141" s="6" t="s">
        <v>12</v>
      </c>
      <c r="D141" s="6" t="str">
        <f t="shared" si="2"/>
        <v>001</v>
      </c>
      <c r="E141" s="6" t="str">
        <f>"李钖"</f>
        <v>李钖</v>
      </c>
      <c r="F141" s="6" t="str">
        <f>"202311181724"</f>
        <v>202311181724</v>
      </c>
      <c r="G141" s="7">
        <v>65</v>
      </c>
      <c r="H141" s="8">
        <v>136</v>
      </c>
      <c r="I141" s="5"/>
    </row>
    <row r="142" spans="1:9" ht="24.75" customHeight="1">
      <c r="A142" s="5">
        <v>139</v>
      </c>
      <c r="B142" s="6" t="s">
        <v>11</v>
      </c>
      <c r="C142" s="6" t="s">
        <v>12</v>
      </c>
      <c r="D142" s="6" t="str">
        <f t="shared" si="2"/>
        <v>001</v>
      </c>
      <c r="E142" s="6" t="str">
        <f>"曾三保"</f>
        <v>曾三保</v>
      </c>
      <c r="F142" s="6" t="str">
        <f>"202311182201"</f>
        <v>202311182201</v>
      </c>
      <c r="G142" s="7">
        <v>65</v>
      </c>
      <c r="H142" s="8">
        <v>136</v>
      </c>
      <c r="I142" s="5"/>
    </row>
    <row r="143" spans="1:9" ht="24.75" customHeight="1">
      <c r="A143" s="5">
        <v>140</v>
      </c>
      <c r="B143" s="6" t="s">
        <v>11</v>
      </c>
      <c r="C143" s="6" t="s">
        <v>12</v>
      </c>
      <c r="D143" s="6" t="str">
        <f t="shared" si="2"/>
        <v>001</v>
      </c>
      <c r="E143" s="6" t="str">
        <f>"陈梦琪"</f>
        <v>陈梦琪</v>
      </c>
      <c r="F143" s="6" t="str">
        <f>"202311180216"</f>
        <v>202311180216</v>
      </c>
      <c r="G143" s="7">
        <v>64.75</v>
      </c>
      <c r="H143" s="8">
        <v>140</v>
      </c>
      <c r="I143" s="5"/>
    </row>
    <row r="144" spans="1:9" ht="24.75" customHeight="1">
      <c r="A144" s="5">
        <v>141</v>
      </c>
      <c r="B144" s="6" t="s">
        <v>11</v>
      </c>
      <c r="C144" s="6" t="s">
        <v>12</v>
      </c>
      <c r="D144" s="6" t="str">
        <f t="shared" si="2"/>
        <v>001</v>
      </c>
      <c r="E144" s="6" t="str">
        <f>"张玉麒"</f>
        <v>张玉麒</v>
      </c>
      <c r="F144" s="6" t="str">
        <f>"202311180626"</f>
        <v>202311180626</v>
      </c>
      <c r="G144" s="7">
        <v>64.75</v>
      </c>
      <c r="H144" s="8">
        <v>140</v>
      </c>
      <c r="I144" s="5"/>
    </row>
    <row r="145" spans="1:9" ht="24.75" customHeight="1">
      <c r="A145" s="5">
        <v>142</v>
      </c>
      <c r="B145" s="6" t="s">
        <v>11</v>
      </c>
      <c r="C145" s="6" t="s">
        <v>12</v>
      </c>
      <c r="D145" s="6" t="str">
        <f t="shared" si="2"/>
        <v>001</v>
      </c>
      <c r="E145" s="6" t="str">
        <f>"曾媚琳"</f>
        <v>曾媚琳</v>
      </c>
      <c r="F145" s="6" t="str">
        <f>"202311180920"</f>
        <v>202311180920</v>
      </c>
      <c r="G145" s="7">
        <v>64.75</v>
      </c>
      <c r="H145" s="8">
        <v>140</v>
      </c>
      <c r="I145" s="5"/>
    </row>
    <row r="146" spans="1:9" ht="24.75" customHeight="1">
      <c r="A146" s="5">
        <v>143</v>
      </c>
      <c r="B146" s="6" t="s">
        <v>11</v>
      </c>
      <c r="C146" s="6" t="s">
        <v>12</v>
      </c>
      <c r="D146" s="6" t="str">
        <f t="shared" si="2"/>
        <v>001</v>
      </c>
      <c r="E146" s="6" t="str">
        <f>"王岭"</f>
        <v>王岭</v>
      </c>
      <c r="F146" s="6" t="str">
        <f>"202311181006"</f>
        <v>202311181006</v>
      </c>
      <c r="G146" s="7">
        <v>64.75</v>
      </c>
      <c r="H146" s="8">
        <v>140</v>
      </c>
      <c r="I146" s="5"/>
    </row>
    <row r="147" spans="1:9" ht="24.75" customHeight="1">
      <c r="A147" s="5">
        <v>144</v>
      </c>
      <c r="B147" s="6" t="s">
        <v>11</v>
      </c>
      <c r="C147" s="6" t="s">
        <v>12</v>
      </c>
      <c r="D147" s="6" t="str">
        <f t="shared" si="2"/>
        <v>001</v>
      </c>
      <c r="E147" s="6" t="str">
        <f>"廖雨晗"</f>
        <v>廖雨晗</v>
      </c>
      <c r="F147" s="6" t="str">
        <f>"202311181015"</f>
        <v>202311181015</v>
      </c>
      <c r="G147" s="7">
        <v>64.75</v>
      </c>
      <c r="H147" s="8">
        <v>140</v>
      </c>
      <c r="I147" s="5"/>
    </row>
    <row r="148" spans="1:9" ht="24.75" customHeight="1">
      <c r="A148" s="5">
        <v>145</v>
      </c>
      <c r="B148" s="6" t="s">
        <v>11</v>
      </c>
      <c r="C148" s="6" t="s">
        <v>12</v>
      </c>
      <c r="D148" s="6" t="str">
        <f t="shared" si="2"/>
        <v>001</v>
      </c>
      <c r="E148" s="6" t="str">
        <f>"王丹诺"</f>
        <v>王丹诺</v>
      </c>
      <c r="F148" s="6" t="str">
        <f>"202311181104"</f>
        <v>202311181104</v>
      </c>
      <c r="G148" s="7">
        <v>64.75</v>
      </c>
      <c r="H148" s="8">
        <v>140</v>
      </c>
      <c r="I148" s="5"/>
    </row>
    <row r="149" spans="1:9" ht="24.75" customHeight="1">
      <c r="A149" s="5">
        <v>146</v>
      </c>
      <c r="B149" s="6" t="s">
        <v>11</v>
      </c>
      <c r="C149" s="6" t="s">
        <v>12</v>
      </c>
      <c r="D149" s="6" t="str">
        <f t="shared" si="2"/>
        <v>001</v>
      </c>
      <c r="E149" s="6" t="str">
        <f>"蔡良杰"</f>
        <v>蔡良杰</v>
      </c>
      <c r="F149" s="6" t="str">
        <f>"202311181107"</f>
        <v>202311181107</v>
      </c>
      <c r="G149" s="7">
        <v>64.75</v>
      </c>
      <c r="H149" s="8">
        <v>140</v>
      </c>
      <c r="I149" s="5"/>
    </row>
    <row r="150" spans="1:9" ht="24.75" customHeight="1">
      <c r="A150" s="5">
        <v>147</v>
      </c>
      <c r="B150" s="6" t="s">
        <v>11</v>
      </c>
      <c r="C150" s="6" t="s">
        <v>12</v>
      </c>
      <c r="D150" s="6" t="str">
        <f t="shared" si="2"/>
        <v>001</v>
      </c>
      <c r="E150" s="6" t="str">
        <f>"庄礼法"</f>
        <v>庄礼法</v>
      </c>
      <c r="F150" s="6" t="str">
        <f>"202311181604"</f>
        <v>202311181604</v>
      </c>
      <c r="G150" s="7">
        <v>64.75</v>
      </c>
      <c r="H150" s="8">
        <v>140</v>
      </c>
      <c r="I150" s="5"/>
    </row>
    <row r="151" spans="1:9" ht="24.75" customHeight="1">
      <c r="A151" s="5">
        <v>148</v>
      </c>
      <c r="B151" s="6" t="s">
        <v>11</v>
      </c>
      <c r="C151" s="6" t="s">
        <v>12</v>
      </c>
      <c r="D151" s="6" t="str">
        <f t="shared" si="2"/>
        <v>001</v>
      </c>
      <c r="E151" s="6" t="str">
        <f>"王艺"</f>
        <v>王艺</v>
      </c>
      <c r="F151" s="6" t="str">
        <f>"202311181708"</f>
        <v>202311181708</v>
      </c>
      <c r="G151" s="7">
        <v>64.75</v>
      </c>
      <c r="H151" s="8">
        <v>140</v>
      </c>
      <c r="I151" s="5"/>
    </row>
    <row r="152" spans="1:9" ht="24.75" customHeight="1">
      <c r="A152" s="5">
        <v>149</v>
      </c>
      <c r="B152" s="6" t="s">
        <v>11</v>
      </c>
      <c r="C152" s="6" t="s">
        <v>12</v>
      </c>
      <c r="D152" s="6" t="str">
        <f t="shared" si="2"/>
        <v>001</v>
      </c>
      <c r="E152" s="6" t="str">
        <f>"黄荪钰"</f>
        <v>黄荪钰</v>
      </c>
      <c r="F152" s="6" t="str">
        <f>"202311181711"</f>
        <v>202311181711</v>
      </c>
      <c r="G152" s="7">
        <v>64.75</v>
      </c>
      <c r="H152" s="8">
        <v>140</v>
      </c>
      <c r="I152" s="5"/>
    </row>
    <row r="153" spans="1:9" ht="24.75" customHeight="1">
      <c r="A153" s="5">
        <v>150</v>
      </c>
      <c r="B153" s="6" t="s">
        <v>11</v>
      </c>
      <c r="C153" s="6" t="s">
        <v>12</v>
      </c>
      <c r="D153" s="6" t="str">
        <f t="shared" si="2"/>
        <v>001</v>
      </c>
      <c r="E153" s="6" t="str">
        <f>"韩颖"</f>
        <v>韩颖</v>
      </c>
      <c r="F153" s="6" t="str">
        <f>"202311180305"</f>
        <v>202311180305</v>
      </c>
      <c r="G153" s="7">
        <v>64.5</v>
      </c>
      <c r="H153" s="8">
        <v>150</v>
      </c>
      <c r="I153" s="5"/>
    </row>
    <row r="154" spans="1:9" ht="24.75" customHeight="1">
      <c r="A154" s="5">
        <v>151</v>
      </c>
      <c r="B154" s="6" t="s">
        <v>11</v>
      </c>
      <c r="C154" s="6" t="s">
        <v>12</v>
      </c>
      <c r="D154" s="6" t="str">
        <f t="shared" si="2"/>
        <v>001</v>
      </c>
      <c r="E154" s="6" t="str">
        <f>"迟瑶"</f>
        <v>迟瑶</v>
      </c>
      <c r="F154" s="6" t="str">
        <f>"202311181306"</f>
        <v>202311181306</v>
      </c>
      <c r="G154" s="7">
        <v>64.5</v>
      </c>
      <c r="H154" s="8">
        <v>150</v>
      </c>
      <c r="I154" s="5"/>
    </row>
    <row r="155" spans="1:9" ht="24.75" customHeight="1">
      <c r="A155" s="5">
        <v>152</v>
      </c>
      <c r="B155" s="6" t="s">
        <v>11</v>
      </c>
      <c r="C155" s="6" t="s">
        <v>12</v>
      </c>
      <c r="D155" s="6" t="str">
        <f t="shared" si="2"/>
        <v>001</v>
      </c>
      <c r="E155" s="6" t="str">
        <f>"张思华"</f>
        <v>张思华</v>
      </c>
      <c r="F155" s="6" t="str">
        <f>"202311181624"</f>
        <v>202311181624</v>
      </c>
      <c r="G155" s="7">
        <v>64.5</v>
      </c>
      <c r="H155" s="8">
        <v>150</v>
      </c>
      <c r="I155" s="5"/>
    </row>
    <row r="156" spans="1:9" ht="24.75" customHeight="1">
      <c r="A156" s="5">
        <v>153</v>
      </c>
      <c r="B156" s="6" t="s">
        <v>11</v>
      </c>
      <c r="C156" s="6" t="s">
        <v>12</v>
      </c>
      <c r="D156" s="6" t="str">
        <f t="shared" si="2"/>
        <v>001</v>
      </c>
      <c r="E156" s="6" t="str">
        <f>"蔡坤学"</f>
        <v>蔡坤学</v>
      </c>
      <c r="F156" s="6" t="str">
        <f>"202311182025"</f>
        <v>202311182025</v>
      </c>
      <c r="G156" s="7">
        <v>64.5</v>
      </c>
      <c r="H156" s="8">
        <v>150</v>
      </c>
      <c r="I156" s="5"/>
    </row>
    <row r="157" spans="1:9" ht="24.75" customHeight="1">
      <c r="A157" s="5">
        <v>154</v>
      </c>
      <c r="B157" s="6" t="s">
        <v>11</v>
      </c>
      <c r="C157" s="6" t="s">
        <v>12</v>
      </c>
      <c r="D157" s="6" t="str">
        <f t="shared" si="2"/>
        <v>001</v>
      </c>
      <c r="E157" s="6" t="str">
        <f>"潘莹"</f>
        <v>潘莹</v>
      </c>
      <c r="F157" s="6" t="str">
        <f>"202311180220"</f>
        <v>202311180220</v>
      </c>
      <c r="G157" s="7">
        <v>64.25</v>
      </c>
      <c r="H157" s="8">
        <v>154</v>
      </c>
      <c r="I157" s="5"/>
    </row>
    <row r="158" spans="1:9" ht="24.75" customHeight="1">
      <c r="A158" s="5">
        <v>155</v>
      </c>
      <c r="B158" s="6" t="s">
        <v>11</v>
      </c>
      <c r="C158" s="6" t="s">
        <v>12</v>
      </c>
      <c r="D158" s="6" t="str">
        <f t="shared" si="2"/>
        <v>001</v>
      </c>
      <c r="E158" s="6" t="str">
        <f>"黄昌岷"</f>
        <v>黄昌岷</v>
      </c>
      <c r="F158" s="6" t="str">
        <f>"202311180416"</f>
        <v>202311180416</v>
      </c>
      <c r="G158" s="7">
        <v>64.25</v>
      </c>
      <c r="H158" s="8">
        <v>154</v>
      </c>
      <c r="I158" s="5"/>
    </row>
    <row r="159" spans="1:9" ht="24.75" customHeight="1">
      <c r="A159" s="5">
        <v>156</v>
      </c>
      <c r="B159" s="6" t="s">
        <v>11</v>
      </c>
      <c r="C159" s="6" t="s">
        <v>12</v>
      </c>
      <c r="D159" s="6" t="str">
        <f t="shared" si="2"/>
        <v>001</v>
      </c>
      <c r="E159" s="6" t="str">
        <f>"唐诗雨"</f>
        <v>唐诗雨</v>
      </c>
      <c r="F159" s="6" t="str">
        <f>"202311181816"</f>
        <v>202311181816</v>
      </c>
      <c r="G159" s="7">
        <v>64.25</v>
      </c>
      <c r="H159" s="8">
        <v>154</v>
      </c>
      <c r="I159" s="5"/>
    </row>
    <row r="160" spans="1:9" ht="24.75" customHeight="1">
      <c r="A160" s="5">
        <v>157</v>
      </c>
      <c r="B160" s="6" t="s">
        <v>11</v>
      </c>
      <c r="C160" s="6" t="s">
        <v>12</v>
      </c>
      <c r="D160" s="6" t="str">
        <f t="shared" si="2"/>
        <v>001</v>
      </c>
      <c r="E160" s="6" t="str">
        <f>"许蓝芳"</f>
        <v>许蓝芳</v>
      </c>
      <c r="F160" s="6" t="str">
        <f>"202311182306"</f>
        <v>202311182306</v>
      </c>
      <c r="G160" s="7">
        <v>64.25</v>
      </c>
      <c r="H160" s="8">
        <v>154</v>
      </c>
      <c r="I160" s="5"/>
    </row>
    <row r="161" spans="1:9" ht="24.75" customHeight="1">
      <c r="A161" s="5">
        <v>158</v>
      </c>
      <c r="B161" s="6" t="s">
        <v>11</v>
      </c>
      <c r="C161" s="6" t="s">
        <v>12</v>
      </c>
      <c r="D161" s="6" t="str">
        <f t="shared" si="2"/>
        <v>001</v>
      </c>
      <c r="E161" s="6" t="str">
        <f>"刘道桔"</f>
        <v>刘道桔</v>
      </c>
      <c r="F161" s="6" t="str">
        <f>"202311182506"</f>
        <v>202311182506</v>
      </c>
      <c r="G161" s="7">
        <v>64.25</v>
      </c>
      <c r="H161" s="8">
        <v>154</v>
      </c>
      <c r="I161" s="5"/>
    </row>
    <row r="162" spans="1:9" ht="24.75" customHeight="1">
      <c r="A162" s="5">
        <v>159</v>
      </c>
      <c r="B162" s="6" t="s">
        <v>11</v>
      </c>
      <c r="C162" s="6" t="s">
        <v>12</v>
      </c>
      <c r="D162" s="6" t="str">
        <f t="shared" si="2"/>
        <v>001</v>
      </c>
      <c r="E162" s="6" t="str">
        <f>"王文静"</f>
        <v>王文静</v>
      </c>
      <c r="F162" s="6" t="str">
        <f>"202311180102"</f>
        <v>202311180102</v>
      </c>
      <c r="G162" s="7">
        <v>64</v>
      </c>
      <c r="H162" s="8">
        <v>159</v>
      </c>
      <c r="I162" s="5"/>
    </row>
    <row r="163" spans="1:9" ht="24.75" customHeight="1">
      <c r="A163" s="5">
        <v>160</v>
      </c>
      <c r="B163" s="6" t="s">
        <v>11</v>
      </c>
      <c r="C163" s="6" t="s">
        <v>12</v>
      </c>
      <c r="D163" s="6" t="str">
        <f t="shared" si="2"/>
        <v>001</v>
      </c>
      <c r="E163" s="6" t="str">
        <f>"杜艳"</f>
        <v>杜艳</v>
      </c>
      <c r="F163" s="6" t="str">
        <f>"202311182320"</f>
        <v>202311182320</v>
      </c>
      <c r="G163" s="7">
        <v>64</v>
      </c>
      <c r="H163" s="8">
        <v>159</v>
      </c>
      <c r="I163" s="5"/>
    </row>
    <row r="164" spans="1:9" ht="24.75" customHeight="1">
      <c r="A164" s="5">
        <v>161</v>
      </c>
      <c r="B164" s="6" t="s">
        <v>11</v>
      </c>
      <c r="C164" s="6" t="s">
        <v>12</v>
      </c>
      <c r="D164" s="6" t="str">
        <f t="shared" si="2"/>
        <v>001</v>
      </c>
      <c r="E164" s="6" t="str">
        <f>"何嘉慧"</f>
        <v>何嘉慧</v>
      </c>
      <c r="F164" s="6" t="str">
        <f>"202311180406"</f>
        <v>202311180406</v>
      </c>
      <c r="G164" s="7">
        <v>63.75</v>
      </c>
      <c r="H164" s="8">
        <v>161</v>
      </c>
      <c r="I164" s="5"/>
    </row>
    <row r="165" spans="1:9" ht="24.75" customHeight="1">
      <c r="A165" s="5">
        <v>162</v>
      </c>
      <c r="B165" s="6" t="s">
        <v>11</v>
      </c>
      <c r="C165" s="6" t="s">
        <v>12</v>
      </c>
      <c r="D165" s="6" t="str">
        <f t="shared" si="2"/>
        <v>001</v>
      </c>
      <c r="E165" s="6" t="str">
        <f>"王昭璋"</f>
        <v>王昭璋</v>
      </c>
      <c r="F165" s="6" t="str">
        <f>"202311181113"</f>
        <v>202311181113</v>
      </c>
      <c r="G165" s="7">
        <v>63.75</v>
      </c>
      <c r="H165" s="8">
        <v>161</v>
      </c>
      <c r="I165" s="5"/>
    </row>
    <row r="166" spans="1:9" ht="24.75" customHeight="1">
      <c r="A166" s="5">
        <v>163</v>
      </c>
      <c r="B166" s="6" t="s">
        <v>11</v>
      </c>
      <c r="C166" s="6" t="s">
        <v>12</v>
      </c>
      <c r="D166" s="6" t="str">
        <f t="shared" si="2"/>
        <v>001</v>
      </c>
      <c r="E166" s="6" t="str">
        <f>"谢人为"</f>
        <v>谢人为</v>
      </c>
      <c r="F166" s="6" t="str">
        <f>"202311181530"</f>
        <v>202311181530</v>
      </c>
      <c r="G166" s="7">
        <v>63.75</v>
      </c>
      <c r="H166" s="8">
        <v>161</v>
      </c>
      <c r="I166" s="5"/>
    </row>
    <row r="167" spans="1:9" ht="24.75" customHeight="1">
      <c r="A167" s="5">
        <v>164</v>
      </c>
      <c r="B167" s="6" t="s">
        <v>11</v>
      </c>
      <c r="C167" s="6" t="s">
        <v>12</v>
      </c>
      <c r="D167" s="6" t="str">
        <f t="shared" si="2"/>
        <v>001</v>
      </c>
      <c r="E167" s="6" t="str">
        <f>"林诗婷"</f>
        <v>林诗婷</v>
      </c>
      <c r="F167" s="6" t="str">
        <f>"202311182217"</f>
        <v>202311182217</v>
      </c>
      <c r="G167" s="7">
        <v>63.75</v>
      </c>
      <c r="H167" s="8">
        <v>161</v>
      </c>
      <c r="I167" s="5"/>
    </row>
    <row r="168" spans="1:9" ht="24.75" customHeight="1">
      <c r="A168" s="5">
        <v>165</v>
      </c>
      <c r="B168" s="6" t="s">
        <v>11</v>
      </c>
      <c r="C168" s="6" t="s">
        <v>12</v>
      </c>
      <c r="D168" s="6" t="str">
        <f t="shared" si="2"/>
        <v>001</v>
      </c>
      <c r="E168" s="6" t="str">
        <f>"李佳穗"</f>
        <v>李佳穗</v>
      </c>
      <c r="F168" s="6" t="str">
        <f>"202311182315"</f>
        <v>202311182315</v>
      </c>
      <c r="G168" s="7">
        <v>63.75</v>
      </c>
      <c r="H168" s="8">
        <v>161</v>
      </c>
      <c r="I168" s="5"/>
    </row>
    <row r="169" spans="1:9" ht="24.75" customHeight="1">
      <c r="A169" s="5">
        <v>166</v>
      </c>
      <c r="B169" s="6" t="s">
        <v>11</v>
      </c>
      <c r="C169" s="6" t="s">
        <v>12</v>
      </c>
      <c r="D169" s="6" t="str">
        <f t="shared" si="2"/>
        <v>001</v>
      </c>
      <c r="E169" s="6" t="str">
        <f>"马静"</f>
        <v>马静</v>
      </c>
      <c r="F169" s="6" t="str">
        <f>"202311180707"</f>
        <v>202311180707</v>
      </c>
      <c r="G169" s="7">
        <v>63.5</v>
      </c>
      <c r="H169" s="8">
        <v>166</v>
      </c>
      <c r="I169" s="5"/>
    </row>
    <row r="170" spans="1:9" ht="24.75" customHeight="1">
      <c r="A170" s="5">
        <v>167</v>
      </c>
      <c r="B170" s="6" t="s">
        <v>11</v>
      </c>
      <c r="C170" s="6" t="s">
        <v>12</v>
      </c>
      <c r="D170" s="6" t="str">
        <f t="shared" si="2"/>
        <v>001</v>
      </c>
      <c r="E170" s="6" t="str">
        <f>"邢馨尹"</f>
        <v>邢馨尹</v>
      </c>
      <c r="F170" s="6" t="str">
        <f>"202311181008"</f>
        <v>202311181008</v>
      </c>
      <c r="G170" s="7">
        <v>63.5</v>
      </c>
      <c r="H170" s="8">
        <v>166</v>
      </c>
      <c r="I170" s="5"/>
    </row>
    <row r="171" spans="1:9" ht="24.75" customHeight="1">
      <c r="A171" s="5">
        <v>168</v>
      </c>
      <c r="B171" s="6" t="s">
        <v>11</v>
      </c>
      <c r="C171" s="6" t="s">
        <v>12</v>
      </c>
      <c r="D171" s="6" t="str">
        <f t="shared" si="2"/>
        <v>001</v>
      </c>
      <c r="E171" s="6" t="str">
        <f>"黄蓉花"</f>
        <v>黄蓉花</v>
      </c>
      <c r="F171" s="6" t="str">
        <f>"202311181704"</f>
        <v>202311181704</v>
      </c>
      <c r="G171" s="7">
        <v>63.5</v>
      </c>
      <c r="H171" s="8">
        <v>166</v>
      </c>
      <c r="I171" s="5"/>
    </row>
    <row r="172" spans="1:9" ht="24.75" customHeight="1">
      <c r="A172" s="5">
        <v>169</v>
      </c>
      <c r="B172" s="6" t="s">
        <v>11</v>
      </c>
      <c r="C172" s="6" t="s">
        <v>12</v>
      </c>
      <c r="D172" s="6" t="str">
        <f t="shared" si="2"/>
        <v>001</v>
      </c>
      <c r="E172" s="6" t="str">
        <f>"孟霄"</f>
        <v>孟霄</v>
      </c>
      <c r="F172" s="6" t="str">
        <f>"202311181915"</f>
        <v>202311181915</v>
      </c>
      <c r="G172" s="7">
        <v>63.5</v>
      </c>
      <c r="H172" s="8">
        <v>166</v>
      </c>
      <c r="I172" s="5"/>
    </row>
    <row r="173" spans="1:9" ht="24.75" customHeight="1">
      <c r="A173" s="5">
        <v>170</v>
      </c>
      <c r="B173" s="6" t="s">
        <v>11</v>
      </c>
      <c r="C173" s="6" t="s">
        <v>12</v>
      </c>
      <c r="D173" s="6" t="str">
        <f t="shared" si="2"/>
        <v>001</v>
      </c>
      <c r="E173" s="6" t="str">
        <f>"邝易萍"</f>
        <v>邝易萍</v>
      </c>
      <c r="F173" s="6" t="str">
        <f>"202311180130"</f>
        <v>202311180130</v>
      </c>
      <c r="G173" s="7">
        <v>63.25</v>
      </c>
      <c r="H173" s="8">
        <v>170</v>
      </c>
      <c r="I173" s="5"/>
    </row>
    <row r="174" spans="1:9" ht="24.75" customHeight="1">
      <c r="A174" s="5">
        <v>171</v>
      </c>
      <c r="B174" s="6" t="s">
        <v>11</v>
      </c>
      <c r="C174" s="6" t="s">
        <v>12</v>
      </c>
      <c r="D174" s="6" t="str">
        <f t="shared" si="2"/>
        <v>001</v>
      </c>
      <c r="E174" s="6" t="str">
        <f>"郑贞莹"</f>
        <v>郑贞莹</v>
      </c>
      <c r="F174" s="6" t="str">
        <f>"202311180601"</f>
        <v>202311180601</v>
      </c>
      <c r="G174" s="7">
        <v>63.25</v>
      </c>
      <c r="H174" s="8">
        <v>170</v>
      </c>
      <c r="I174" s="5"/>
    </row>
    <row r="175" spans="1:9" ht="24.75" customHeight="1">
      <c r="A175" s="5">
        <v>172</v>
      </c>
      <c r="B175" s="6" t="s">
        <v>11</v>
      </c>
      <c r="C175" s="6" t="s">
        <v>12</v>
      </c>
      <c r="D175" s="6" t="str">
        <f t="shared" si="2"/>
        <v>001</v>
      </c>
      <c r="E175" s="6" t="str">
        <f>"陈南姑"</f>
        <v>陈南姑</v>
      </c>
      <c r="F175" s="6" t="str">
        <f>"202311181123"</f>
        <v>202311181123</v>
      </c>
      <c r="G175" s="7">
        <v>63.25</v>
      </c>
      <c r="H175" s="8">
        <v>170</v>
      </c>
      <c r="I175" s="5"/>
    </row>
    <row r="176" spans="1:9" ht="24.75" customHeight="1">
      <c r="A176" s="5">
        <v>173</v>
      </c>
      <c r="B176" s="6" t="s">
        <v>11</v>
      </c>
      <c r="C176" s="6" t="s">
        <v>12</v>
      </c>
      <c r="D176" s="6" t="str">
        <f t="shared" si="2"/>
        <v>001</v>
      </c>
      <c r="E176" s="6" t="str">
        <f>"符气仙"</f>
        <v>符气仙</v>
      </c>
      <c r="F176" s="6" t="str">
        <f>"202311182111"</f>
        <v>202311182111</v>
      </c>
      <c r="G176" s="7">
        <v>63.25</v>
      </c>
      <c r="H176" s="8">
        <v>170</v>
      </c>
      <c r="I176" s="5"/>
    </row>
    <row r="177" spans="1:9" ht="24.75" customHeight="1">
      <c r="A177" s="5">
        <v>174</v>
      </c>
      <c r="B177" s="6" t="s">
        <v>11</v>
      </c>
      <c r="C177" s="6" t="s">
        <v>12</v>
      </c>
      <c r="D177" s="6" t="str">
        <f t="shared" si="2"/>
        <v>001</v>
      </c>
      <c r="E177" s="6" t="str">
        <f>"吴育婷"</f>
        <v>吴育婷</v>
      </c>
      <c r="F177" s="6" t="str">
        <f>"202311180815"</f>
        <v>202311180815</v>
      </c>
      <c r="G177" s="7">
        <v>63</v>
      </c>
      <c r="H177" s="8">
        <v>174</v>
      </c>
      <c r="I177" s="5"/>
    </row>
    <row r="178" spans="1:9" ht="24.75" customHeight="1">
      <c r="A178" s="5">
        <v>175</v>
      </c>
      <c r="B178" s="6" t="s">
        <v>11</v>
      </c>
      <c r="C178" s="6" t="s">
        <v>12</v>
      </c>
      <c r="D178" s="6" t="str">
        <f t="shared" si="2"/>
        <v>001</v>
      </c>
      <c r="E178" s="6" t="str">
        <f>"钟华敏"</f>
        <v>钟华敏</v>
      </c>
      <c r="F178" s="6" t="str">
        <f>"202311181214"</f>
        <v>202311181214</v>
      </c>
      <c r="G178" s="7">
        <v>63</v>
      </c>
      <c r="H178" s="8">
        <v>174</v>
      </c>
      <c r="I178" s="5"/>
    </row>
    <row r="179" spans="1:9" ht="24.75" customHeight="1">
      <c r="A179" s="5">
        <v>176</v>
      </c>
      <c r="B179" s="6" t="s">
        <v>11</v>
      </c>
      <c r="C179" s="6" t="s">
        <v>12</v>
      </c>
      <c r="D179" s="6" t="str">
        <f t="shared" si="2"/>
        <v>001</v>
      </c>
      <c r="E179" s="6" t="str">
        <f>"邓嘉维"</f>
        <v>邓嘉维</v>
      </c>
      <c r="F179" s="6" t="str">
        <f>"202311181223"</f>
        <v>202311181223</v>
      </c>
      <c r="G179" s="7">
        <v>63</v>
      </c>
      <c r="H179" s="8">
        <v>174</v>
      </c>
      <c r="I179" s="5"/>
    </row>
    <row r="180" spans="1:9" ht="24.75" customHeight="1">
      <c r="A180" s="5">
        <v>177</v>
      </c>
      <c r="B180" s="6" t="s">
        <v>11</v>
      </c>
      <c r="C180" s="6" t="s">
        <v>12</v>
      </c>
      <c r="D180" s="6" t="str">
        <f t="shared" si="2"/>
        <v>001</v>
      </c>
      <c r="E180" s="6" t="str">
        <f>"翁晓娟"</f>
        <v>翁晓娟</v>
      </c>
      <c r="F180" s="6" t="str">
        <f>"202311180429"</f>
        <v>202311180429</v>
      </c>
      <c r="G180" s="7">
        <v>62.75</v>
      </c>
      <c r="H180" s="8">
        <v>177</v>
      </c>
      <c r="I180" s="5"/>
    </row>
    <row r="181" spans="1:9" ht="24.75" customHeight="1">
      <c r="A181" s="5">
        <v>178</v>
      </c>
      <c r="B181" s="6" t="s">
        <v>11</v>
      </c>
      <c r="C181" s="6" t="s">
        <v>12</v>
      </c>
      <c r="D181" s="6" t="str">
        <f t="shared" si="2"/>
        <v>001</v>
      </c>
      <c r="E181" s="6" t="str">
        <f>"熊秀容"</f>
        <v>熊秀容</v>
      </c>
      <c r="F181" s="6" t="str">
        <f>"202311180501"</f>
        <v>202311180501</v>
      </c>
      <c r="G181" s="7">
        <v>62.75</v>
      </c>
      <c r="H181" s="8">
        <v>177</v>
      </c>
      <c r="I181" s="5"/>
    </row>
    <row r="182" spans="1:9" ht="24.75" customHeight="1">
      <c r="A182" s="5">
        <v>179</v>
      </c>
      <c r="B182" s="6" t="s">
        <v>11</v>
      </c>
      <c r="C182" s="6" t="s">
        <v>12</v>
      </c>
      <c r="D182" s="6" t="str">
        <f t="shared" si="2"/>
        <v>001</v>
      </c>
      <c r="E182" s="6" t="str">
        <f>"符史俊"</f>
        <v>符史俊</v>
      </c>
      <c r="F182" s="6" t="str">
        <f>"202311181012"</f>
        <v>202311181012</v>
      </c>
      <c r="G182" s="7">
        <v>62.75</v>
      </c>
      <c r="H182" s="8">
        <v>177</v>
      </c>
      <c r="I182" s="5"/>
    </row>
    <row r="183" spans="1:9" ht="24.75" customHeight="1">
      <c r="A183" s="5">
        <v>180</v>
      </c>
      <c r="B183" s="6" t="s">
        <v>11</v>
      </c>
      <c r="C183" s="6" t="s">
        <v>12</v>
      </c>
      <c r="D183" s="6" t="str">
        <f t="shared" si="2"/>
        <v>001</v>
      </c>
      <c r="E183" s="6" t="str">
        <f>"庄少君"</f>
        <v>庄少君</v>
      </c>
      <c r="F183" s="6" t="str">
        <f>"202311182422"</f>
        <v>202311182422</v>
      </c>
      <c r="G183" s="7">
        <v>62.75</v>
      </c>
      <c r="H183" s="8">
        <v>177</v>
      </c>
      <c r="I183" s="5"/>
    </row>
    <row r="184" spans="1:9" ht="24.75" customHeight="1">
      <c r="A184" s="5">
        <v>181</v>
      </c>
      <c r="B184" s="6" t="s">
        <v>11</v>
      </c>
      <c r="C184" s="6" t="s">
        <v>12</v>
      </c>
      <c r="D184" s="6" t="str">
        <f t="shared" si="2"/>
        <v>001</v>
      </c>
      <c r="E184" s="6" t="str">
        <f>"林友芳"</f>
        <v>林友芳</v>
      </c>
      <c r="F184" s="6" t="str">
        <f>"202311180823"</f>
        <v>202311180823</v>
      </c>
      <c r="G184" s="7">
        <v>62.5</v>
      </c>
      <c r="H184" s="8">
        <v>181</v>
      </c>
      <c r="I184" s="5"/>
    </row>
    <row r="185" spans="1:9" ht="24.75" customHeight="1">
      <c r="A185" s="5">
        <v>182</v>
      </c>
      <c r="B185" s="6" t="s">
        <v>11</v>
      </c>
      <c r="C185" s="6" t="s">
        <v>12</v>
      </c>
      <c r="D185" s="6" t="str">
        <f t="shared" si="2"/>
        <v>001</v>
      </c>
      <c r="E185" s="6" t="str">
        <f>"冯子芸"</f>
        <v>冯子芸</v>
      </c>
      <c r="F185" s="6" t="str">
        <f>"202311181527"</f>
        <v>202311181527</v>
      </c>
      <c r="G185" s="7">
        <v>62.5</v>
      </c>
      <c r="H185" s="8">
        <v>181</v>
      </c>
      <c r="I185" s="5"/>
    </row>
    <row r="186" spans="1:9" ht="24.75" customHeight="1">
      <c r="A186" s="5">
        <v>183</v>
      </c>
      <c r="B186" s="6" t="s">
        <v>11</v>
      </c>
      <c r="C186" s="6" t="s">
        <v>12</v>
      </c>
      <c r="D186" s="6" t="str">
        <f t="shared" si="2"/>
        <v>001</v>
      </c>
      <c r="E186" s="6" t="str">
        <f>"文云妃"</f>
        <v>文云妃</v>
      </c>
      <c r="F186" s="6" t="str">
        <f>"202311181921"</f>
        <v>202311181921</v>
      </c>
      <c r="G186" s="7">
        <v>62.5</v>
      </c>
      <c r="H186" s="8">
        <v>181</v>
      </c>
      <c r="I186" s="5"/>
    </row>
    <row r="187" spans="1:9" ht="24.75" customHeight="1">
      <c r="A187" s="5">
        <v>184</v>
      </c>
      <c r="B187" s="6" t="s">
        <v>11</v>
      </c>
      <c r="C187" s="6" t="s">
        <v>12</v>
      </c>
      <c r="D187" s="6" t="str">
        <f t="shared" si="2"/>
        <v>001</v>
      </c>
      <c r="E187" s="6" t="str">
        <f>"陈善景"</f>
        <v>陈善景</v>
      </c>
      <c r="F187" s="6" t="str">
        <f>"202311182317"</f>
        <v>202311182317</v>
      </c>
      <c r="G187" s="7">
        <v>62.5</v>
      </c>
      <c r="H187" s="8">
        <v>181</v>
      </c>
      <c r="I187" s="5"/>
    </row>
    <row r="188" spans="1:9" ht="24.75" customHeight="1">
      <c r="A188" s="5">
        <v>185</v>
      </c>
      <c r="B188" s="6" t="s">
        <v>11</v>
      </c>
      <c r="C188" s="6" t="s">
        <v>12</v>
      </c>
      <c r="D188" s="6" t="str">
        <f t="shared" si="2"/>
        <v>001</v>
      </c>
      <c r="E188" s="6" t="str">
        <f>"黄怡娇"</f>
        <v>黄怡娇</v>
      </c>
      <c r="F188" s="6" t="str">
        <f>"202311182615"</f>
        <v>202311182615</v>
      </c>
      <c r="G188" s="7">
        <v>62.5</v>
      </c>
      <c r="H188" s="8">
        <v>181</v>
      </c>
      <c r="I188" s="5"/>
    </row>
    <row r="189" spans="1:9" ht="24.75" customHeight="1">
      <c r="A189" s="5">
        <v>186</v>
      </c>
      <c r="B189" s="6" t="s">
        <v>11</v>
      </c>
      <c r="C189" s="6" t="s">
        <v>12</v>
      </c>
      <c r="D189" s="6" t="str">
        <f t="shared" si="2"/>
        <v>001</v>
      </c>
      <c r="E189" s="6" t="str">
        <f>"黄培峻"</f>
        <v>黄培峻</v>
      </c>
      <c r="F189" s="6" t="str">
        <f>"202311181221"</f>
        <v>202311181221</v>
      </c>
      <c r="G189" s="7">
        <v>62.25</v>
      </c>
      <c r="H189" s="8">
        <v>186</v>
      </c>
      <c r="I189" s="5"/>
    </row>
    <row r="190" spans="1:9" ht="24.75" customHeight="1">
      <c r="A190" s="5">
        <v>187</v>
      </c>
      <c r="B190" s="6" t="s">
        <v>11</v>
      </c>
      <c r="C190" s="6" t="s">
        <v>12</v>
      </c>
      <c r="D190" s="6" t="str">
        <f t="shared" si="2"/>
        <v>001</v>
      </c>
      <c r="E190" s="6" t="str">
        <f>"王婷婷"</f>
        <v>王婷婷</v>
      </c>
      <c r="F190" s="6" t="str">
        <f>"202311181224"</f>
        <v>202311181224</v>
      </c>
      <c r="G190" s="7">
        <v>62.25</v>
      </c>
      <c r="H190" s="8">
        <v>186</v>
      </c>
      <c r="I190" s="5"/>
    </row>
    <row r="191" spans="1:9" ht="24.75" customHeight="1">
      <c r="A191" s="5">
        <v>188</v>
      </c>
      <c r="B191" s="6" t="s">
        <v>11</v>
      </c>
      <c r="C191" s="6" t="s">
        <v>12</v>
      </c>
      <c r="D191" s="6" t="str">
        <f t="shared" si="2"/>
        <v>001</v>
      </c>
      <c r="E191" s="6" t="str">
        <f>"王咸栋"</f>
        <v>王咸栋</v>
      </c>
      <c r="F191" s="6" t="str">
        <f>"202311181803"</f>
        <v>202311181803</v>
      </c>
      <c r="G191" s="7">
        <v>62.25</v>
      </c>
      <c r="H191" s="8">
        <v>186</v>
      </c>
      <c r="I191" s="5"/>
    </row>
    <row r="192" spans="1:9" ht="24.75" customHeight="1">
      <c r="A192" s="5">
        <v>189</v>
      </c>
      <c r="B192" s="6" t="s">
        <v>11</v>
      </c>
      <c r="C192" s="6" t="s">
        <v>12</v>
      </c>
      <c r="D192" s="6" t="str">
        <f t="shared" si="2"/>
        <v>001</v>
      </c>
      <c r="E192" s="6" t="str">
        <f>"康齐"</f>
        <v>康齐</v>
      </c>
      <c r="F192" s="6" t="str">
        <f>"202311181820"</f>
        <v>202311181820</v>
      </c>
      <c r="G192" s="7">
        <v>62.25</v>
      </c>
      <c r="H192" s="8">
        <v>186</v>
      </c>
      <c r="I192" s="5"/>
    </row>
    <row r="193" spans="1:9" ht="24.75" customHeight="1">
      <c r="A193" s="5">
        <v>190</v>
      </c>
      <c r="B193" s="6" t="s">
        <v>11</v>
      </c>
      <c r="C193" s="6" t="s">
        <v>12</v>
      </c>
      <c r="D193" s="6" t="str">
        <f t="shared" si="2"/>
        <v>001</v>
      </c>
      <c r="E193" s="6" t="str">
        <f>"林俐"</f>
        <v>林俐</v>
      </c>
      <c r="F193" s="6" t="str">
        <f>"202311182330"</f>
        <v>202311182330</v>
      </c>
      <c r="G193" s="7">
        <v>62.25</v>
      </c>
      <c r="H193" s="8">
        <v>186</v>
      </c>
      <c r="I193" s="5"/>
    </row>
    <row r="194" spans="1:9" ht="24.75" customHeight="1">
      <c r="A194" s="5">
        <v>191</v>
      </c>
      <c r="B194" s="6" t="s">
        <v>11</v>
      </c>
      <c r="C194" s="6" t="s">
        <v>12</v>
      </c>
      <c r="D194" s="6" t="str">
        <f t="shared" si="2"/>
        <v>001</v>
      </c>
      <c r="E194" s="6" t="str">
        <f>"陈红贝"</f>
        <v>陈红贝</v>
      </c>
      <c r="F194" s="6" t="str">
        <f>"202311182522"</f>
        <v>202311182522</v>
      </c>
      <c r="G194" s="7">
        <v>62.25</v>
      </c>
      <c r="H194" s="8">
        <v>186</v>
      </c>
      <c r="I194" s="5"/>
    </row>
    <row r="195" spans="1:9" ht="24.75" customHeight="1">
      <c r="A195" s="5">
        <v>192</v>
      </c>
      <c r="B195" s="6" t="s">
        <v>11</v>
      </c>
      <c r="C195" s="6" t="s">
        <v>12</v>
      </c>
      <c r="D195" s="6" t="str">
        <f t="shared" si="2"/>
        <v>001</v>
      </c>
      <c r="E195" s="6" t="str">
        <f>"云永浩"</f>
        <v>云永浩</v>
      </c>
      <c r="F195" s="6" t="str">
        <f>"202311180213"</f>
        <v>202311180213</v>
      </c>
      <c r="G195" s="7">
        <v>62</v>
      </c>
      <c r="H195" s="8">
        <v>192</v>
      </c>
      <c r="I195" s="5"/>
    </row>
    <row r="196" spans="1:9" ht="24.75" customHeight="1">
      <c r="A196" s="5">
        <v>193</v>
      </c>
      <c r="B196" s="6" t="s">
        <v>11</v>
      </c>
      <c r="C196" s="6" t="s">
        <v>12</v>
      </c>
      <c r="D196" s="6" t="str">
        <f aca="true" t="shared" si="3" ref="D196:D259">"001"</f>
        <v>001</v>
      </c>
      <c r="E196" s="6" t="str">
        <f>"王燕红"</f>
        <v>王燕红</v>
      </c>
      <c r="F196" s="6" t="str">
        <f>"202311180413"</f>
        <v>202311180413</v>
      </c>
      <c r="G196" s="7">
        <v>62</v>
      </c>
      <c r="H196" s="8">
        <v>192</v>
      </c>
      <c r="I196" s="5"/>
    </row>
    <row r="197" spans="1:9" ht="24.75" customHeight="1">
      <c r="A197" s="5">
        <v>194</v>
      </c>
      <c r="B197" s="6" t="s">
        <v>11</v>
      </c>
      <c r="C197" s="6" t="s">
        <v>12</v>
      </c>
      <c r="D197" s="6" t="str">
        <f t="shared" si="3"/>
        <v>001</v>
      </c>
      <c r="E197" s="6" t="str">
        <f>"吕腾鹏"</f>
        <v>吕腾鹏</v>
      </c>
      <c r="F197" s="6" t="str">
        <f>"202311181101"</f>
        <v>202311181101</v>
      </c>
      <c r="G197" s="7">
        <v>62</v>
      </c>
      <c r="H197" s="8">
        <v>192</v>
      </c>
      <c r="I197" s="5"/>
    </row>
    <row r="198" spans="1:9" ht="24.75" customHeight="1">
      <c r="A198" s="5">
        <v>195</v>
      </c>
      <c r="B198" s="6" t="s">
        <v>11</v>
      </c>
      <c r="C198" s="6" t="s">
        <v>12</v>
      </c>
      <c r="D198" s="6" t="str">
        <f t="shared" si="3"/>
        <v>001</v>
      </c>
      <c r="E198" s="6" t="str">
        <f>"陈梅梅"</f>
        <v>陈梅梅</v>
      </c>
      <c r="F198" s="6" t="str">
        <f>"202311182009"</f>
        <v>202311182009</v>
      </c>
      <c r="G198" s="7">
        <v>62</v>
      </c>
      <c r="H198" s="8">
        <v>192</v>
      </c>
      <c r="I198" s="5"/>
    </row>
    <row r="199" spans="1:9" ht="24.75" customHeight="1">
      <c r="A199" s="5">
        <v>196</v>
      </c>
      <c r="B199" s="6" t="s">
        <v>11</v>
      </c>
      <c r="C199" s="6" t="s">
        <v>12</v>
      </c>
      <c r="D199" s="6" t="str">
        <f t="shared" si="3"/>
        <v>001</v>
      </c>
      <c r="E199" s="6" t="str">
        <f>"张熙松"</f>
        <v>张熙松</v>
      </c>
      <c r="F199" s="6" t="str">
        <f>"202311182414"</f>
        <v>202311182414</v>
      </c>
      <c r="G199" s="7">
        <v>62</v>
      </c>
      <c r="H199" s="8">
        <v>192</v>
      </c>
      <c r="I199" s="5"/>
    </row>
    <row r="200" spans="1:9" ht="24.75" customHeight="1">
      <c r="A200" s="5">
        <v>197</v>
      </c>
      <c r="B200" s="6" t="s">
        <v>11</v>
      </c>
      <c r="C200" s="6" t="s">
        <v>12</v>
      </c>
      <c r="D200" s="6" t="str">
        <f t="shared" si="3"/>
        <v>001</v>
      </c>
      <c r="E200" s="6" t="str">
        <f>"王迷尔"</f>
        <v>王迷尔</v>
      </c>
      <c r="F200" s="6" t="str">
        <f>"202311180311"</f>
        <v>202311180311</v>
      </c>
      <c r="G200" s="7">
        <v>61.75</v>
      </c>
      <c r="H200" s="8">
        <v>197</v>
      </c>
      <c r="I200" s="5"/>
    </row>
    <row r="201" spans="1:9" ht="24.75" customHeight="1">
      <c r="A201" s="5">
        <v>198</v>
      </c>
      <c r="B201" s="6" t="s">
        <v>11</v>
      </c>
      <c r="C201" s="6" t="s">
        <v>12</v>
      </c>
      <c r="D201" s="6" t="str">
        <f t="shared" si="3"/>
        <v>001</v>
      </c>
      <c r="E201" s="6" t="str">
        <f>"陈海佳"</f>
        <v>陈海佳</v>
      </c>
      <c r="F201" s="6" t="str">
        <f>"202311180712"</f>
        <v>202311180712</v>
      </c>
      <c r="G201" s="7">
        <v>61.75</v>
      </c>
      <c r="H201" s="8">
        <v>197</v>
      </c>
      <c r="I201" s="5"/>
    </row>
    <row r="202" spans="1:9" ht="24.75" customHeight="1">
      <c r="A202" s="5">
        <v>199</v>
      </c>
      <c r="B202" s="6" t="s">
        <v>11</v>
      </c>
      <c r="C202" s="6" t="s">
        <v>12</v>
      </c>
      <c r="D202" s="6" t="str">
        <f t="shared" si="3"/>
        <v>001</v>
      </c>
      <c r="E202" s="6" t="str">
        <f>"曾健珂"</f>
        <v>曾健珂</v>
      </c>
      <c r="F202" s="6" t="str">
        <f>"202311181801"</f>
        <v>202311181801</v>
      </c>
      <c r="G202" s="7">
        <v>61.75</v>
      </c>
      <c r="H202" s="8">
        <v>197</v>
      </c>
      <c r="I202" s="5"/>
    </row>
    <row r="203" spans="1:9" ht="24.75" customHeight="1">
      <c r="A203" s="5">
        <v>200</v>
      </c>
      <c r="B203" s="6" t="s">
        <v>11</v>
      </c>
      <c r="C203" s="6" t="s">
        <v>12</v>
      </c>
      <c r="D203" s="6" t="str">
        <f t="shared" si="3"/>
        <v>001</v>
      </c>
      <c r="E203" s="6" t="str">
        <f>"王志亮"</f>
        <v>王志亮</v>
      </c>
      <c r="F203" s="6" t="str">
        <f>"202311182015"</f>
        <v>202311182015</v>
      </c>
      <c r="G203" s="7">
        <v>61.75</v>
      </c>
      <c r="H203" s="8">
        <v>197</v>
      </c>
      <c r="I203" s="5"/>
    </row>
    <row r="204" spans="1:9" ht="24.75" customHeight="1">
      <c r="A204" s="5">
        <v>201</v>
      </c>
      <c r="B204" s="6" t="s">
        <v>11</v>
      </c>
      <c r="C204" s="6" t="s">
        <v>12</v>
      </c>
      <c r="D204" s="6" t="str">
        <f t="shared" si="3"/>
        <v>001</v>
      </c>
      <c r="E204" s="6" t="str">
        <f>"陈飞臻"</f>
        <v>陈飞臻</v>
      </c>
      <c r="F204" s="6" t="str">
        <f>"202311182423"</f>
        <v>202311182423</v>
      </c>
      <c r="G204" s="7">
        <v>61.75</v>
      </c>
      <c r="H204" s="8">
        <v>197</v>
      </c>
      <c r="I204" s="5"/>
    </row>
    <row r="205" spans="1:9" ht="24.75" customHeight="1">
      <c r="A205" s="5">
        <v>202</v>
      </c>
      <c r="B205" s="6" t="s">
        <v>11</v>
      </c>
      <c r="C205" s="6" t="s">
        <v>12</v>
      </c>
      <c r="D205" s="6" t="str">
        <f t="shared" si="3"/>
        <v>001</v>
      </c>
      <c r="E205" s="6" t="str">
        <f>"韩萌萌"</f>
        <v>韩萌萌</v>
      </c>
      <c r="F205" s="6" t="str">
        <f>"202311180126"</f>
        <v>202311180126</v>
      </c>
      <c r="G205" s="7">
        <v>61.5</v>
      </c>
      <c r="H205" s="8">
        <v>202</v>
      </c>
      <c r="I205" s="5"/>
    </row>
    <row r="206" spans="1:9" ht="24.75" customHeight="1">
      <c r="A206" s="5">
        <v>203</v>
      </c>
      <c r="B206" s="6" t="s">
        <v>11</v>
      </c>
      <c r="C206" s="6" t="s">
        <v>12</v>
      </c>
      <c r="D206" s="6" t="str">
        <f t="shared" si="3"/>
        <v>001</v>
      </c>
      <c r="E206" s="6" t="str">
        <f>"叶宇城"</f>
        <v>叶宇城</v>
      </c>
      <c r="F206" s="6" t="str">
        <f>"202311180422"</f>
        <v>202311180422</v>
      </c>
      <c r="G206" s="7">
        <v>61.5</v>
      </c>
      <c r="H206" s="8">
        <v>202</v>
      </c>
      <c r="I206" s="5"/>
    </row>
    <row r="207" spans="1:9" ht="24.75" customHeight="1">
      <c r="A207" s="5">
        <v>204</v>
      </c>
      <c r="B207" s="6" t="s">
        <v>11</v>
      </c>
      <c r="C207" s="6" t="s">
        <v>12</v>
      </c>
      <c r="D207" s="6" t="str">
        <f t="shared" si="3"/>
        <v>001</v>
      </c>
      <c r="E207" s="6" t="str">
        <f>"李诗婷"</f>
        <v>李诗婷</v>
      </c>
      <c r="F207" s="6" t="str">
        <f>"202311180512"</f>
        <v>202311180512</v>
      </c>
      <c r="G207" s="7">
        <v>61.5</v>
      </c>
      <c r="H207" s="8">
        <v>202</v>
      </c>
      <c r="I207" s="5"/>
    </row>
    <row r="208" spans="1:9" ht="24.75" customHeight="1">
      <c r="A208" s="5">
        <v>205</v>
      </c>
      <c r="B208" s="6" t="s">
        <v>11</v>
      </c>
      <c r="C208" s="6" t="s">
        <v>12</v>
      </c>
      <c r="D208" s="6" t="str">
        <f t="shared" si="3"/>
        <v>001</v>
      </c>
      <c r="E208" s="6" t="str">
        <f>"唐于琏"</f>
        <v>唐于琏</v>
      </c>
      <c r="F208" s="6" t="str">
        <f>"202311181725"</f>
        <v>202311181725</v>
      </c>
      <c r="G208" s="7">
        <v>61.5</v>
      </c>
      <c r="H208" s="8">
        <v>202</v>
      </c>
      <c r="I208" s="5"/>
    </row>
    <row r="209" spans="1:9" ht="24.75" customHeight="1">
      <c r="A209" s="5">
        <v>206</v>
      </c>
      <c r="B209" s="6" t="s">
        <v>11</v>
      </c>
      <c r="C209" s="6" t="s">
        <v>12</v>
      </c>
      <c r="D209" s="6" t="str">
        <f t="shared" si="3"/>
        <v>001</v>
      </c>
      <c r="E209" s="6" t="str">
        <f>"杨其成"</f>
        <v>杨其成</v>
      </c>
      <c r="F209" s="6" t="str">
        <f>"202311181925"</f>
        <v>202311181925</v>
      </c>
      <c r="G209" s="7">
        <v>61.5</v>
      </c>
      <c r="H209" s="8">
        <v>202</v>
      </c>
      <c r="I209" s="5"/>
    </row>
    <row r="210" spans="1:9" ht="24.75" customHeight="1">
      <c r="A210" s="5">
        <v>207</v>
      </c>
      <c r="B210" s="6" t="s">
        <v>11</v>
      </c>
      <c r="C210" s="6" t="s">
        <v>12</v>
      </c>
      <c r="D210" s="6" t="str">
        <f t="shared" si="3"/>
        <v>001</v>
      </c>
      <c r="E210" s="6" t="str">
        <f>"王鹏"</f>
        <v>王鹏</v>
      </c>
      <c r="F210" s="6" t="str">
        <f>"202311180226"</f>
        <v>202311180226</v>
      </c>
      <c r="G210" s="7">
        <v>61.25</v>
      </c>
      <c r="H210" s="8">
        <v>207</v>
      </c>
      <c r="I210" s="5"/>
    </row>
    <row r="211" spans="1:9" ht="24.75" customHeight="1">
      <c r="A211" s="5">
        <v>208</v>
      </c>
      <c r="B211" s="6" t="s">
        <v>11</v>
      </c>
      <c r="C211" s="6" t="s">
        <v>12</v>
      </c>
      <c r="D211" s="6" t="str">
        <f t="shared" si="3"/>
        <v>001</v>
      </c>
      <c r="E211" s="6" t="str">
        <f>"叶媛"</f>
        <v>叶媛</v>
      </c>
      <c r="F211" s="6" t="str">
        <f>"202311180506"</f>
        <v>202311180506</v>
      </c>
      <c r="G211" s="7">
        <v>61.25</v>
      </c>
      <c r="H211" s="8">
        <v>207</v>
      </c>
      <c r="I211" s="5"/>
    </row>
    <row r="212" spans="1:9" ht="24.75" customHeight="1">
      <c r="A212" s="5">
        <v>209</v>
      </c>
      <c r="B212" s="6" t="s">
        <v>11</v>
      </c>
      <c r="C212" s="6" t="s">
        <v>12</v>
      </c>
      <c r="D212" s="6" t="str">
        <f t="shared" si="3"/>
        <v>001</v>
      </c>
      <c r="E212" s="6" t="str">
        <f>"杨阳"</f>
        <v>杨阳</v>
      </c>
      <c r="F212" s="6" t="str">
        <f>"202311180513"</f>
        <v>202311180513</v>
      </c>
      <c r="G212" s="7">
        <v>61.25</v>
      </c>
      <c r="H212" s="8">
        <v>207</v>
      </c>
      <c r="I212" s="5"/>
    </row>
    <row r="213" spans="1:9" ht="24.75" customHeight="1">
      <c r="A213" s="5">
        <v>210</v>
      </c>
      <c r="B213" s="6" t="s">
        <v>11</v>
      </c>
      <c r="C213" s="6" t="s">
        <v>12</v>
      </c>
      <c r="D213" s="6" t="str">
        <f t="shared" si="3"/>
        <v>001</v>
      </c>
      <c r="E213" s="6" t="str">
        <f>"王淑祯"</f>
        <v>王淑祯</v>
      </c>
      <c r="F213" s="6" t="str">
        <f>"202311181508"</f>
        <v>202311181508</v>
      </c>
      <c r="G213" s="7">
        <v>61.25</v>
      </c>
      <c r="H213" s="8">
        <v>207</v>
      </c>
      <c r="I213" s="5"/>
    </row>
    <row r="214" spans="1:9" ht="24.75" customHeight="1">
      <c r="A214" s="5">
        <v>211</v>
      </c>
      <c r="B214" s="6" t="s">
        <v>11</v>
      </c>
      <c r="C214" s="6" t="s">
        <v>12</v>
      </c>
      <c r="D214" s="6" t="str">
        <f t="shared" si="3"/>
        <v>001</v>
      </c>
      <c r="E214" s="6" t="str">
        <f>"陈萱峰"</f>
        <v>陈萱峰</v>
      </c>
      <c r="F214" s="6" t="str">
        <f>"202311181922"</f>
        <v>202311181922</v>
      </c>
      <c r="G214" s="7">
        <v>61.25</v>
      </c>
      <c r="H214" s="8">
        <v>207</v>
      </c>
      <c r="I214" s="5"/>
    </row>
    <row r="215" spans="1:9" ht="24.75" customHeight="1">
      <c r="A215" s="5">
        <v>212</v>
      </c>
      <c r="B215" s="6" t="s">
        <v>11</v>
      </c>
      <c r="C215" s="6" t="s">
        <v>12</v>
      </c>
      <c r="D215" s="6" t="str">
        <f t="shared" si="3"/>
        <v>001</v>
      </c>
      <c r="E215" s="6" t="str">
        <f>"翟宏林"</f>
        <v>翟宏林</v>
      </c>
      <c r="F215" s="6" t="str">
        <f>"202311182115"</f>
        <v>202311182115</v>
      </c>
      <c r="G215" s="7">
        <v>61.25</v>
      </c>
      <c r="H215" s="8">
        <v>207</v>
      </c>
      <c r="I215" s="5"/>
    </row>
    <row r="216" spans="1:9" ht="24.75" customHeight="1">
      <c r="A216" s="5">
        <v>213</v>
      </c>
      <c r="B216" s="6" t="s">
        <v>11</v>
      </c>
      <c r="C216" s="6" t="s">
        <v>12</v>
      </c>
      <c r="D216" s="6" t="str">
        <f t="shared" si="3"/>
        <v>001</v>
      </c>
      <c r="E216" s="6" t="str">
        <f>"朱秋蕾"</f>
        <v>朱秋蕾</v>
      </c>
      <c r="F216" s="6" t="str">
        <f>"202311180128"</f>
        <v>202311180128</v>
      </c>
      <c r="G216" s="7">
        <v>61</v>
      </c>
      <c r="H216" s="8">
        <v>213</v>
      </c>
      <c r="I216" s="5"/>
    </row>
    <row r="217" spans="1:9" ht="24.75" customHeight="1">
      <c r="A217" s="5">
        <v>214</v>
      </c>
      <c r="B217" s="6" t="s">
        <v>11</v>
      </c>
      <c r="C217" s="6" t="s">
        <v>12</v>
      </c>
      <c r="D217" s="6" t="str">
        <f t="shared" si="3"/>
        <v>001</v>
      </c>
      <c r="E217" s="6" t="str">
        <f>"吴金霞"</f>
        <v>吴金霞</v>
      </c>
      <c r="F217" s="6" t="str">
        <f>"202311180403"</f>
        <v>202311180403</v>
      </c>
      <c r="G217" s="7">
        <v>61</v>
      </c>
      <c r="H217" s="8">
        <v>213</v>
      </c>
      <c r="I217" s="5"/>
    </row>
    <row r="218" spans="1:9" ht="24.75" customHeight="1">
      <c r="A218" s="5">
        <v>215</v>
      </c>
      <c r="B218" s="6" t="s">
        <v>11</v>
      </c>
      <c r="C218" s="6" t="s">
        <v>12</v>
      </c>
      <c r="D218" s="6" t="str">
        <f t="shared" si="3"/>
        <v>001</v>
      </c>
      <c r="E218" s="6" t="str">
        <f>"刘健光"</f>
        <v>刘健光</v>
      </c>
      <c r="F218" s="6" t="str">
        <f>"202311180514"</f>
        <v>202311180514</v>
      </c>
      <c r="G218" s="7">
        <v>61</v>
      </c>
      <c r="H218" s="8">
        <v>213</v>
      </c>
      <c r="I218" s="5"/>
    </row>
    <row r="219" spans="1:9" ht="24.75" customHeight="1">
      <c r="A219" s="5">
        <v>216</v>
      </c>
      <c r="B219" s="6" t="s">
        <v>11</v>
      </c>
      <c r="C219" s="6" t="s">
        <v>12</v>
      </c>
      <c r="D219" s="6" t="str">
        <f t="shared" si="3"/>
        <v>001</v>
      </c>
      <c r="E219" s="6" t="str">
        <f>"钟兴"</f>
        <v>钟兴</v>
      </c>
      <c r="F219" s="6" t="str">
        <f>"202311181025"</f>
        <v>202311181025</v>
      </c>
      <c r="G219" s="7">
        <v>61</v>
      </c>
      <c r="H219" s="8">
        <v>213</v>
      </c>
      <c r="I219" s="5"/>
    </row>
    <row r="220" spans="1:9" ht="24.75" customHeight="1">
      <c r="A220" s="5">
        <v>217</v>
      </c>
      <c r="B220" s="6" t="s">
        <v>11</v>
      </c>
      <c r="C220" s="6" t="s">
        <v>12</v>
      </c>
      <c r="D220" s="6" t="str">
        <f t="shared" si="3"/>
        <v>001</v>
      </c>
      <c r="E220" s="6" t="str">
        <f>"蔡馥蔓"</f>
        <v>蔡馥蔓</v>
      </c>
      <c r="F220" s="6" t="str">
        <f>"202311181125"</f>
        <v>202311181125</v>
      </c>
      <c r="G220" s="7">
        <v>61</v>
      </c>
      <c r="H220" s="8">
        <v>213</v>
      </c>
      <c r="I220" s="5"/>
    </row>
    <row r="221" spans="1:9" ht="24.75" customHeight="1">
      <c r="A221" s="5">
        <v>218</v>
      </c>
      <c r="B221" s="6" t="s">
        <v>11</v>
      </c>
      <c r="C221" s="6" t="s">
        <v>12</v>
      </c>
      <c r="D221" s="6" t="str">
        <f t="shared" si="3"/>
        <v>001</v>
      </c>
      <c r="E221" s="6" t="str">
        <f>"简吾正"</f>
        <v>简吾正</v>
      </c>
      <c r="F221" s="6" t="str">
        <f>"202311181313"</f>
        <v>202311181313</v>
      </c>
      <c r="G221" s="7">
        <v>61</v>
      </c>
      <c r="H221" s="8">
        <v>213</v>
      </c>
      <c r="I221" s="5"/>
    </row>
    <row r="222" spans="1:9" ht="24.75" customHeight="1">
      <c r="A222" s="5">
        <v>219</v>
      </c>
      <c r="B222" s="6" t="s">
        <v>11</v>
      </c>
      <c r="C222" s="6" t="s">
        <v>12</v>
      </c>
      <c r="D222" s="6" t="str">
        <f t="shared" si="3"/>
        <v>001</v>
      </c>
      <c r="E222" s="6" t="str">
        <f>"杨莉"</f>
        <v>杨莉</v>
      </c>
      <c r="F222" s="6" t="str">
        <f>"202311181811"</f>
        <v>202311181811</v>
      </c>
      <c r="G222" s="7">
        <v>61</v>
      </c>
      <c r="H222" s="8">
        <v>213</v>
      </c>
      <c r="I222" s="5"/>
    </row>
    <row r="223" spans="1:9" ht="24.75" customHeight="1">
      <c r="A223" s="5">
        <v>220</v>
      </c>
      <c r="B223" s="6" t="s">
        <v>11</v>
      </c>
      <c r="C223" s="6" t="s">
        <v>12</v>
      </c>
      <c r="D223" s="6" t="str">
        <f t="shared" si="3"/>
        <v>001</v>
      </c>
      <c r="E223" s="6" t="str">
        <f>"黄艳"</f>
        <v>黄艳</v>
      </c>
      <c r="F223" s="6" t="str">
        <f>"202311181819"</f>
        <v>202311181819</v>
      </c>
      <c r="G223" s="7">
        <v>61</v>
      </c>
      <c r="H223" s="8">
        <v>213</v>
      </c>
      <c r="I223" s="5"/>
    </row>
    <row r="224" spans="1:9" ht="24.75" customHeight="1">
      <c r="A224" s="5">
        <v>221</v>
      </c>
      <c r="B224" s="6" t="s">
        <v>11</v>
      </c>
      <c r="C224" s="6" t="s">
        <v>12</v>
      </c>
      <c r="D224" s="6" t="str">
        <f t="shared" si="3"/>
        <v>001</v>
      </c>
      <c r="E224" s="6" t="str">
        <f>"许腾尹"</f>
        <v>许腾尹</v>
      </c>
      <c r="F224" s="6" t="str">
        <f>"202311180304"</f>
        <v>202311180304</v>
      </c>
      <c r="G224" s="7">
        <v>60.75</v>
      </c>
      <c r="H224" s="8">
        <v>221</v>
      </c>
      <c r="I224" s="5"/>
    </row>
    <row r="225" spans="1:9" ht="24.75" customHeight="1">
      <c r="A225" s="5">
        <v>222</v>
      </c>
      <c r="B225" s="6" t="s">
        <v>11</v>
      </c>
      <c r="C225" s="6" t="s">
        <v>12</v>
      </c>
      <c r="D225" s="6" t="str">
        <f t="shared" si="3"/>
        <v>001</v>
      </c>
      <c r="E225" s="6" t="str">
        <f>"冯心乔"</f>
        <v>冯心乔</v>
      </c>
      <c r="F225" s="6" t="str">
        <f>"202311180326"</f>
        <v>202311180326</v>
      </c>
      <c r="G225" s="7">
        <v>60.75</v>
      </c>
      <c r="H225" s="8">
        <v>221</v>
      </c>
      <c r="I225" s="5"/>
    </row>
    <row r="226" spans="1:9" ht="24.75" customHeight="1">
      <c r="A226" s="5">
        <v>223</v>
      </c>
      <c r="B226" s="6" t="s">
        <v>11</v>
      </c>
      <c r="C226" s="6" t="s">
        <v>12</v>
      </c>
      <c r="D226" s="6" t="str">
        <f t="shared" si="3"/>
        <v>001</v>
      </c>
      <c r="E226" s="6" t="str">
        <f>"王海妮"</f>
        <v>王海妮</v>
      </c>
      <c r="F226" s="6" t="str">
        <f>"202311180604"</f>
        <v>202311180604</v>
      </c>
      <c r="G226" s="7">
        <v>60.75</v>
      </c>
      <c r="H226" s="8">
        <v>221</v>
      </c>
      <c r="I226" s="5"/>
    </row>
    <row r="227" spans="1:9" ht="24.75" customHeight="1">
      <c r="A227" s="5">
        <v>224</v>
      </c>
      <c r="B227" s="6" t="s">
        <v>11</v>
      </c>
      <c r="C227" s="6" t="s">
        <v>12</v>
      </c>
      <c r="D227" s="6" t="str">
        <f t="shared" si="3"/>
        <v>001</v>
      </c>
      <c r="E227" s="6" t="str">
        <f>"殷彬"</f>
        <v>殷彬</v>
      </c>
      <c r="F227" s="6" t="str">
        <f>"202311181009"</f>
        <v>202311181009</v>
      </c>
      <c r="G227" s="7">
        <v>60.75</v>
      </c>
      <c r="H227" s="8">
        <v>221</v>
      </c>
      <c r="I227" s="5"/>
    </row>
    <row r="228" spans="1:9" ht="24.75" customHeight="1">
      <c r="A228" s="5">
        <v>225</v>
      </c>
      <c r="B228" s="6" t="s">
        <v>11</v>
      </c>
      <c r="C228" s="6" t="s">
        <v>12</v>
      </c>
      <c r="D228" s="6" t="str">
        <f t="shared" si="3"/>
        <v>001</v>
      </c>
      <c r="E228" s="6" t="str">
        <f>"章亚宁"</f>
        <v>章亚宁</v>
      </c>
      <c r="F228" s="6" t="str">
        <f>"202311181513"</f>
        <v>202311181513</v>
      </c>
      <c r="G228" s="7">
        <v>60.75</v>
      </c>
      <c r="H228" s="8">
        <v>221</v>
      </c>
      <c r="I228" s="5"/>
    </row>
    <row r="229" spans="1:9" ht="24.75" customHeight="1">
      <c r="A229" s="5">
        <v>226</v>
      </c>
      <c r="B229" s="6" t="s">
        <v>11</v>
      </c>
      <c r="C229" s="6" t="s">
        <v>12</v>
      </c>
      <c r="D229" s="6" t="str">
        <f t="shared" si="3"/>
        <v>001</v>
      </c>
      <c r="E229" s="6" t="str">
        <f>"吴淑亮"</f>
        <v>吴淑亮</v>
      </c>
      <c r="F229" s="6" t="str">
        <f>"202311181804"</f>
        <v>202311181804</v>
      </c>
      <c r="G229" s="7">
        <v>60.75</v>
      </c>
      <c r="H229" s="8">
        <v>221</v>
      </c>
      <c r="I229" s="5"/>
    </row>
    <row r="230" spans="1:9" ht="24.75" customHeight="1">
      <c r="A230" s="5">
        <v>227</v>
      </c>
      <c r="B230" s="6" t="s">
        <v>11</v>
      </c>
      <c r="C230" s="6" t="s">
        <v>12</v>
      </c>
      <c r="D230" s="6" t="str">
        <f t="shared" si="3"/>
        <v>001</v>
      </c>
      <c r="E230" s="6" t="str">
        <f>"李达波"</f>
        <v>李达波</v>
      </c>
      <c r="F230" s="6" t="str">
        <f>"202311182029"</f>
        <v>202311182029</v>
      </c>
      <c r="G230" s="7">
        <v>60.75</v>
      </c>
      <c r="H230" s="8">
        <v>221</v>
      </c>
      <c r="I230" s="5"/>
    </row>
    <row r="231" spans="1:9" ht="24.75" customHeight="1">
      <c r="A231" s="5">
        <v>228</v>
      </c>
      <c r="B231" s="6" t="s">
        <v>11</v>
      </c>
      <c r="C231" s="6" t="s">
        <v>12</v>
      </c>
      <c r="D231" s="6" t="str">
        <f t="shared" si="3"/>
        <v>001</v>
      </c>
      <c r="E231" s="6" t="str">
        <f>"王秀娟"</f>
        <v>王秀娟</v>
      </c>
      <c r="F231" s="6" t="str">
        <f>"202311182321"</f>
        <v>202311182321</v>
      </c>
      <c r="G231" s="7">
        <v>60.75</v>
      </c>
      <c r="H231" s="8">
        <v>221</v>
      </c>
      <c r="I231" s="5"/>
    </row>
    <row r="232" spans="1:9" ht="24.75" customHeight="1">
      <c r="A232" s="5">
        <v>229</v>
      </c>
      <c r="B232" s="6" t="s">
        <v>11</v>
      </c>
      <c r="C232" s="6" t="s">
        <v>12</v>
      </c>
      <c r="D232" s="6" t="str">
        <f t="shared" si="3"/>
        <v>001</v>
      </c>
      <c r="E232" s="6" t="str">
        <f>"王惠"</f>
        <v>王惠</v>
      </c>
      <c r="F232" s="6" t="str">
        <f>"202311182619"</f>
        <v>202311182619</v>
      </c>
      <c r="G232" s="7">
        <v>60.75</v>
      </c>
      <c r="H232" s="8">
        <v>221</v>
      </c>
      <c r="I232" s="5"/>
    </row>
    <row r="233" spans="1:9" ht="24.75" customHeight="1">
      <c r="A233" s="5">
        <v>230</v>
      </c>
      <c r="B233" s="6" t="s">
        <v>11</v>
      </c>
      <c r="C233" s="6" t="s">
        <v>12</v>
      </c>
      <c r="D233" s="6" t="str">
        <f t="shared" si="3"/>
        <v>001</v>
      </c>
      <c r="E233" s="6" t="str">
        <f>"苟丽婷"</f>
        <v>苟丽婷</v>
      </c>
      <c r="F233" s="6" t="str">
        <f>"202311180702"</f>
        <v>202311180702</v>
      </c>
      <c r="G233" s="7">
        <v>60.5</v>
      </c>
      <c r="H233" s="8">
        <v>230</v>
      </c>
      <c r="I233" s="5"/>
    </row>
    <row r="234" spans="1:9" ht="24.75" customHeight="1">
      <c r="A234" s="5">
        <v>231</v>
      </c>
      <c r="B234" s="6" t="s">
        <v>11</v>
      </c>
      <c r="C234" s="6" t="s">
        <v>12</v>
      </c>
      <c r="D234" s="6" t="str">
        <f t="shared" si="3"/>
        <v>001</v>
      </c>
      <c r="E234" s="6" t="str">
        <f>"张琳"</f>
        <v>张琳</v>
      </c>
      <c r="F234" s="6" t="str">
        <f>"202311180713"</f>
        <v>202311180713</v>
      </c>
      <c r="G234" s="7">
        <v>60.5</v>
      </c>
      <c r="H234" s="8">
        <v>230</v>
      </c>
      <c r="I234" s="5"/>
    </row>
    <row r="235" spans="1:9" ht="24.75" customHeight="1">
      <c r="A235" s="5">
        <v>232</v>
      </c>
      <c r="B235" s="6" t="s">
        <v>11</v>
      </c>
      <c r="C235" s="6" t="s">
        <v>12</v>
      </c>
      <c r="D235" s="6" t="str">
        <f t="shared" si="3"/>
        <v>001</v>
      </c>
      <c r="E235" s="6" t="str">
        <f>"符祥煌"</f>
        <v>符祥煌</v>
      </c>
      <c r="F235" s="6" t="str">
        <f>"202311181403"</f>
        <v>202311181403</v>
      </c>
      <c r="G235" s="7">
        <v>60.5</v>
      </c>
      <c r="H235" s="8">
        <v>230</v>
      </c>
      <c r="I235" s="5"/>
    </row>
    <row r="236" spans="1:9" ht="24.75" customHeight="1">
      <c r="A236" s="5">
        <v>233</v>
      </c>
      <c r="B236" s="6" t="s">
        <v>11</v>
      </c>
      <c r="C236" s="6" t="s">
        <v>12</v>
      </c>
      <c r="D236" s="6" t="str">
        <f t="shared" si="3"/>
        <v>001</v>
      </c>
      <c r="E236" s="6" t="str">
        <f>"莫文如"</f>
        <v>莫文如</v>
      </c>
      <c r="F236" s="6" t="str">
        <f>"202311182106"</f>
        <v>202311182106</v>
      </c>
      <c r="G236" s="7">
        <v>60.5</v>
      </c>
      <c r="H236" s="8">
        <v>230</v>
      </c>
      <c r="I236" s="5"/>
    </row>
    <row r="237" spans="1:9" ht="24.75" customHeight="1">
      <c r="A237" s="5">
        <v>234</v>
      </c>
      <c r="B237" s="6" t="s">
        <v>11</v>
      </c>
      <c r="C237" s="6" t="s">
        <v>12</v>
      </c>
      <c r="D237" s="6" t="str">
        <f t="shared" si="3"/>
        <v>001</v>
      </c>
      <c r="E237" s="6" t="str">
        <f>"符孝章"</f>
        <v>符孝章</v>
      </c>
      <c r="F237" s="6" t="str">
        <f>"202311180211"</f>
        <v>202311180211</v>
      </c>
      <c r="G237" s="7">
        <v>60.25</v>
      </c>
      <c r="H237" s="8">
        <v>234</v>
      </c>
      <c r="I237" s="5"/>
    </row>
    <row r="238" spans="1:9" ht="24.75" customHeight="1">
      <c r="A238" s="5">
        <v>235</v>
      </c>
      <c r="B238" s="6" t="s">
        <v>11</v>
      </c>
      <c r="C238" s="6" t="s">
        <v>12</v>
      </c>
      <c r="D238" s="6" t="str">
        <f t="shared" si="3"/>
        <v>001</v>
      </c>
      <c r="E238" s="6" t="str">
        <f>"符前霖"</f>
        <v>符前霖</v>
      </c>
      <c r="F238" s="6" t="str">
        <f>"202311180307"</f>
        <v>202311180307</v>
      </c>
      <c r="G238" s="7">
        <v>60.25</v>
      </c>
      <c r="H238" s="8">
        <v>234</v>
      </c>
      <c r="I238" s="5"/>
    </row>
    <row r="239" spans="1:9" ht="24.75" customHeight="1">
      <c r="A239" s="5">
        <v>236</v>
      </c>
      <c r="B239" s="6" t="s">
        <v>11</v>
      </c>
      <c r="C239" s="6" t="s">
        <v>12</v>
      </c>
      <c r="D239" s="6" t="str">
        <f t="shared" si="3"/>
        <v>001</v>
      </c>
      <c r="E239" s="6" t="str">
        <f>"孙荣雾"</f>
        <v>孙荣雾</v>
      </c>
      <c r="F239" s="6" t="str">
        <f>"202311180523"</f>
        <v>202311180523</v>
      </c>
      <c r="G239" s="7">
        <v>60.25</v>
      </c>
      <c r="H239" s="8">
        <v>234</v>
      </c>
      <c r="I239" s="5"/>
    </row>
    <row r="240" spans="1:9" ht="24.75" customHeight="1">
      <c r="A240" s="5">
        <v>237</v>
      </c>
      <c r="B240" s="6" t="s">
        <v>11</v>
      </c>
      <c r="C240" s="6" t="s">
        <v>12</v>
      </c>
      <c r="D240" s="6" t="str">
        <f t="shared" si="3"/>
        <v>001</v>
      </c>
      <c r="E240" s="6" t="str">
        <f>"曾萍嘉"</f>
        <v>曾萍嘉</v>
      </c>
      <c r="F240" s="6" t="str">
        <f>"202311180628"</f>
        <v>202311180628</v>
      </c>
      <c r="G240" s="7">
        <v>60.25</v>
      </c>
      <c r="H240" s="8">
        <v>234</v>
      </c>
      <c r="I240" s="5"/>
    </row>
    <row r="241" spans="1:9" ht="24.75" customHeight="1">
      <c r="A241" s="5">
        <v>238</v>
      </c>
      <c r="B241" s="6" t="s">
        <v>11</v>
      </c>
      <c r="C241" s="6" t="s">
        <v>12</v>
      </c>
      <c r="D241" s="6" t="str">
        <f t="shared" si="3"/>
        <v>001</v>
      </c>
      <c r="E241" s="6" t="str">
        <f>"林贤"</f>
        <v>林贤</v>
      </c>
      <c r="F241" s="6" t="str">
        <f>"202311181525"</f>
        <v>202311181525</v>
      </c>
      <c r="G241" s="7">
        <v>60.25</v>
      </c>
      <c r="H241" s="8">
        <v>234</v>
      </c>
      <c r="I241" s="5"/>
    </row>
    <row r="242" spans="1:9" ht="24.75" customHeight="1">
      <c r="A242" s="5">
        <v>239</v>
      </c>
      <c r="B242" s="6" t="s">
        <v>11</v>
      </c>
      <c r="C242" s="6" t="s">
        <v>12</v>
      </c>
      <c r="D242" s="6" t="str">
        <f t="shared" si="3"/>
        <v>001</v>
      </c>
      <c r="E242" s="6" t="str">
        <f>"符良勇"</f>
        <v>符良勇</v>
      </c>
      <c r="F242" s="6" t="str">
        <f>"202311181605"</f>
        <v>202311181605</v>
      </c>
      <c r="G242" s="7">
        <v>60.25</v>
      </c>
      <c r="H242" s="8">
        <v>234</v>
      </c>
      <c r="I242" s="5"/>
    </row>
    <row r="243" spans="1:9" ht="24.75" customHeight="1">
      <c r="A243" s="5">
        <v>240</v>
      </c>
      <c r="B243" s="6" t="s">
        <v>11</v>
      </c>
      <c r="C243" s="6" t="s">
        <v>12</v>
      </c>
      <c r="D243" s="6" t="str">
        <f t="shared" si="3"/>
        <v>001</v>
      </c>
      <c r="E243" s="6" t="str">
        <f>"高辉杰"</f>
        <v>高辉杰</v>
      </c>
      <c r="F243" s="6" t="str">
        <f>"202311181617"</f>
        <v>202311181617</v>
      </c>
      <c r="G243" s="7">
        <v>60.25</v>
      </c>
      <c r="H243" s="8">
        <v>234</v>
      </c>
      <c r="I243" s="5"/>
    </row>
    <row r="244" spans="1:9" ht="24.75" customHeight="1">
      <c r="A244" s="5">
        <v>241</v>
      </c>
      <c r="B244" s="6" t="s">
        <v>11</v>
      </c>
      <c r="C244" s="6" t="s">
        <v>12</v>
      </c>
      <c r="D244" s="6" t="str">
        <f t="shared" si="3"/>
        <v>001</v>
      </c>
      <c r="E244" s="6" t="str">
        <f>"蒋晓桐"</f>
        <v>蒋晓桐</v>
      </c>
      <c r="F244" s="6" t="str">
        <f>"202311181702"</f>
        <v>202311181702</v>
      </c>
      <c r="G244" s="7">
        <v>60.25</v>
      </c>
      <c r="H244" s="8">
        <v>234</v>
      </c>
      <c r="I244" s="5"/>
    </row>
    <row r="245" spans="1:9" ht="24.75" customHeight="1">
      <c r="A245" s="5">
        <v>242</v>
      </c>
      <c r="B245" s="6" t="s">
        <v>11</v>
      </c>
      <c r="C245" s="6" t="s">
        <v>12</v>
      </c>
      <c r="D245" s="6" t="str">
        <f t="shared" si="3"/>
        <v>001</v>
      </c>
      <c r="E245" s="6" t="str">
        <f>"苏乃萍"</f>
        <v>苏乃萍</v>
      </c>
      <c r="F245" s="6" t="str">
        <f>"202311181806"</f>
        <v>202311181806</v>
      </c>
      <c r="G245" s="7">
        <v>60.25</v>
      </c>
      <c r="H245" s="8">
        <v>234</v>
      </c>
      <c r="I245" s="5"/>
    </row>
    <row r="246" spans="1:9" ht="24.75" customHeight="1">
      <c r="A246" s="5">
        <v>243</v>
      </c>
      <c r="B246" s="6" t="s">
        <v>11</v>
      </c>
      <c r="C246" s="6" t="s">
        <v>12</v>
      </c>
      <c r="D246" s="6" t="str">
        <f t="shared" si="3"/>
        <v>001</v>
      </c>
      <c r="E246" s="6" t="str">
        <f>"黄宗文"</f>
        <v>黄宗文</v>
      </c>
      <c r="F246" s="6" t="str">
        <f>"202311181902"</f>
        <v>202311181902</v>
      </c>
      <c r="G246" s="7">
        <v>60.25</v>
      </c>
      <c r="H246" s="8">
        <v>234</v>
      </c>
      <c r="I246" s="5"/>
    </row>
    <row r="247" spans="1:9" ht="24.75" customHeight="1">
      <c r="A247" s="5">
        <v>244</v>
      </c>
      <c r="B247" s="6" t="s">
        <v>11</v>
      </c>
      <c r="C247" s="6" t="s">
        <v>12</v>
      </c>
      <c r="D247" s="6" t="str">
        <f t="shared" si="3"/>
        <v>001</v>
      </c>
      <c r="E247" s="6" t="str">
        <f>"陈礼顺"</f>
        <v>陈礼顺</v>
      </c>
      <c r="F247" s="6" t="str">
        <f>"202311182508"</f>
        <v>202311182508</v>
      </c>
      <c r="G247" s="7">
        <v>60.25</v>
      </c>
      <c r="H247" s="8">
        <v>234</v>
      </c>
      <c r="I247" s="5"/>
    </row>
    <row r="248" spans="1:9" ht="24.75" customHeight="1">
      <c r="A248" s="5">
        <v>245</v>
      </c>
      <c r="B248" s="6" t="s">
        <v>11</v>
      </c>
      <c r="C248" s="6" t="s">
        <v>12</v>
      </c>
      <c r="D248" s="6" t="str">
        <f t="shared" si="3"/>
        <v>001</v>
      </c>
      <c r="E248" s="6" t="str">
        <f>"韦子琪"</f>
        <v>韦子琪</v>
      </c>
      <c r="F248" s="6" t="str">
        <f>"202311182513"</f>
        <v>202311182513</v>
      </c>
      <c r="G248" s="7">
        <v>60.25</v>
      </c>
      <c r="H248" s="8">
        <v>234</v>
      </c>
      <c r="I248" s="5"/>
    </row>
    <row r="249" spans="1:9" ht="24.75" customHeight="1">
      <c r="A249" s="5">
        <v>246</v>
      </c>
      <c r="B249" s="6" t="s">
        <v>11</v>
      </c>
      <c r="C249" s="6" t="s">
        <v>12</v>
      </c>
      <c r="D249" s="6" t="str">
        <f t="shared" si="3"/>
        <v>001</v>
      </c>
      <c r="E249" s="6" t="str">
        <f>"蔡奕明"</f>
        <v>蔡奕明</v>
      </c>
      <c r="F249" s="6" t="str">
        <f>"202311181004"</f>
        <v>202311181004</v>
      </c>
      <c r="G249" s="7">
        <v>60</v>
      </c>
      <c r="H249" s="8">
        <v>246</v>
      </c>
      <c r="I249" s="5"/>
    </row>
    <row r="250" spans="1:9" ht="24.75" customHeight="1">
      <c r="A250" s="5">
        <v>247</v>
      </c>
      <c r="B250" s="6" t="s">
        <v>11</v>
      </c>
      <c r="C250" s="6" t="s">
        <v>12</v>
      </c>
      <c r="D250" s="6" t="str">
        <f t="shared" si="3"/>
        <v>001</v>
      </c>
      <c r="E250" s="6" t="str">
        <f>"梁富苑"</f>
        <v>梁富苑</v>
      </c>
      <c r="F250" s="6" t="str">
        <f>"202311181105"</f>
        <v>202311181105</v>
      </c>
      <c r="G250" s="7">
        <v>60</v>
      </c>
      <c r="H250" s="8">
        <v>246</v>
      </c>
      <c r="I250" s="5"/>
    </row>
    <row r="251" spans="1:9" ht="24.75" customHeight="1">
      <c r="A251" s="5">
        <v>248</v>
      </c>
      <c r="B251" s="6" t="s">
        <v>11</v>
      </c>
      <c r="C251" s="6" t="s">
        <v>12</v>
      </c>
      <c r="D251" s="6" t="str">
        <f t="shared" si="3"/>
        <v>001</v>
      </c>
      <c r="E251" s="6" t="str">
        <f>"王迷霜"</f>
        <v>王迷霜</v>
      </c>
      <c r="F251" s="6" t="str">
        <f>"202311181316"</f>
        <v>202311181316</v>
      </c>
      <c r="G251" s="7">
        <v>60</v>
      </c>
      <c r="H251" s="8">
        <v>246</v>
      </c>
      <c r="I251" s="5"/>
    </row>
    <row r="252" spans="1:9" ht="24.75" customHeight="1">
      <c r="A252" s="5">
        <v>249</v>
      </c>
      <c r="B252" s="6" t="s">
        <v>11</v>
      </c>
      <c r="C252" s="6" t="s">
        <v>12</v>
      </c>
      <c r="D252" s="6" t="str">
        <f t="shared" si="3"/>
        <v>001</v>
      </c>
      <c r="E252" s="6" t="str">
        <f>"覃文慧"</f>
        <v>覃文慧</v>
      </c>
      <c r="F252" s="6" t="str">
        <f>"202311181103"</f>
        <v>202311181103</v>
      </c>
      <c r="G252" s="7">
        <v>59.75</v>
      </c>
      <c r="H252" s="8">
        <v>249</v>
      </c>
      <c r="I252" s="5"/>
    </row>
    <row r="253" spans="1:9" ht="24.75" customHeight="1">
      <c r="A253" s="5">
        <v>250</v>
      </c>
      <c r="B253" s="6" t="s">
        <v>11</v>
      </c>
      <c r="C253" s="6" t="s">
        <v>12</v>
      </c>
      <c r="D253" s="6" t="str">
        <f t="shared" si="3"/>
        <v>001</v>
      </c>
      <c r="E253" s="6" t="str">
        <f>"曾垂腾"</f>
        <v>曾垂腾</v>
      </c>
      <c r="F253" s="6" t="str">
        <f>"202311181205"</f>
        <v>202311181205</v>
      </c>
      <c r="G253" s="7">
        <v>59.75</v>
      </c>
      <c r="H253" s="8">
        <v>249</v>
      </c>
      <c r="I253" s="5"/>
    </row>
    <row r="254" spans="1:9" ht="24.75" customHeight="1">
      <c r="A254" s="5">
        <v>251</v>
      </c>
      <c r="B254" s="6" t="s">
        <v>11</v>
      </c>
      <c r="C254" s="6" t="s">
        <v>12</v>
      </c>
      <c r="D254" s="6" t="str">
        <f t="shared" si="3"/>
        <v>001</v>
      </c>
      <c r="E254" s="6" t="str">
        <f>"梁田洋"</f>
        <v>梁田洋</v>
      </c>
      <c r="F254" s="6" t="str">
        <f>"202311181304"</f>
        <v>202311181304</v>
      </c>
      <c r="G254" s="7">
        <v>59.75</v>
      </c>
      <c r="H254" s="8">
        <v>249</v>
      </c>
      <c r="I254" s="5"/>
    </row>
    <row r="255" spans="1:9" ht="24.75" customHeight="1">
      <c r="A255" s="5">
        <v>252</v>
      </c>
      <c r="B255" s="6" t="s">
        <v>11</v>
      </c>
      <c r="C255" s="6" t="s">
        <v>12</v>
      </c>
      <c r="D255" s="6" t="str">
        <f t="shared" si="3"/>
        <v>001</v>
      </c>
      <c r="E255" s="6" t="str">
        <f>"梁渝婉"</f>
        <v>梁渝婉</v>
      </c>
      <c r="F255" s="6" t="str">
        <f>"202311181421"</f>
        <v>202311181421</v>
      </c>
      <c r="G255" s="7">
        <v>59.75</v>
      </c>
      <c r="H255" s="8">
        <v>249</v>
      </c>
      <c r="I255" s="5"/>
    </row>
    <row r="256" spans="1:9" ht="24.75" customHeight="1">
      <c r="A256" s="5">
        <v>253</v>
      </c>
      <c r="B256" s="6" t="s">
        <v>11</v>
      </c>
      <c r="C256" s="6" t="s">
        <v>12</v>
      </c>
      <c r="D256" s="6" t="str">
        <f t="shared" si="3"/>
        <v>001</v>
      </c>
      <c r="E256" s="6" t="str">
        <f>"郑东俊"</f>
        <v>郑东俊</v>
      </c>
      <c r="F256" s="6" t="str">
        <f>"202311180917"</f>
        <v>202311180917</v>
      </c>
      <c r="G256" s="7">
        <v>59.5</v>
      </c>
      <c r="H256" s="8">
        <v>253</v>
      </c>
      <c r="I256" s="5"/>
    </row>
    <row r="257" spans="1:9" ht="24.75" customHeight="1">
      <c r="A257" s="5">
        <v>254</v>
      </c>
      <c r="B257" s="6" t="s">
        <v>11</v>
      </c>
      <c r="C257" s="6" t="s">
        <v>12</v>
      </c>
      <c r="D257" s="6" t="str">
        <f t="shared" si="3"/>
        <v>001</v>
      </c>
      <c r="E257" s="6" t="str">
        <f>"刘思琦"</f>
        <v>刘思琦</v>
      </c>
      <c r="F257" s="6" t="str">
        <f>"202311181323"</f>
        <v>202311181323</v>
      </c>
      <c r="G257" s="7">
        <v>59.5</v>
      </c>
      <c r="H257" s="8">
        <v>253</v>
      </c>
      <c r="I257" s="5"/>
    </row>
    <row r="258" spans="1:9" ht="24.75" customHeight="1">
      <c r="A258" s="5">
        <v>255</v>
      </c>
      <c r="B258" s="6" t="s">
        <v>11</v>
      </c>
      <c r="C258" s="6" t="s">
        <v>12</v>
      </c>
      <c r="D258" s="6" t="str">
        <f t="shared" si="3"/>
        <v>001</v>
      </c>
      <c r="E258" s="6" t="str">
        <f>"许家值"</f>
        <v>许家值</v>
      </c>
      <c r="F258" s="6" t="str">
        <f>"202311181412"</f>
        <v>202311181412</v>
      </c>
      <c r="G258" s="7">
        <v>59.5</v>
      </c>
      <c r="H258" s="8">
        <v>253</v>
      </c>
      <c r="I258" s="5"/>
    </row>
    <row r="259" spans="1:9" ht="24.75" customHeight="1">
      <c r="A259" s="5">
        <v>256</v>
      </c>
      <c r="B259" s="6" t="s">
        <v>11</v>
      </c>
      <c r="C259" s="6" t="s">
        <v>12</v>
      </c>
      <c r="D259" s="6" t="str">
        <f t="shared" si="3"/>
        <v>001</v>
      </c>
      <c r="E259" s="6" t="str">
        <f>"杨钰"</f>
        <v>杨钰</v>
      </c>
      <c r="F259" s="6" t="str">
        <f>"202311182022"</f>
        <v>202311182022</v>
      </c>
      <c r="G259" s="7">
        <v>59.5</v>
      </c>
      <c r="H259" s="8">
        <v>253</v>
      </c>
      <c r="I259" s="5"/>
    </row>
    <row r="260" spans="1:9" ht="24.75" customHeight="1">
      <c r="A260" s="5">
        <v>257</v>
      </c>
      <c r="B260" s="6" t="s">
        <v>11</v>
      </c>
      <c r="C260" s="6" t="s">
        <v>12</v>
      </c>
      <c r="D260" s="6" t="str">
        <f aca="true" t="shared" si="4" ref="D260:D323">"001"</f>
        <v>001</v>
      </c>
      <c r="E260" s="6" t="str">
        <f>"王静纯"</f>
        <v>王静纯</v>
      </c>
      <c r="F260" s="6" t="str">
        <f>"202311182206"</f>
        <v>202311182206</v>
      </c>
      <c r="G260" s="7">
        <v>59.5</v>
      </c>
      <c r="H260" s="8">
        <v>253</v>
      </c>
      <c r="I260" s="5"/>
    </row>
    <row r="261" spans="1:9" ht="24.75" customHeight="1">
      <c r="A261" s="5">
        <v>258</v>
      </c>
      <c r="B261" s="6" t="s">
        <v>11</v>
      </c>
      <c r="C261" s="6" t="s">
        <v>12</v>
      </c>
      <c r="D261" s="6" t="str">
        <f t="shared" si="4"/>
        <v>001</v>
      </c>
      <c r="E261" s="6" t="str">
        <f>"吴育武"</f>
        <v>吴育武</v>
      </c>
      <c r="F261" s="6" t="str">
        <f>"202311182304"</f>
        <v>202311182304</v>
      </c>
      <c r="G261" s="7">
        <v>59.5</v>
      </c>
      <c r="H261" s="8">
        <v>253</v>
      </c>
      <c r="I261" s="5"/>
    </row>
    <row r="262" spans="1:9" ht="24.75" customHeight="1">
      <c r="A262" s="5">
        <v>259</v>
      </c>
      <c r="B262" s="6" t="s">
        <v>11</v>
      </c>
      <c r="C262" s="6" t="s">
        <v>12</v>
      </c>
      <c r="D262" s="6" t="str">
        <f t="shared" si="4"/>
        <v>001</v>
      </c>
      <c r="E262" s="6" t="str">
        <f>"王沐歆"</f>
        <v>王沐歆</v>
      </c>
      <c r="F262" s="6" t="str">
        <f>"202311180418"</f>
        <v>202311180418</v>
      </c>
      <c r="G262" s="7">
        <v>59</v>
      </c>
      <c r="H262" s="8">
        <v>259</v>
      </c>
      <c r="I262" s="5"/>
    </row>
    <row r="263" spans="1:9" ht="24.75" customHeight="1">
      <c r="A263" s="5">
        <v>260</v>
      </c>
      <c r="B263" s="6" t="s">
        <v>11</v>
      </c>
      <c r="C263" s="6" t="s">
        <v>12</v>
      </c>
      <c r="D263" s="6" t="str">
        <f t="shared" si="4"/>
        <v>001</v>
      </c>
      <c r="E263" s="6" t="str">
        <f>"何开甲"</f>
        <v>何开甲</v>
      </c>
      <c r="F263" s="6" t="str">
        <f>"202311180709"</f>
        <v>202311180709</v>
      </c>
      <c r="G263" s="7">
        <v>59</v>
      </c>
      <c r="H263" s="8">
        <v>259</v>
      </c>
      <c r="I263" s="5"/>
    </row>
    <row r="264" spans="1:9" ht="24.75" customHeight="1">
      <c r="A264" s="5">
        <v>261</v>
      </c>
      <c r="B264" s="6" t="s">
        <v>11</v>
      </c>
      <c r="C264" s="6" t="s">
        <v>12</v>
      </c>
      <c r="D264" s="6" t="str">
        <f t="shared" si="4"/>
        <v>001</v>
      </c>
      <c r="E264" s="6" t="str">
        <f>"邢玉婷"</f>
        <v>邢玉婷</v>
      </c>
      <c r="F264" s="6" t="str">
        <f>"202311180818"</f>
        <v>202311180818</v>
      </c>
      <c r="G264" s="7">
        <v>59</v>
      </c>
      <c r="H264" s="8">
        <v>259</v>
      </c>
      <c r="I264" s="5"/>
    </row>
    <row r="265" spans="1:9" ht="24.75" customHeight="1">
      <c r="A265" s="5">
        <v>262</v>
      </c>
      <c r="B265" s="6" t="s">
        <v>11</v>
      </c>
      <c r="C265" s="6" t="s">
        <v>12</v>
      </c>
      <c r="D265" s="6" t="str">
        <f t="shared" si="4"/>
        <v>001</v>
      </c>
      <c r="E265" s="6" t="str">
        <f>"陈永恒"</f>
        <v>陈永恒</v>
      </c>
      <c r="F265" s="6" t="str">
        <f>"202311180827"</f>
        <v>202311180827</v>
      </c>
      <c r="G265" s="7">
        <v>59</v>
      </c>
      <c r="H265" s="8">
        <v>259</v>
      </c>
      <c r="I265" s="5"/>
    </row>
    <row r="266" spans="1:9" ht="24.75" customHeight="1">
      <c r="A266" s="5">
        <v>263</v>
      </c>
      <c r="B266" s="6" t="s">
        <v>11</v>
      </c>
      <c r="C266" s="6" t="s">
        <v>12</v>
      </c>
      <c r="D266" s="6" t="str">
        <f t="shared" si="4"/>
        <v>001</v>
      </c>
      <c r="E266" s="6" t="str">
        <f>"李强"</f>
        <v>李强</v>
      </c>
      <c r="F266" s="6" t="str">
        <f>"202311180902"</f>
        <v>202311180902</v>
      </c>
      <c r="G266" s="7">
        <v>59</v>
      </c>
      <c r="H266" s="8">
        <v>259</v>
      </c>
      <c r="I266" s="5"/>
    </row>
    <row r="267" spans="1:9" ht="24.75" customHeight="1">
      <c r="A267" s="5">
        <v>264</v>
      </c>
      <c r="B267" s="6" t="s">
        <v>11</v>
      </c>
      <c r="C267" s="6" t="s">
        <v>12</v>
      </c>
      <c r="D267" s="6" t="str">
        <f t="shared" si="4"/>
        <v>001</v>
      </c>
      <c r="E267" s="6" t="str">
        <f>"张杨"</f>
        <v>张杨</v>
      </c>
      <c r="F267" s="6" t="str">
        <f>"202311181907"</f>
        <v>202311181907</v>
      </c>
      <c r="G267" s="7">
        <v>59</v>
      </c>
      <c r="H267" s="8">
        <v>259</v>
      </c>
      <c r="I267" s="5"/>
    </row>
    <row r="268" spans="1:9" ht="24.75" customHeight="1">
      <c r="A268" s="5">
        <v>265</v>
      </c>
      <c r="B268" s="6" t="s">
        <v>11</v>
      </c>
      <c r="C268" s="6" t="s">
        <v>12</v>
      </c>
      <c r="D268" s="6" t="str">
        <f t="shared" si="4"/>
        <v>001</v>
      </c>
      <c r="E268" s="6" t="str">
        <f>"唐景礼"</f>
        <v>唐景礼</v>
      </c>
      <c r="F268" s="6" t="str">
        <f>"202311182123"</f>
        <v>202311182123</v>
      </c>
      <c r="G268" s="7">
        <v>59</v>
      </c>
      <c r="H268" s="8">
        <v>259</v>
      </c>
      <c r="I268" s="5"/>
    </row>
    <row r="269" spans="1:9" ht="24.75" customHeight="1">
      <c r="A269" s="5">
        <v>266</v>
      </c>
      <c r="B269" s="6" t="s">
        <v>11</v>
      </c>
      <c r="C269" s="6" t="s">
        <v>12</v>
      </c>
      <c r="D269" s="6" t="str">
        <f t="shared" si="4"/>
        <v>001</v>
      </c>
      <c r="E269" s="6" t="str">
        <f>"冯树娜"</f>
        <v>冯树娜</v>
      </c>
      <c r="F269" s="6" t="str">
        <f>"202311180217"</f>
        <v>202311180217</v>
      </c>
      <c r="G269" s="7">
        <v>58.75</v>
      </c>
      <c r="H269" s="8">
        <v>266</v>
      </c>
      <c r="I269" s="5"/>
    </row>
    <row r="270" spans="1:9" ht="24.75" customHeight="1">
      <c r="A270" s="5">
        <v>267</v>
      </c>
      <c r="B270" s="6" t="s">
        <v>11</v>
      </c>
      <c r="C270" s="6" t="s">
        <v>12</v>
      </c>
      <c r="D270" s="6" t="str">
        <f t="shared" si="4"/>
        <v>001</v>
      </c>
      <c r="E270" s="6" t="str">
        <f>"吴伟源"</f>
        <v>吴伟源</v>
      </c>
      <c r="F270" s="6" t="str">
        <f>"202311180312"</f>
        <v>202311180312</v>
      </c>
      <c r="G270" s="7">
        <v>58.75</v>
      </c>
      <c r="H270" s="8">
        <v>266</v>
      </c>
      <c r="I270" s="5"/>
    </row>
    <row r="271" spans="1:9" ht="24.75" customHeight="1">
      <c r="A271" s="5">
        <v>268</v>
      </c>
      <c r="B271" s="6" t="s">
        <v>11</v>
      </c>
      <c r="C271" s="6" t="s">
        <v>12</v>
      </c>
      <c r="D271" s="6" t="str">
        <f t="shared" si="4"/>
        <v>001</v>
      </c>
      <c r="E271" s="6" t="str">
        <f>"庄泞"</f>
        <v>庄泞</v>
      </c>
      <c r="F271" s="6" t="str">
        <f>"202311180623"</f>
        <v>202311180623</v>
      </c>
      <c r="G271" s="7">
        <v>58.75</v>
      </c>
      <c r="H271" s="8">
        <v>266</v>
      </c>
      <c r="I271" s="5"/>
    </row>
    <row r="272" spans="1:9" ht="24.75" customHeight="1">
      <c r="A272" s="5">
        <v>269</v>
      </c>
      <c r="B272" s="6" t="s">
        <v>11</v>
      </c>
      <c r="C272" s="6" t="s">
        <v>12</v>
      </c>
      <c r="D272" s="6" t="str">
        <f t="shared" si="4"/>
        <v>001</v>
      </c>
      <c r="E272" s="6" t="str">
        <f>"王晓芳"</f>
        <v>王晓芳</v>
      </c>
      <c r="F272" s="6" t="str">
        <f>"202311180924"</f>
        <v>202311180924</v>
      </c>
      <c r="G272" s="7">
        <v>58.75</v>
      </c>
      <c r="H272" s="8">
        <v>266</v>
      </c>
      <c r="I272" s="5"/>
    </row>
    <row r="273" spans="1:9" ht="24.75" customHeight="1">
      <c r="A273" s="5">
        <v>270</v>
      </c>
      <c r="B273" s="6" t="s">
        <v>11</v>
      </c>
      <c r="C273" s="6" t="s">
        <v>12</v>
      </c>
      <c r="D273" s="6" t="str">
        <f t="shared" si="4"/>
        <v>001</v>
      </c>
      <c r="E273" s="6" t="str">
        <f>"王顺妮"</f>
        <v>王顺妮</v>
      </c>
      <c r="F273" s="6" t="str">
        <f>"202311181502"</f>
        <v>202311181502</v>
      </c>
      <c r="G273" s="7">
        <v>58.75</v>
      </c>
      <c r="H273" s="8">
        <v>266</v>
      </c>
      <c r="I273" s="5"/>
    </row>
    <row r="274" spans="1:9" ht="24.75" customHeight="1">
      <c r="A274" s="5">
        <v>271</v>
      </c>
      <c r="B274" s="6" t="s">
        <v>11</v>
      </c>
      <c r="C274" s="6" t="s">
        <v>12</v>
      </c>
      <c r="D274" s="6" t="str">
        <f t="shared" si="4"/>
        <v>001</v>
      </c>
      <c r="E274" s="6" t="str">
        <f>"安康"</f>
        <v>安康</v>
      </c>
      <c r="F274" s="6" t="str">
        <f>"202311180108"</f>
        <v>202311180108</v>
      </c>
      <c r="G274" s="7">
        <v>58.5</v>
      </c>
      <c r="H274" s="8">
        <v>271</v>
      </c>
      <c r="I274" s="5"/>
    </row>
    <row r="275" spans="1:9" ht="24.75" customHeight="1">
      <c r="A275" s="5">
        <v>272</v>
      </c>
      <c r="B275" s="6" t="s">
        <v>11</v>
      </c>
      <c r="C275" s="6" t="s">
        <v>12</v>
      </c>
      <c r="D275" s="6" t="str">
        <f t="shared" si="4"/>
        <v>001</v>
      </c>
      <c r="E275" s="6" t="str">
        <f>"周振华"</f>
        <v>周振华</v>
      </c>
      <c r="F275" s="6" t="str">
        <f>"202311180908"</f>
        <v>202311180908</v>
      </c>
      <c r="G275" s="7">
        <v>58.5</v>
      </c>
      <c r="H275" s="8">
        <v>271</v>
      </c>
      <c r="I275" s="5"/>
    </row>
    <row r="276" spans="1:9" ht="24.75" customHeight="1">
      <c r="A276" s="5">
        <v>273</v>
      </c>
      <c r="B276" s="6" t="s">
        <v>11</v>
      </c>
      <c r="C276" s="6" t="s">
        <v>12</v>
      </c>
      <c r="D276" s="6" t="str">
        <f t="shared" si="4"/>
        <v>001</v>
      </c>
      <c r="E276" s="6" t="str">
        <f>"赵光培"</f>
        <v>赵光培</v>
      </c>
      <c r="F276" s="6" t="str">
        <f>"202311180810"</f>
        <v>202311180810</v>
      </c>
      <c r="G276" s="7">
        <v>58.25</v>
      </c>
      <c r="H276" s="8">
        <v>273</v>
      </c>
      <c r="I276" s="5"/>
    </row>
    <row r="277" spans="1:9" ht="24.75" customHeight="1">
      <c r="A277" s="5">
        <v>274</v>
      </c>
      <c r="B277" s="6" t="s">
        <v>11</v>
      </c>
      <c r="C277" s="6" t="s">
        <v>12</v>
      </c>
      <c r="D277" s="6" t="str">
        <f t="shared" si="4"/>
        <v>001</v>
      </c>
      <c r="E277" s="6" t="str">
        <f>"吴春娇"</f>
        <v>吴春娇</v>
      </c>
      <c r="F277" s="6" t="str">
        <f>"202311181808"</f>
        <v>202311181808</v>
      </c>
      <c r="G277" s="7">
        <v>58.25</v>
      </c>
      <c r="H277" s="8">
        <v>273</v>
      </c>
      <c r="I277" s="5"/>
    </row>
    <row r="278" spans="1:9" ht="24.75" customHeight="1">
      <c r="A278" s="5">
        <v>275</v>
      </c>
      <c r="B278" s="6" t="s">
        <v>11</v>
      </c>
      <c r="C278" s="6" t="s">
        <v>12</v>
      </c>
      <c r="D278" s="6" t="str">
        <f t="shared" si="4"/>
        <v>001</v>
      </c>
      <c r="E278" s="6" t="str">
        <f>"陈太鹏"</f>
        <v>陈太鹏</v>
      </c>
      <c r="F278" s="6" t="str">
        <f>"202311181830"</f>
        <v>202311181830</v>
      </c>
      <c r="G278" s="7">
        <v>58.25</v>
      </c>
      <c r="H278" s="8">
        <v>273</v>
      </c>
      <c r="I278" s="5"/>
    </row>
    <row r="279" spans="1:9" ht="24.75" customHeight="1">
      <c r="A279" s="5">
        <v>276</v>
      </c>
      <c r="B279" s="6" t="s">
        <v>11</v>
      </c>
      <c r="C279" s="6" t="s">
        <v>12</v>
      </c>
      <c r="D279" s="6" t="str">
        <f t="shared" si="4"/>
        <v>001</v>
      </c>
      <c r="E279" s="6" t="str">
        <f>"黄日鼎"</f>
        <v>黄日鼎</v>
      </c>
      <c r="F279" s="6" t="str">
        <f>"202311182313"</f>
        <v>202311182313</v>
      </c>
      <c r="G279" s="7">
        <v>58.25</v>
      </c>
      <c r="H279" s="8">
        <v>273</v>
      </c>
      <c r="I279" s="5"/>
    </row>
    <row r="280" spans="1:9" ht="24.75" customHeight="1">
      <c r="A280" s="5">
        <v>277</v>
      </c>
      <c r="B280" s="6" t="s">
        <v>11</v>
      </c>
      <c r="C280" s="6" t="s">
        <v>12</v>
      </c>
      <c r="D280" s="6" t="str">
        <f t="shared" si="4"/>
        <v>001</v>
      </c>
      <c r="E280" s="6" t="str">
        <f>"王萍"</f>
        <v>王萍</v>
      </c>
      <c r="F280" s="6" t="str">
        <f>"202311180129"</f>
        <v>202311180129</v>
      </c>
      <c r="G280" s="7">
        <v>58</v>
      </c>
      <c r="H280" s="8">
        <v>277</v>
      </c>
      <c r="I280" s="5"/>
    </row>
    <row r="281" spans="1:9" ht="24.75" customHeight="1">
      <c r="A281" s="5">
        <v>278</v>
      </c>
      <c r="B281" s="6" t="s">
        <v>11</v>
      </c>
      <c r="C281" s="6" t="s">
        <v>12</v>
      </c>
      <c r="D281" s="6" t="str">
        <f t="shared" si="4"/>
        <v>001</v>
      </c>
      <c r="E281" s="6" t="str">
        <f>"林声友"</f>
        <v>林声友</v>
      </c>
      <c r="F281" s="6" t="str">
        <f>"202311181520"</f>
        <v>202311181520</v>
      </c>
      <c r="G281" s="7">
        <v>58</v>
      </c>
      <c r="H281" s="8">
        <v>277</v>
      </c>
      <c r="I281" s="5"/>
    </row>
    <row r="282" spans="1:9" ht="24.75" customHeight="1">
      <c r="A282" s="5">
        <v>279</v>
      </c>
      <c r="B282" s="6" t="s">
        <v>11</v>
      </c>
      <c r="C282" s="6" t="s">
        <v>12</v>
      </c>
      <c r="D282" s="6" t="str">
        <f t="shared" si="4"/>
        <v>001</v>
      </c>
      <c r="E282" s="6" t="str">
        <f>"苏珊菊"</f>
        <v>苏珊菊</v>
      </c>
      <c r="F282" s="6" t="str">
        <f>"202311182404"</f>
        <v>202311182404</v>
      </c>
      <c r="G282" s="7">
        <v>58</v>
      </c>
      <c r="H282" s="8">
        <v>277</v>
      </c>
      <c r="I282" s="5"/>
    </row>
    <row r="283" spans="1:9" ht="24.75" customHeight="1">
      <c r="A283" s="5">
        <v>280</v>
      </c>
      <c r="B283" s="6" t="s">
        <v>11</v>
      </c>
      <c r="C283" s="6" t="s">
        <v>12</v>
      </c>
      <c r="D283" s="6" t="str">
        <f t="shared" si="4"/>
        <v>001</v>
      </c>
      <c r="E283" s="6" t="str">
        <f>"王海珍"</f>
        <v>王海珍</v>
      </c>
      <c r="F283" s="6" t="str">
        <f>"202311180411"</f>
        <v>202311180411</v>
      </c>
      <c r="G283" s="7">
        <v>57.75</v>
      </c>
      <c r="H283" s="8">
        <v>280</v>
      </c>
      <c r="I283" s="5"/>
    </row>
    <row r="284" spans="1:9" ht="24.75" customHeight="1">
      <c r="A284" s="5">
        <v>281</v>
      </c>
      <c r="B284" s="6" t="s">
        <v>11</v>
      </c>
      <c r="C284" s="6" t="s">
        <v>12</v>
      </c>
      <c r="D284" s="6" t="str">
        <f t="shared" si="4"/>
        <v>001</v>
      </c>
      <c r="E284" s="6" t="str">
        <f>"陈晓欣"</f>
        <v>陈晓欣</v>
      </c>
      <c r="F284" s="6" t="str">
        <f>"202311181011"</f>
        <v>202311181011</v>
      </c>
      <c r="G284" s="7">
        <v>57.75</v>
      </c>
      <c r="H284" s="8">
        <v>280</v>
      </c>
      <c r="I284" s="5"/>
    </row>
    <row r="285" spans="1:9" ht="24.75" customHeight="1">
      <c r="A285" s="5">
        <v>282</v>
      </c>
      <c r="B285" s="6" t="s">
        <v>11</v>
      </c>
      <c r="C285" s="6" t="s">
        <v>12</v>
      </c>
      <c r="D285" s="6" t="str">
        <f t="shared" si="4"/>
        <v>001</v>
      </c>
      <c r="E285" s="6" t="str">
        <f>"张昭勋"</f>
        <v>张昭勋</v>
      </c>
      <c r="F285" s="6" t="str">
        <f>"202311181122"</f>
        <v>202311181122</v>
      </c>
      <c r="G285" s="7">
        <v>57.75</v>
      </c>
      <c r="H285" s="8">
        <v>280</v>
      </c>
      <c r="I285" s="5"/>
    </row>
    <row r="286" spans="1:9" ht="24.75" customHeight="1">
      <c r="A286" s="5">
        <v>283</v>
      </c>
      <c r="B286" s="6" t="s">
        <v>11</v>
      </c>
      <c r="C286" s="6" t="s">
        <v>12</v>
      </c>
      <c r="D286" s="6" t="str">
        <f t="shared" si="4"/>
        <v>001</v>
      </c>
      <c r="E286" s="6" t="str">
        <f>"王海荣"</f>
        <v>王海荣</v>
      </c>
      <c r="F286" s="6" t="str">
        <f>"202311181428"</f>
        <v>202311181428</v>
      </c>
      <c r="G286" s="7">
        <v>57.75</v>
      </c>
      <c r="H286" s="8">
        <v>280</v>
      </c>
      <c r="I286" s="5"/>
    </row>
    <row r="287" spans="1:9" ht="24.75" customHeight="1">
      <c r="A287" s="5">
        <v>284</v>
      </c>
      <c r="B287" s="6" t="s">
        <v>11</v>
      </c>
      <c r="C287" s="6" t="s">
        <v>12</v>
      </c>
      <c r="D287" s="6" t="str">
        <f t="shared" si="4"/>
        <v>001</v>
      </c>
      <c r="E287" s="6" t="str">
        <f>"钟植标"</f>
        <v>钟植标</v>
      </c>
      <c r="F287" s="6" t="str">
        <f>"202311181716"</f>
        <v>202311181716</v>
      </c>
      <c r="G287" s="7">
        <v>57.75</v>
      </c>
      <c r="H287" s="8">
        <v>280</v>
      </c>
      <c r="I287" s="5"/>
    </row>
    <row r="288" spans="1:9" ht="24.75" customHeight="1">
      <c r="A288" s="5">
        <v>285</v>
      </c>
      <c r="B288" s="6" t="s">
        <v>11</v>
      </c>
      <c r="C288" s="6" t="s">
        <v>12</v>
      </c>
      <c r="D288" s="6" t="str">
        <f t="shared" si="4"/>
        <v>001</v>
      </c>
      <c r="E288" s="6" t="str">
        <f>"张齐苗"</f>
        <v>张齐苗</v>
      </c>
      <c r="F288" s="6" t="str">
        <f>"202311182310"</f>
        <v>202311182310</v>
      </c>
      <c r="G288" s="7">
        <v>57.75</v>
      </c>
      <c r="H288" s="8">
        <v>280</v>
      </c>
      <c r="I288" s="5"/>
    </row>
    <row r="289" spans="1:9" ht="24.75" customHeight="1">
      <c r="A289" s="5">
        <v>286</v>
      </c>
      <c r="B289" s="6" t="s">
        <v>11</v>
      </c>
      <c r="C289" s="6" t="s">
        <v>12</v>
      </c>
      <c r="D289" s="6" t="str">
        <f t="shared" si="4"/>
        <v>001</v>
      </c>
      <c r="E289" s="6" t="str">
        <f>"陈佳丽"</f>
        <v>陈佳丽</v>
      </c>
      <c r="F289" s="6" t="str">
        <f>"202311182322"</f>
        <v>202311182322</v>
      </c>
      <c r="G289" s="7">
        <v>57.75</v>
      </c>
      <c r="H289" s="8">
        <v>280</v>
      </c>
      <c r="I289" s="5"/>
    </row>
    <row r="290" spans="1:9" ht="24.75" customHeight="1">
      <c r="A290" s="5">
        <v>287</v>
      </c>
      <c r="B290" s="6" t="s">
        <v>11</v>
      </c>
      <c r="C290" s="6" t="s">
        <v>12</v>
      </c>
      <c r="D290" s="6" t="str">
        <f t="shared" si="4"/>
        <v>001</v>
      </c>
      <c r="E290" s="6" t="str">
        <f>"符大优"</f>
        <v>符大优</v>
      </c>
      <c r="F290" s="6" t="str">
        <f>"202311180703"</f>
        <v>202311180703</v>
      </c>
      <c r="G290" s="7">
        <v>57.5</v>
      </c>
      <c r="H290" s="8">
        <v>287</v>
      </c>
      <c r="I290" s="5"/>
    </row>
    <row r="291" spans="1:9" ht="24.75" customHeight="1">
      <c r="A291" s="5">
        <v>288</v>
      </c>
      <c r="B291" s="6" t="s">
        <v>11</v>
      </c>
      <c r="C291" s="6" t="s">
        <v>12</v>
      </c>
      <c r="D291" s="6" t="str">
        <f t="shared" si="4"/>
        <v>001</v>
      </c>
      <c r="E291" s="6" t="str">
        <f>"司晓芬"</f>
        <v>司晓芬</v>
      </c>
      <c r="F291" s="6" t="str">
        <f>"202311182102"</f>
        <v>202311182102</v>
      </c>
      <c r="G291" s="7">
        <v>57.5</v>
      </c>
      <c r="H291" s="8">
        <v>287</v>
      </c>
      <c r="I291" s="5"/>
    </row>
    <row r="292" spans="1:9" ht="24.75" customHeight="1">
      <c r="A292" s="5">
        <v>289</v>
      </c>
      <c r="B292" s="6" t="s">
        <v>11</v>
      </c>
      <c r="C292" s="6" t="s">
        <v>12</v>
      </c>
      <c r="D292" s="6" t="str">
        <f t="shared" si="4"/>
        <v>001</v>
      </c>
      <c r="E292" s="6" t="str">
        <f>"何发豪"</f>
        <v>何发豪</v>
      </c>
      <c r="F292" s="6" t="str">
        <f>"202311182512"</f>
        <v>202311182512</v>
      </c>
      <c r="G292" s="7">
        <v>57.5</v>
      </c>
      <c r="H292" s="8">
        <v>287</v>
      </c>
      <c r="I292" s="5"/>
    </row>
    <row r="293" spans="1:9" ht="24.75" customHeight="1">
      <c r="A293" s="5">
        <v>290</v>
      </c>
      <c r="B293" s="6" t="s">
        <v>11</v>
      </c>
      <c r="C293" s="6" t="s">
        <v>12</v>
      </c>
      <c r="D293" s="6" t="str">
        <f t="shared" si="4"/>
        <v>001</v>
      </c>
      <c r="E293" s="6" t="str">
        <f>"黄弘"</f>
        <v>黄弘</v>
      </c>
      <c r="F293" s="6" t="str">
        <f>"202311182608"</f>
        <v>202311182608</v>
      </c>
      <c r="G293" s="7">
        <v>57.5</v>
      </c>
      <c r="H293" s="8">
        <v>287</v>
      </c>
      <c r="I293" s="5"/>
    </row>
    <row r="294" spans="1:9" ht="24.75" customHeight="1">
      <c r="A294" s="5">
        <v>291</v>
      </c>
      <c r="B294" s="6" t="s">
        <v>11</v>
      </c>
      <c r="C294" s="6" t="s">
        <v>12</v>
      </c>
      <c r="D294" s="6" t="str">
        <f t="shared" si="4"/>
        <v>001</v>
      </c>
      <c r="E294" s="6" t="str">
        <f>"王子铭"</f>
        <v>王子铭</v>
      </c>
      <c r="F294" s="6" t="str">
        <f>"202311181127"</f>
        <v>202311181127</v>
      </c>
      <c r="G294" s="7">
        <v>57.25</v>
      </c>
      <c r="H294" s="8">
        <v>291</v>
      </c>
      <c r="I294" s="5"/>
    </row>
    <row r="295" spans="1:9" ht="24.75" customHeight="1">
      <c r="A295" s="5">
        <v>292</v>
      </c>
      <c r="B295" s="6" t="s">
        <v>11</v>
      </c>
      <c r="C295" s="6" t="s">
        <v>12</v>
      </c>
      <c r="D295" s="6" t="str">
        <f t="shared" si="4"/>
        <v>001</v>
      </c>
      <c r="E295" s="6" t="str">
        <f>"吴乾女"</f>
        <v>吴乾女</v>
      </c>
      <c r="F295" s="6" t="str">
        <f>"202311181405"</f>
        <v>202311181405</v>
      </c>
      <c r="G295" s="7">
        <v>57.25</v>
      </c>
      <c r="H295" s="8">
        <v>291</v>
      </c>
      <c r="I295" s="5"/>
    </row>
    <row r="296" spans="1:9" ht="24.75" customHeight="1">
      <c r="A296" s="5">
        <v>293</v>
      </c>
      <c r="B296" s="6" t="s">
        <v>11</v>
      </c>
      <c r="C296" s="6" t="s">
        <v>12</v>
      </c>
      <c r="D296" s="6" t="str">
        <f t="shared" si="4"/>
        <v>001</v>
      </c>
      <c r="E296" s="6" t="str">
        <f>"余有良"</f>
        <v>余有良</v>
      </c>
      <c r="F296" s="6" t="str">
        <f>"202311181602"</f>
        <v>202311181602</v>
      </c>
      <c r="G296" s="7">
        <v>57.25</v>
      </c>
      <c r="H296" s="8">
        <v>291</v>
      </c>
      <c r="I296" s="5"/>
    </row>
    <row r="297" spans="1:9" ht="24.75" customHeight="1">
      <c r="A297" s="5">
        <v>294</v>
      </c>
      <c r="B297" s="6" t="s">
        <v>11</v>
      </c>
      <c r="C297" s="6" t="s">
        <v>12</v>
      </c>
      <c r="D297" s="6" t="str">
        <f t="shared" si="4"/>
        <v>001</v>
      </c>
      <c r="E297" s="6" t="str">
        <f>"马婧"</f>
        <v>马婧</v>
      </c>
      <c r="F297" s="6" t="str">
        <f>"202311182016"</f>
        <v>202311182016</v>
      </c>
      <c r="G297" s="7">
        <v>57.25</v>
      </c>
      <c r="H297" s="8">
        <v>291</v>
      </c>
      <c r="I297" s="5"/>
    </row>
    <row r="298" spans="1:9" ht="24.75" customHeight="1">
      <c r="A298" s="5">
        <v>295</v>
      </c>
      <c r="B298" s="6" t="s">
        <v>11</v>
      </c>
      <c r="C298" s="6" t="s">
        <v>12</v>
      </c>
      <c r="D298" s="6" t="str">
        <f t="shared" si="4"/>
        <v>001</v>
      </c>
      <c r="E298" s="6" t="str">
        <f>"林先恒"</f>
        <v>林先恒</v>
      </c>
      <c r="F298" s="6" t="str">
        <f>"202311182205"</f>
        <v>202311182205</v>
      </c>
      <c r="G298" s="7">
        <v>57.25</v>
      </c>
      <c r="H298" s="8">
        <v>291</v>
      </c>
      <c r="I298" s="5"/>
    </row>
    <row r="299" spans="1:9" ht="24.75" customHeight="1">
      <c r="A299" s="5">
        <v>296</v>
      </c>
      <c r="B299" s="6" t="s">
        <v>11</v>
      </c>
      <c r="C299" s="6" t="s">
        <v>12</v>
      </c>
      <c r="D299" s="6" t="str">
        <f t="shared" si="4"/>
        <v>001</v>
      </c>
      <c r="E299" s="6" t="str">
        <f>"吴颖"</f>
        <v>吴颖</v>
      </c>
      <c r="F299" s="6" t="str">
        <f>"202311180322"</f>
        <v>202311180322</v>
      </c>
      <c r="G299" s="7">
        <v>57</v>
      </c>
      <c r="H299" s="8">
        <v>296</v>
      </c>
      <c r="I299" s="5"/>
    </row>
    <row r="300" spans="1:9" ht="24.75" customHeight="1">
      <c r="A300" s="5">
        <v>297</v>
      </c>
      <c r="B300" s="6" t="s">
        <v>11</v>
      </c>
      <c r="C300" s="6" t="s">
        <v>12</v>
      </c>
      <c r="D300" s="6" t="str">
        <f t="shared" si="4"/>
        <v>001</v>
      </c>
      <c r="E300" s="6" t="str">
        <f>"凌月"</f>
        <v>凌月</v>
      </c>
      <c r="F300" s="6" t="str">
        <f>"202311180722"</f>
        <v>202311180722</v>
      </c>
      <c r="G300" s="7">
        <v>57</v>
      </c>
      <c r="H300" s="8">
        <v>296</v>
      </c>
      <c r="I300" s="5"/>
    </row>
    <row r="301" spans="1:9" ht="24.75" customHeight="1">
      <c r="A301" s="5">
        <v>298</v>
      </c>
      <c r="B301" s="6" t="s">
        <v>11</v>
      </c>
      <c r="C301" s="6" t="s">
        <v>12</v>
      </c>
      <c r="D301" s="6" t="str">
        <f t="shared" si="4"/>
        <v>001</v>
      </c>
      <c r="E301" s="6" t="str">
        <f>"李材雪"</f>
        <v>李材雪</v>
      </c>
      <c r="F301" s="6" t="str">
        <f>"202311181228"</f>
        <v>202311181228</v>
      </c>
      <c r="G301" s="7">
        <v>57</v>
      </c>
      <c r="H301" s="8">
        <v>296</v>
      </c>
      <c r="I301" s="5"/>
    </row>
    <row r="302" spans="1:9" ht="24.75" customHeight="1">
      <c r="A302" s="5">
        <v>299</v>
      </c>
      <c r="B302" s="6" t="s">
        <v>11</v>
      </c>
      <c r="C302" s="6" t="s">
        <v>12</v>
      </c>
      <c r="D302" s="6" t="str">
        <f t="shared" si="4"/>
        <v>001</v>
      </c>
      <c r="E302" s="6" t="str">
        <f>"刘庆乐"</f>
        <v>刘庆乐</v>
      </c>
      <c r="F302" s="6" t="str">
        <f>"202311181906"</f>
        <v>202311181906</v>
      </c>
      <c r="G302" s="7">
        <v>57</v>
      </c>
      <c r="H302" s="8">
        <v>296</v>
      </c>
      <c r="I302" s="5"/>
    </row>
    <row r="303" spans="1:9" ht="24.75" customHeight="1">
      <c r="A303" s="5">
        <v>300</v>
      </c>
      <c r="B303" s="6" t="s">
        <v>11</v>
      </c>
      <c r="C303" s="6" t="s">
        <v>12</v>
      </c>
      <c r="D303" s="6" t="str">
        <f t="shared" si="4"/>
        <v>001</v>
      </c>
      <c r="E303" s="6" t="str">
        <f>"文柳柳"</f>
        <v>文柳柳</v>
      </c>
      <c r="F303" s="6" t="str">
        <f>"202311180105"</f>
        <v>202311180105</v>
      </c>
      <c r="G303" s="7">
        <v>56.75</v>
      </c>
      <c r="H303" s="8">
        <v>300</v>
      </c>
      <c r="I303" s="5"/>
    </row>
    <row r="304" spans="1:9" ht="24.75" customHeight="1">
      <c r="A304" s="5">
        <v>301</v>
      </c>
      <c r="B304" s="6" t="s">
        <v>11</v>
      </c>
      <c r="C304" s="6" t="s">
        <v>12</v>
      </c>
      <c r="D304" s="6" t="str">
        <f t="shared" si="4"/>
        <v>001</v>
      </c>
      <c r="E304" s="6" t="str">
        <f>"孙香淑"</f>
        <v>孙香淑</v>
      </c>
      <c r="F304" s="6" t="str">
        <f>"202311180803"</f>
        <v>202311180803</v>
      </c>
      <c r="G304" s="7">
        <v>56.75</v>
      </c>
      <c r="H304" s="8">
        <v>300</v>
      </c>
      <c r="I304" s="5"/>
    </row>
    <row r="305" spans="1:9" ht="24.75" customHeight="1">
      <c r="A305" s="5">
        <v>302</v>
      </c>
      <c r="B305" s="6" t="s">
        <v>11</v>
      </c>
      <c r="C305" s="6" t="s">
        <v>12</v>
      </c>
      <c r="D305" s="6" t="str">
        <f t="shared" si="4"/>
        <v>001</v>
      </c>
      <c r="E305" s="6" t="str">
        <f>"李思晓"</f>
        <v>李思晓</v>
      </c>
      <c r="F305" s="6" t="str">
        <f>"202311181305"</f>
        <v>202311181305</v>
      </c>
      <c r="G305" s="7">
        <v>56.75</v>
      </c>
      <c r="H305" s="8">
        <v>300</v>
      </c>
      <c r="I305" s="5"/>
    </row>
    <row r="306" spans="1:9" ht="24.75" customHeight="1">
      <c r="A306" s="5">
        <v>303</v>
      </c>
      <c r="B306" s="6" t="s">
        <v>11</v>
      </c>
      <c r="C306" s="6" t="s">
        <v>12</v>
      </c>
      <c r="D306" s="6" t="str">
        <f t="shared" si="4"/>
        <v>001</v>
      </c>
      <c r="E306" s="6" t="str">
        <f>"吴莹"</f>
        <v>吴莹</v>
      </c>
      <c r="F306" s="6" t="str">
        <f>"202311181612"</f>
        <v>202311181612</v>
      </c>
      <c r="G306" s="7">
        <v>56.75</v>
      </c>
      <c r="H306" s="8">
        <v>300</v>
      </c>
      <c r="I306" s="5"/>
    </row>
    <row r="307" spans="1:9" ht="24.75" customHeight="1">
      <c r="A307" s="5">
        <v>304</v>
      </c>
      <c r="B307" s="6" t="s">
        <v>11</v>
      </c>
      <c r="C307" s="6" t="s">
        <v>12</v>
      </c>
      <c r="D307" s="6" t="str">
        <f t="shared" si="4"/>
        <v>001</v>
      </c>
      <c r="E307" s="6" t="str">
        <f>"杨丽芳"</f>
        <v>杨丽芳</v>
      </c>
      <c r="F307" s="6" t="str">
        <f>"202311181204"</f>
        <v>202311181204</v>
      </c>
      <c r="G307" s="7">
        <v>56.5</v>
      </c>
      <c r="H307" s="8">
        <v>304</v>
      </c>
      <c r="I307" s="5"/>
    </row>
    <row r="308" spans="1:9" ht="24.75" customHeight="1">
      <c r="A308" s="5">
        <v>305</v>
      </c>
      <c r="B308" s="6" t="s">
        <v>11</v>
      </c>
      <c r="C308" s="6" t="s">
        <v>12</v>
      </c>
      <c r="D308" s="6" t="str">
        <f t="shared" si="4"/>
        <v>001</v>
      </c>
      <c r="E308" s="6" t="str">
        <f>"庞梅霞"</f>
        <v>庞梅霞</v>
      </c>
      <c r="F308" s="6" t="str">
        <f>"202311181510"</f>
        <v>202311181510</v>
      </c>
      <c r="G308" s="7">
        <v>56.5</v>
      </c>
      <c r="H308" s="8">
        <v>304</v>
      </c>
      <c r="I308" s="5"/>
    </row>
    <row r="309" spans="1:9" ht="24.75" customHeight="1">
      <c r="A309" s="5">
        <v>306</v>
      </c>
      <c r="B309" s="6" t="s">
        <v>11</v>
      </c>
      <c r="C309" s="6" t="s">
        <v>12</v>
      </c>
      <c r="D309" s="6" t="str">
        <f t="shared" si="4"/>
        <v>001</v>
      </c>
      <c r="E309" s="6" t="str">
        <f>"张林东"</f>
        <v>张林东</v>
      </c>
      <c r="F309" s="6" t="str">
        <f>"202311181618"</f>
        <v>202311181618</v>
      </c>
      <c r="G309" s="7">
        <v>56.5</v>
      </c>
      <c r="H309" s="8">
        <v>304</v>
      </c>
      <c r="I309" s="5"/>
    </row>
    <row r="310" spans="1:9" ht="24.75" customHeight="1">
      <c r="A310" s="5">
        <v>307</v>
      </c>
      <c r="B310" s="6" t="s">
        <v>11</v>
      </c>
      <c r="C310" s="6" t="s">
        <v>12</v>
      </c>
      <c r="D310" s="6" t="str">
        <f t="shared" si="4"/>
        <v>001</v>
      </c>
      <c r="E310" s="6" t="str">
        <f>"黎生煌"</f>
        <v>黎生煌</v>
      </c>
      <c r="F310" s="6" t="str">
        <f>"202311182406"</f>
        <v>202311182406</v>
      </c>
      <c r="G310" s="7">
        <v>56.5</v>
      </c>
      <c r="H310" s="8">
        <v>304</v>
      </c>
      <c r="I310" s="5"/>
    </row>
    <row r="311" spans="1:9" ht="24.75" customHeight="1">
      <c r="A311" s="5">
        <v>308</v>
      </c>
      <c r="B311" s="6" t="s">
        <v>11</v>
      </c>
      <c r="C311" s="6" t="s">
        <v>12</v>
      </c>
      <c r="D311" s="6" t="str">
        <f t="shared" si="4"/>
        <v>001</v>
      </c>
      <c r="E311" s="6" t="str">
        <f>"黎智宇"</f>
        <v>黎智宇</v>
      </c>
      <c r="F311" s="6" t="str">
        <f>"202311180120"</f>
        <v>202311180120</v>
      </c>
      <c r="G311" s="7">
        <v>56.25</v>
      </c>
      <c r="H311" s="8">
        <v>308</v>
      </c>
      <c r="I311" s="5"/>
    </row>
    <row r="312" spans="1:9" ht="24.75" customHeight="1">
      <c r="A312" s="5">
        <v>309</v>
      </c>
      <c r="B312" s="6" t="s">
        <v>11</v>
      </c>
      <c r="C312" s="6" t="s">
        <v>12</v>
      </c>
      <c r="D312" s="6" t="str">
        <f t="shared" si="4"/>
        <v>001</v>
      </c>
      <c r="E312" s="6" t="str">
        <f>"吴淑雯"</f>
        <v>吴淑雯</v>
      </c>
      <c r="F312" s="6" t="str">
        <f>"202311180719"</f>
        <v>202311180719</v>
      </c>
      <c r="G312" s="7">
        <v>56.25</v>
      </c>
      <c r="H312" s="8">
        <v>308</v>
      </c>
      <c r="I312" s="5"/>
    </row>
    <row r="313" spans="1:9" ht="24.75" customHeight="1">
      <c r="A313" s="5">
        <v>310</v>
      </c>
      <c r="B313" s="6" t="s">
        <v>11</v>
      </c>
      <c r="C313" s="6" t="s">
        <v>12</v>
      </c>
      <c r="D313" s="6" t="str">
        <f t="shared" si="4"/>
        <v>001</v>
      </c>
      <c r="E313" s="6" t="str">
        <f>"石明玉"</f>
        <v>石明玉</v>
      </c>
      <c r="F313" s="6" t="str">
        <f>"202311180820"</f>
        <v>202311180820</v>
      </c>
      <c r="G313" s="7">
        <v>56.25</v>
      </c>
      <c r="H313" s="8">
        <v>308</v>
      </c>
      <c r="I313" s="5"/>
    </row>
    <row r="314" spans="1:9" ht="24.75" customHeight="1">
      <c r="A314" s="5">
        <v>311</v>
      </c>
      <c r="B314" s="6" t="s">
        <v>11</v>
      </c>
      <c r="C314" s="6" t="s">
        <v>12</v>
      </c>
      <c r="D314" s="6" t="str">
        <f t="shared" si="4"/>
        <v>001</v>
      </c>
      <c r="E314" s="6" t="str">
        <f>"符传兵"</f>
        <v>符传兵</v>
      </c>
      <c r="F314" s="6" t="str">
        <f>"202311181215"</f>
        <v>202311181215</v>
      </c>
      <c r="G314" s="7">
        <v>56.25</v>
      </c>
      <c r="H314" s="8">
        <v>308</v>
      </c>
      <c r="I314" s="5"/>
    </row>
    <row r="315" spans="1:9" ht="24.75" customHeight="1">
      <c r="A315" s="5">
        <v>312</v>
      </c>
      <c r="B315" s="6" t="s">
        <v>11</v>
      </c>
      <c r="C315" s="6" t="s">
        <v>12</v>
      </c>
      <c r="D315" s="6" t="str">
        <f t="shared" si="4"/>
        <v>001</v>
      </c>
      <c r="E315" s="6" t="str">
        <f>"赵成兰"</f>
        <v>赵成兰</v>
      </c>
      <c r="F315" s="6" t="str">
        <f>"202311181824"</f>
        <v>202311181824</v>
      </c>
      <c r="G315" s="7">
        <v>56.25</v>
      </c>
      <c r="H315" s="8">
        <v>308</v>
      </c>
      <c r="I315" s="5"/>
    </row>
    <row r="316" spans="1:9" ht="24.75" customHeight="1">
      <c r="A316" s="5">
        <v>313</v>
      </c>
      <c r="B316" s="6" t="s">
        <v>11</v>
      </c>
      <c r="C316" s="6" t="s">
        <v>12</v>
      </c>
      <c r="D316" s="6" t="str">
        <f t="shared" si="4"/>
        <v>001</v>
      </c>
      <c r="E316" s="6" t="str">
        <f>"侯景文"</f>
        <v>侯景文</v>
      </c>
      <c r="F316" s="6" t="str">
        <f>"202311182417"</f>
        <v>202311182417</v>
      </c>
      <c r="G316" s="7">
        <v>56.25</v>
      </c>
      <c r="H316" s="8">
        <v>308</v>
      </c>
      <c r="I316" s="5"/>
    </row>
    <row r="317" spans="1:9" ht="24.75" customHeight="1">
      <c r="A317" s="5">
        <v>314</v>
      </c>
      <c r="B317" s="6" t="s">
        <v>11</v>
      </c>
      <c r="C317" s="6" t="s">
        <v>12</v>
      </c>
      <c r="D317" s="6" t="str">
        <f t="shared" si="4"/>
        <v>001</v>
      </c>
      <c r="E317" s="6" t="str">
        <f>"王俊程"</f>
        <v>王俊程</v>
      </c>
      <c r="F317" s="6" t="str">
        <f>"202311182207"</f>
        <v>202311182207</v>
      </c>
      <c r="G317" s="7">
        <v>56</v>
      </c>
      <c r="H317" s="8">
        <v>314</v>
      </c>
      <c r="I317" s="5"/>
    </row>
    <row r="318" spans="1:9" ht="24.75" customHeight="1">
      <c r="A318" s="5">
        <v>315</v>
      </c>
      <c r="B318" s="6" t="s">
        <v>11</v>
      </c>
      <c r="C318" s="6" t="s">
        <v>12</v>
      </c>
      <c r="D318" s="6" t="str">
        <f t="shared" si="4"/>
        <v>001</v>
      </c>
      <c r="E318" s="6" t="str">
        <f>"李政"</f>
        <v>李政</v>
      </c>
      <c r="F318" s="6" t="str">
        <f>"202311180420"</f>
        <v>202311180420</v>
      </c>
      <c r="G318" s="7">
        <v>55.75</v>
      </c>
      <c r="H318" s="8">
        <v>315</v>
      </c>
      <c r="I318" s="5"/>
    </row>
    <row r="319" spans="1:9" ht="24.75" customHeight="1">
      <c r="A319" s="5">
        <v>316</v>
      </c>
      <c r="B319" s="6" t="s">
        <v>11</v>
      </c>
      <c r="C319" s="6" t="s">
        <v>12</v>
      </c>
      <c r="D319" s="6" t="str">
        <f t="shared" si="4"/>
        <v>001</v>
      </c>
      <c r="E319" s="6" t="str">
        <f>"周瑜"</f>
        <v>周瑜</v>
      </c>
      <c r="F319" s="6" t="str">
        <f>"202311180520"</f>
        <v>202311180520</v>
      </c>
      <c r="G319" s="7">
        <v>55.75</v>
      </c>
      <c r="H319" s="8">
        <v>315</v>
      </c>
      <c r="I319" s="5"/>
    </row>
    <row r="320" spans="1:9" ht="24.75" customHeight="1">
      <c r="A320" s="5">
        <v>317</v>
      </c>
      <c r="B320" s="6" t="s">
        <v>11</v>
      </c>
      <c r="C320" s="6" t="s">
        <v>12</v>
      </c>
      <c r="D320" s="6" t="str">
        <f t="shared" si="4"/>
        <v>001</v>
      </c>
      <c r="E320" s="6" t="str">
        <f>"王小丹"</f>
        <v>王小丹</v>
      </c>
      <c r="F320" s="6" t="str">
        <f>"202311180603"</f>
        <v>202311180603</v>
      </c>
      <c r="G320" s="7">
        <v>55.75</v>
      </c>
      <c r="H320" s="8">
        <v>315</v>
      </c>
      <c r="I320" s="5"/>
    </row>
    <row r="321" spans="1:9" ht="24.75" customHeight="1">
      <c r="A321" s="5">
        <v>318</v>
      </c>
      <c r="B321" s="6" t="s">
        <v>11</v>
      </c>
      <c r="C321" s="6" t="s">
        <v>12</v>
      </c>
      <c r="D321" s="6" t="str">
        <f t="shared" si="4"/>
        <v>001</v>
      </c>
      <c r="E321" s="6" t="str">
        <f>"庞靖芸"</f>
        <v>庞靖芸</v>
      </c>
      <c r="F321" s="6" t="str">
        <f>"202311180728"</f>
        <v>202311180728</v>
      </c>
      <c r="G321" s="7">
        <v>55.75</v>
      </c>
      <c r="H321" s="8">
        <v>315</v>
      </c>
      <c r="I321" s="5"/>
    </row>
    <row r="322" spans="1:9" ht="24.75" customHeight="1">
      <c r="A322" s="5">
        <v>319</v>
      </c>
      <c r="B322" s="6" t="s">
        <v>11</v>
      </c>
      <c r="C322" s="6" t="s">
        <v>12</v>
      </c>
      <c r="D322" s="6" t="str">
        <f t="shared" si="4"/>
        <v>001</v>
      </c>
      <c r="E322" s="6" t="str">
        <f>"李仕鸿"</f>
        <v>李仕鸿</v>
      </c>
      <c r="F322" s="6" t="str">
        <f>"202311180901"</f>
        <v>202311180901</v>
      </c>
      <c r="G322" s="7">
        <v>55.75</v>
      </c>
      <c r="H322" s="8">
        <v>315</v>
      </c>
      <c r="I322" s="5"/>
    </row>
    <row r="323" spans="1:9" ht="24.75" customHeight="1">
      <c r="A323" s="5">
        <v>320</v>
      </c>
      <c r="B323" s="6" t="s">
        <v>11</v>
      </c>
      <c r="C323" s="6" t="s">
        <v>12</v>
      </c>
      <c r="D323" s="6" t="str">
        <f t="shared" si="4"/>
        <v>001</v>
      </c>
      <c r="E323" s="6" t="str">
        <f>"叶晓雯"</f>
        <v>叶晓雯</v>
      </c>
      <c r="F323" s="6" t="str">
        <f>"202311181229"</f>
        <v>202311181229</v>
      </c>
      <c r="G323" s="7">
        <v>55.75</v>
      </c>
      <c r="H323" s="8">
        <v>315</v>
      </c>
      <c r="I323" s="5"/>
    </row>
    <row r="324" spans="1:9" ht="24.75" customHeight="1">
      <c r="A324" s="5">
        <v>321</v>
      </c>
      <c r="B324" s="6" t="s">
        <v>11</v>
      </c>
      <c r="C324" s="6" t="s">
        <v>12</v>
      </c>
      <c r="D324" s="6" t="str">
        <f aca="true" t="shared" si="5" ref="D324:D387">"001"</f>
        <v>001</v>
      </c>
      <c r="E324" s="6" t="str">
        <f>"王伟萌"</f>
        <v>王伟萌</v>
      </c>
      <c r="F324" s="6" t="str">
        <f>"202311181913"</f>
        <v>202311181913</v>
      </c>
      <c r="G324" s="7">
        <v>55.75</v>
      </c>
      <c r="H324" s="8">
        <v>315</v>
      </c>
      <c r="I324" s="5"/>
    </row>
    <row r="325" spans="1:9" ht="24.75" customHeight="1">
      <c r="A325" s="5">
        <v>322</v>
      </c>
      <c r="B325" s="6" t="s">
        <v>11</v>
      </c>
      <c r="C325" s="6" t="s">
        <v>12</v>
      </c>
      <c r="D325" s="6" t="str">
        <f t="shared" si="5"/>
        <v>001</v>
      </c>
      <c r="E325" s="6" t="str">
        <f>"蔡芬雪"</f>
        <v>蔡芬雪</v>
      </c>
      <c r="F325" s="6" t="str">
        <f>"202311182128"</f>
        <v>202311182128</v>
      </c>
      <c r="G325" s="7">
        <v>55.75</v>
      </c>
      <c r="H325" s="8">
        <v>315</v>
      </c>
      <c r="I325" s="5"/>
    </row>
    <row r="326" spans="1:9" ht="24.75" customHeight="1">
      <c r="A326" s="5">
        <v>323</v>
      </c>
      <c r="B326" s="6" t="s">
        <v>11</v>
      </c>
      <c r="C326" s="6" t="s">
        <v>12</v>
      </c>
      <c r="D326" s="6" t="str">
        <f t="shared" si="5"/>
        <v>001</v>
      </c>
      <c r="E326" s="6" t="str">
        <f>"王小登"</f>
        <v>王小登</v>
      </c>
      <c r="F326" s="6" t="str">
        <f>"202311180221"</f>
        <v>202311180221</v>
      </c>
      <c r="G326" s="7">
        <v>55.5</v>
      </c>
      <c r="H326" s="8">
        <v>323</v>
      </c>
      <c r="I326" s="5"/>
    </row>
    <row r="327" spans="1:9" ht="24.75" customHeight="1">
      <c r="A327" s="5">
        <v>324</v>
      </c>
      <c r="B327" s="6" t="s">
        <v>11</v>
      </c>
      <c r="C327" s="6" t="s">
        <v>12</v>
      </c>
      <c r="D327" s="6" t="str">
        <f t="shared" si="5"/>
        <v>001</v>
      </c>
      <c r="E327" s="6" t="str">
        <f>"赵淑虹"</f>
        <v>赵淑虹</v>
      </c>
      <c r="F327" s="6" t="str">
        <f>"202311180530"</f>
        <v>202311180530</v>
      </c>
      <c r="G327" s="7">
        <v>55.5</v>
      </c>
      <c r="H327" s="8">
        <v>323</v>
      </c>
      <c r="I327" s="5"/>
    </row>
    <row r="328" spans="1:9" ht="24.75" customHeight="1">
      <c r="A328" s="5">
        <v>325</v>
      </c>
      <c r="B328" s="6" t="s">
        <v>11</v>
      </c>
      <c r="C328" s="6" t="s">
        <v>12</v>
      </c>
      <c r="D328" s="6" t="str">
        <f t="shared" si="5"/>
        <v>001</v>
      </c>
      <c r="E328" s="6" t="str">
        <f>"齐文凤"</f>
        <v>齐文凤</v>
      </c>
      <c r="F328" s="6" t="str">
        <f>"202311180923"</f>
        <v>202311180923</v>
      </c>
      <c r="G328" s="7">
        <v>55.5</v>
      </c>
      <c r="H328" s="8">
        <v>323</v>
      </c>
      <c r="I328" s="5"/>
    </row>
    <row r="329" spans="1:9" ht="24.75" customHeight="1">
      <c r="A329" s="5">
        <v>326</v>
      </c>
      <c r="B329" s="6" t="s">
        <v>11</v>
      </c>
      <c r="C329" s="6" t="s">
        <v>12</v>
      </c>
      <c r="D329" s="6" t="str">
        <f t="shared" si="5"/>
        <v>001</v>
      </c>
      <c r="E329" s="6" t="str">
        <f>"吴妮"</f>
        <v>吴妮</v>
      </c>
      <c r="F329" s="6" t="str">
        <f>"202311182303"</f>
        <v>202311182303</v>
      </c>
      <c r="G329" s="7">
        <v>55.5</v>
      </c>
      <c r="H329" s="8">
        <v>323</v>
      </c>
      <c r="I329" s="5"/>
    </row>
    <row r="330" spans="1:9" ht="24.75" customHeight="1">
      <c r="A330" s="5">
        <v>327</v>
      </c>
      <c r="B330" s="6" t="s">
        <v>11</v>
      </c>
      <c r="C330" s="6" t="s">
        <v>12</v>
      </c>
      <c r="D330" s="6" t="str">
        <f t="shared" si="5"/>
        <v>001</v>
      </c>
      <c r="E330" s="6" t="str">
        <f>"王硕嘉"</f>
        <v>王硕嘉</v>
      </c>
      <c r="F330" s="6" t="str">
        <f>"202311180104"</f>
        <v>202311180104</v>
      </c>
      <c r="G330" s="7">
        <v>55.25</v>
      </c>
      <c r="H330" s="8">
        <v>327</v>
      </c>
      <c r="I330" s="5"/>
    </row>
    <row r="331" spans="1:9" ht="24.75" customHeight="1">
      <c r="A331" s="5">
        <v>328</v>
      </c>
      <c r="B331" s="6" t="s">
        <v>11</v>
      </c>
      <c r="C331" s="6" t="s">
        <v>12</v>
      </c>
      <c r="D331" s="6" t="str">
        <f t="shared" si="5"/>
        <v>001</v>
      </c>
      <c r="E331" s="6" t="str">
        <f>"林芳优"</f>
        <v>林芳优</v>
      </c>
      <c r="F331" s="6" t="str">
        <f>"202311181308"</f>
        <v>202311181308</v>
      </c>
      <c r="G331" s="7">
        <v>55.25</v>
      </c>
      <c r="H331" s="8">
        <v>327</v>
      </c>
      <c r="I331" s="5"/>
    </row>
    <row r="332" spans="1:9" ht="24.75" customHeight="1">
      <c r="A332" s="5">
        <v>329</v>
      </c>
      <c r="B332" s="6" t="s">
        <v>11</v>
      </c>
      <c r="C332" s="6" t="s">
        <v>12</v>
      </c>
      <c r="D332" s="6" t="str">
        <f t="shared" si="5"/>
        <v>001</v>
      </c>
      <c r="E332" s="6" t="str">
        <f>"陈柳屹"</f>
        <v>陈柳屹</v>
      </c>
      <c r="F332" s="6" t="str">
        <f>"202311182316"</f>
        <v>202311182316</v>
      </c>
      <c r="G332" s="7">
        <v>55.25</v>
      </c>
      <c r="H332" s="8">
        <v>327</v>
      </c>
      <c r="I332" s="5"/>
    </row>
    <row r="333" spans="1:9" ht="24.75" customHeight="1">
      <c r="A333" s="5">
        <v>330</v>
      </c>
      <c r="B333" s="6" t="s">
        <v>11</v>
      </c>
      <c r="C333" s="6" t="s">
        <v>12</v>
      </c>
      <c r="D333" s="6" t="str">
        <f t="shared" si="5"/>
        <v>001</v>
      </c>
      <c r="E333" s="6" t="str">
        <f>"冼岚玉"</f>
        <v>冼岚玉</v>
      </c>
      <c r="F333" s="6" t="str">
        <f>"202311182607"</f>
        <v>202311182607</v>
      </c>
      <c r="G333" s="7">
        <v>55.25</v>
      </c>
      <c r="H333" s="8">
        <v>327</v>
      </c>
      <c r="I333" s="5"/>
    </row>
    <row r="334" spans="1:9" ht="24.75" customHeight="1">
      <c r="A334" s="5">
        <v>331</v>
      </c>
      <c r="B334" s="6" t="s">
        <v>11</v>
      </c>
      <c r="C334" s="6" t="s">
        <v>12</v>
      </c>
      <c r="D334" s="6" t="str">
        <f t="shared" si="5"/>
        <v>001</v>
      </c>
      <c r="E334" s="6" t="str">
        <f>"曾舒曼"</f>
        <v>曾舒曼</v>
      </c>
      <c r="F334" s="6" t="str">
        <f>"202311180620"</f>
        <v>202311180620</v>
      </c>
      <c r="G334" s="7">
        <v>55</v>
      </c>
      <c r="H334" s="8">
        <v>331</v>
      </c>
      <c r="I334" s="5"/>
    </row>
    <row r="335" spans="1:9" ht="24.75" customHeight="1">
      <c r="A335" s="5">
        <v>332</v>
      </c>
      <c r="B335" s="6" t="s">
        <v>11</v>
      </c>
      <c r="C335" s="6" t="s">
        <v>12</v>
      </c>
      <c r="D335" s="6" t="str">
        <f t="shared" si="5"/>
        <v>001</v>
      </c>
      <c r="E335" s="6" t="str">
        <f>"梁哲"</f>
        <v>梁哲</v>
      </c>
      <c r="F335" s="6" t="str">
        <f>"202311180724"</f>
        <v>202311180724</v>
      </c>
      <c r="G335" s="7">
        <v>55</v>
      </c>
      <c r="H335" s="8">
        <v>331</v>
      </c>
      <c r="I335" s="5"/>
    </row>
    <row r="336" spans="1:9" ht="24.75" customHeight="1">
      <c r="A336" s="5">
        <v>333</v>
      </c>
      <c r="B336" s="6" t="s">
        <v>11</v>
      </c>
      <c r="C336" s="6" t="s">
        <v>12</v>
      </c>
      <c r="D336" s="6" t="str">
        <f t="shared" si="5"/>
        <v>001</v>
      </c>
      <c r="E336" s="6" t="str">
        <f>"赵瑞雪"</f>
        <v>赵瑞雪</v>
      </c>
      <c r="F336" s="6" t="str">
        <f>"202311181423"</f>
        <v>202311181423</v>
      </c>
      <c r="G336" s="7">
        <v>55</v>
      </c>
      <c r="H336" s="8">
        <v>331</v>
      </c>
      <c r="I336" s="5"/>
    </row>
    <row r="337" spans="1:9" ht="24.75" customHeight="1">
      <c r="A337" s="5">
        <v>334</v>
      </c>
      <c r="B337" s="6" t="s">
        <v>11</v>
      </c>
      <c r="C337" s="6" t="s">
        <v>12</v>
      </c>
      <c r="D337" s="6" t="str">
        <f t="shared" si="5"/>
        <v>001</v>
      </c>
      <c r="E337" s="6" t="str">
        <f>"周嘉欣"</f>
        <v>周嘉欣</v>
      </c>
      <c r="F337" s="6" t="str">
        <f>"202311182116"</f>
        <v>202311182116</v>
      </c>
      <c r="G337" s="7">
        <v>55</v>
      </c>
      <c r="H337" s="8">
        <v>331</v>
      </c>
      <c r="I337" s="5"/>
    </row>
    <row r="338" spans="1:9" ht="24.75" customHeight="1">
      <c r="A338" s="5">
        <v>335</v>
      </c>
      <c r="B338" s="6" t="s">
        <v>11</v>
      </c>
      <c r="C338" s="6" t="s">
        <v>12</v>
      </c>
      <c r="D338" s="6" t="str">
        <f t="shared" si="5"/>
        <v>001</v>
      </c>
      <c r="E338" s="6" t="str">
        <f>"梁蕙萍"</f>
        <v>梁蕙萍</v>
      </c>
      <c r="F338" s="6" t="str">
        <f>"202311182428"</f>
        <v>202311182428</v>
      </c>
      <c r="G338" s="7">
        <v>55</v>
      </c>
      <c r="H338" s="8">
        <v>331</v>
      </c>
      <c r="I338" s="5"/>
    </row>
    <row r="339" spans="1:9" ht="24.75" customHeight="1">
      <c r="A339" s="5">
        <v>336</v>
      </c>
      <c r="B339" s="6" t="s">
        <v>11</v>
      </c>
      <c r="C339" s="6" t="s">
        <v>12</v>
      </c>
      <c r="D339" s="6" t="str">
        <f t="shared" si="5"/>
        <v>001</v>
      </c>
      <c r="E339" s="6" t="str">
        <f>"韩金义"</f>
        <v>韩金义</v>
      </c>
      <c r="F339" s="6" t="str">
        <f>"202311181627"</f>
        <v>202311181627</v>
      </c>
      <c r="G339" s="7">
        <v>54.75</v>
      </c>
      <c r="H339" s="8">
        <v>336</v>
      </c>
      <c r="I339" s="5"/>
    </row>
    <row r="340" spans="1:9" ht="24.75" customHeight="1">
      <c r="A340" s="5">
        <v>337</v>
      </c>
      <c r="B340" s="6" t="s">
        <v>11</v>
      </c>
      <c r="C340" s="6" t="s">
        <v>12</v>
      </c>
      <c r="D340" s="6" t="str">
        <f t="shared" si="5"/>
        <v>001</v>
      </c>
      <c r="E340" s="6" t="str">
        <f>"吴丽"</f>
        <v>吴丽</v>
      </c>
      <c r="F340" s="6" t="str">
        <f>"202311181828"</f>
        <v>202311181828</v>
      </c>
      <c r="G340" s="7">
        <v>54.75</v>
      </c>
      <c r="H340" s="8">
        <v>336</v>
      </c>
      <c r="I340" s="5"/>
    </row>
    <row r="341" spans="1:9" ht="24.75" customHeight="1">
      <c r="A341" s="5">
        <v>338</v>
      </c>
      <c r="B341" s="6" t="s">
        <v>11</v>
      </c>
      <c r="C341" s="6" t="s">
        <v>12</v>
      </c>
      <c r="D341" s="6" t="str">
        <f t="shared" si="5"/>
        <v>001</v>
      </c>
      <c r="E341" s="6" t="str">
        <f>"吴婧雅"</f>
        <v>吴婧雅</v>
      </c>
      <c r="F341" s="6" t="str">
        <f>"202311181914"</f>
        <v>202311181914</v>
      </c>
      <c r="G341" s="7">
        <v>54.75</v>
      </c>
      <c r="H341" s="8">
        <v>336</v>
      </c>
      <c r="I341" s="5"/>
    </row>
    <row r="342" spans="1:9" ht="24.75" customHeight="1">
      <c r="A342" s="5">
        <v>339</v>
      </c>
      <c r="B342" s="6" t="s">
        <v>11</v>
      </c>
      <c r="C342" s="6" t="s">
        <v>12</v>
      </c>
      <c r="D342" s="6" t="str">
        <f t="shared" si="5"/>
        <v>001</v>
      </c>
      <c r="E342" s="6" t="str">
        <f>"张川"</f>
        <v>张川</v>
      </c>
      <c r="F342" s="6" t="str">
        <f>"202311182202"</f>
        <v>202311182202</v>
      </c>
      <c r="G342" s="7">
        <v>54.75</v>
      </c>
      <c r="H342" s="8">
        <v>336</v>
      </c>
      <c r="I342" s="5"/>
    </row>
    <row r="343" spans="1:9" ht="24.75" customHeight="1">
      <c r="A343" s="5">
        <v>340</v>
      </c>
      <c r="B343" s="6" t="s">
        <v>11</v>
      </c>
      <c r="C343" s="6" t="s">
        <v>12</v>
      </c>
      <c r="D343" s="6" t="str">
        <f t="shared" si="5"/>
        <v>001</v>
      </c>
      <c r="E343" s="6" t="str">
        <f>"汤盛"</f>
        <v>汤盛</v>
      </c>
      <c r="F343" s="6" t="str">
        <f>"202311182523"</f>
        <v>202311182523</v>
      </c>
      <c r="G343" s="7">
        <v>54.75</v>
      </c>
      <c r="H343" s="8">
        <v>336</v>
      </c>
      <c r="I343" s="5"/>
    </row>
    <row r="344" spans="1:9" ht="24.75" customHeight="1">
      <c r="A344" s="5">
        <v>341</v>
      </c>
      <c r="B344" s="6" t="s">
        <v>11</v>
      </c>
      <c r="C344" s="6" t="s">
        <v>12</v>
      </c>
      <c r="D344" s="6" t="str">
        <f t="shared" si="5"/>
        <v>001</v>
      </c>
      <c r="E344" s="6" t="str">
        <f>"徐健"</f>
        <v>徐健</v>
      </c>
      <c r="F344" s="6" t="str">
        <f>"202311182617"</f>
        <v>202311182617</v>
      </c>
      <c r="G344" s="7">
        <v>54.75</v>
      </c>
      <c r="H344" s="8">
        <v>336</v>
      </c>
      <c r="I344" s="5"/>
    </row>
    <row r="345" spans="1:9" ht="24.75" customHeight="1">
      <c r="A345" s="5">
        <v>342</v>
      </c>
      <c r="B345" s="6" t="s">
        <v>11</v>
      </c>
      <c r="C345" s="6" t="s">
        <v>12</v>
      </c>
      <c r="D345" s="6" t="str">
        <f t="shared" si="5"/>
        <v>001</v>
      </c>
      <c r="E345" s="6" t="str">
        <f>"林兴运"</f>
        <v>林兴运</v>
      </c>
      <c r="F345" s="6" t="str">
        <f>"202311181402"</f>
        <v>202311181402</v>
      </c>
      <c r="G345" s="7">
        <v>54.5</v>
      </c>
      <c r="H345" s="8">
        <v>342</v>
      </c>
      <c r="I345" s="5"/>
    </row>
    <row r="346" spans="1:9" ht="24.75" customHeight="1">
      <c r="A346" s="5">
        <v>343</v>
      </c>
      <c r="B346" s="6" t="s">
        <v>11</v>
      </c>
      <c r="C346" s="6" t="s">
        <v>12</v>
      </c>
      <c r="D346" s="6" t="str">
        <f t="shared" si="5"/>
        <v>001</v>
      </c>
      <c r="E346" s="6" t="str">
        <f>"林金花"</f>
        <v>林金花</v>
      </c>
      <c r="F346" s="6" t="str">
        <f>"202311182211"</f>
        <v>202311182211</v>
      </c>
      <c r="G346" s="7">
        <v>54.5</v>
      </c>
      <c r="H346" s="8">
        <v>342</v>
      </c>
      <c r="I346" s="5"/>
    </row>
    <row r="347" spans="1:9" ht="24.75" customHeight="1">
      <c r="A347" s="5">
        <v>344</v>
      </c>
      <c r="B347" s="6" t="s">
        <v>11</v>
      </c>
      <c r="C347" s="6" t="s">
        <v>12</v>
      </c>
      <c r="D347" s="6" t="str">
        <f t="shared" si="5"/>
        <v>001</v>
      </c>
      <c r="E347" s="6" t="str">
        <f>"程源"</f>
        <v>程源</v>
      </c>
      <c r="F347" s="6" t="str">
        <f>"202311181322"</f>
        <v>202311181322</v>
      </c>
      <c r="G347" s="7">
        <v>54.25</v>
      </c>
      <c r="H347" s="8">
        <v>344</v>
      </c>
      <c r="I347" s="5"/>
    </row>
    <row r="348" spans="1:9" ht="24.75" customHeight="1">
      <c r="A348" s="5">
        <v>345</v>
      </c>
      <c r="B348" s="6" t="s">
        <v>11</v>
      </c>
      <c r="C348" s="6" t="s">
        <v>12</v>
      </c>
      <c r="D348" s="6" t="str">
        <f t="shared" si="5"/>
        <v>001</v>
      </c>
      <c r="E348" s="6" t="str">
        <f>"钟玉亭"</f>
        <v>钟玉亭</v>
      </c>
      <c r="F348" s="6" t="str">
        <f>"202311181415"</f>
        <v>202311181415</v>
      </c>
      <c r="G348" s="7">
        <v>54.25</v>
      </c>
      <c r="H348" s="8">
        <v>344</v>
      </c>
      <c r="I348" s="5"/>
    </row>
    <row r="349" spans="1:9" ht="24.75" customHeight="1">
      <c r="A349" s="5">
        <v>346</v>
      </c>
      <c r="B349" s="6" t="s">
        <v>11</v>
      </c>
      <c r="C349" s="6" t="s">
        <v>12</v>
      </c>
      <c r="D349" s="6" t="str">
        <f t="shared" si="5"/>
        <v>001</v>
      </c>
      <c r="E349" s="6" t="str">
        <f>"冯秀娜"</f>
        <v>冯秀娜</v>
      </c>
      <c r="F349" s="6" t="str">
        <f>"202311182527"</f>
        <v>202311182527</v>
      </c>
      <c r="G349" s="7">
        <v>54.25</v>
      </c>
      <c r="H349" s="8">
        <v>344</v>
      </c>
      <c r="I349" s="5"/>
    </row>
    <row r="350" spans="1:9" ht="24.75" customHeight="1">
      <c r="A350" s="5">
        <v>347</v>
      </c>
      <c r="B350" s="6" t="s">
        <v>11</v>
      </c>
      <c r="C350" s="6" t="s">
        <v>12</v>
      </c>
      <c r="D350" s="6" t="str">
        <f t="shared" si="5"/>
        <v>001</v>
      </c>
      <c r="E350" s="6" t="str">
        <f>"王娇"</f>
        <v>王娇</v>
      </c>
      <c r="F350" s="6" t="str">
        <f>"202311181729"</f>
        <v>202311181729</v>
      </c>
      <c r="G350" s="7">
        <v>54</v>
      </c>
      <c r="H350" s="8">
        <v>347</v>
      </c>
      <c r="I350" s="5"/>
    </row>
    <row r="351" spans="1:9" ht="24.75" customHeight="1">
      <c r="A351" s="5">
        <v>348</v>
      </c>
      <c r="B351" s="6" t="s">
        <v>11</v>
      </c>
      <c r="C351" s="6" t="s">
        <v>12</v>
      </c>
      <c r="D351" s="6" t="str">
        <f t="shared" si="5"/>
        <v>001</v>
      </c>
      <c r="E351" s="6" t="str">
        <f>"王梓贤"</f>
        <v>王梓贤</v>
      </c>
      <c r="F351" s="6" t="str">
        <f>"202311180508"</f>
        <v>202311180508</v>
      </c>
      <c r="G351" s="7">
        <v>53.75</v>
      </c>
      <c r="H351" s="8">
        <v>348</v>
      </c>
      <c r="I351" s="5"/>
    </row>
    <row r="352" spans="1:9" ht="24.75" customHeight="1">
      <c r="A352" s="5">
        <v>349</v>
      </c>
      <c r="B352" s="6" t="s">
        <v>11</v>
      </c>
      <c r="C352" s="6" t="s">
        <v>12</v>
      </c>
      <c r="D352" s="6" t="str">
        <f t="shared" si="5"/>
        <v>001</v>
      </c>
      <c r="E352" s="6" t="str">
        <f>"赵康伊"</f>
        <v>赵康伊</v>
      </c>
      <c r="F352" s="6" t="str">
        <f>"202311180807"</f>
        <v>202311180807</v>
      </c>
      <c r="G352" s="7">
        <v>53.75</v>
      </c>
      <c r="H352" s="8">
        <v>348</v>
      </c>
      <c r="I352" s="5"/>
    </row>
    <row r="353" spans="1:9" ht="24.75" customHeight="1">
      <c r="A353" s="5">
        <v>350</v>
      </c>
      <c r="B353" s="6" t="s">
        <v>11</v>
      </c>
      <c r="C353" s="6" t="s">
        <v>12</v>
      </c>
      <c r="D353" s="6" t="str">
        <f t="shared" si="5"/>
        <v>001</v>
      </c>
      <c r="E353" s="6" t="str">
        <f>"梁丹"</f>
        <v>梁丹</v>
      </c>
      <c r="F353" s="6" t="str">
        <f>"202311181719"</f>
        <v>202311181719</v>
      </c>
      <c r="G353" s="7">
        <v>53.75</v>
      </c>
      <c r="H353" s="8">
        <v>348</v>
      </c>
      <c r="I353" s="5"/>
    </row>
    <row r="354" spans="1:9" ht="24.75" customHeight="1">
      <c r="A354" s="5">
        <v>351</v>
      </c>
      <c r="B354" s="6" t="s">
        <v>11</v>
      </c>
      <c r="C354" s="6" t="s">
        <v>12</v>
      </c>
      <c r="D354" s="6" t="str">
        <f t="shared" si="5"/>
        <v>001</v>
      </c>
      <c r="E354" s="6" t="str">
        <f>"张欣昱"</f>
        <v>张欣昱</v>
      </c>
      <c r="F354" s="6" t="str">
        <f>"202311181814"</f>
        <v>202311181814</v>
      </c>
      <c r="G354" s="7">
        <v>53.75</v>
      </c>
      <c r="H354" s="8">
        <v>348</v>
      </c>
      <c r="I354" s="5"/>
    </row>
    <row r="355" spans="1:9" ht="24.75" customHeight="1">
      <c r="A355" s="5">
        <v>352</v>
      </c>
      <c r="B355" s="6" t="s">
        <v>11</v>
      </c>
      <c r="C355" s="6" t="s">
        <v>12</v>
      </c>
      <c r="D355" s="6" t="str">
        <f t="shared" si="5"/>
        <v>001</v>
      </c>
      <c r="E355" s="6" t="str">
        <f>"曾学香"</f>
        <v>曾学香</v>
      </c>
      <c r="F355" s="6" t="str">
        <f>"202311182020"</f>
        <v>202311182020</v>
      </c>
      <c r="G355" s="7">
        <v>53.75</v>
      </c>
      <c r="H355" s="8">
        <v>348</v>
      </c>
      <c r="I355" s="5"/>
    </row>
    <row r="356" spans="1:9" ht="24.75" customHeight="1">
      <c r="A356" s="5">
        <v>353</v>
      </c>
      <c r="B356" s="6" t="s">
        <v>11</v>
      </c>
      <c r="C356" s="6" t="s">
        <v>12</v>
      </c>
      <c r="D356" s="6" t="str">
        <f t="shared" si="5"/>
        <v>001</v>
      </c>
      <c r="E356" s="6" t="str">
        <f>"胡成文"</f>
        <v>胡成文</v>
      </c>
      <c r="F356" s="6" t="str">
        <f>"202311180225"</f>
        <v>202311180225</v>
      </c>
      <c r="G356" s="7">
        <v>53.5</v>
      </c>
      <c r="H356" s="8">
        <v>353</v>
      </c>
      <c r="I356" s="5"/>
    </row>
    <row r="357" spans="1:9" ht="24.75" customHeight="1">
      <c r="A357" s="5">
        <v>354</v>
      </c>
      <c r="B357" s="6" t="s">
        <v>11</v>
      </c>
      <c r="C357" s="6" t="s">
        <v>12</v>
      </c>
      <c r="D357" s="6" t="str">
        <f t="shared" si="5"/>
        <v>001</v>
      </c>
      <c r="E357" s="6" t="str">
        <f>"吴宣铼"</f>
        <v>吴宣铼</v>
      </c>
      <c r="F357" s="6" t="str">
        <f>"202311180518"</f>
        <v>202311180518</v>
      </c>
      <c r="G357" s="7">
        <v>53.5</v>
      </c>
      <c r="H357" s="8">
        <v>353</v>
      </c>
      <c r="I357" s="5"/>
    </row>
    <row r="358" spans="1:9" ht="24.75" customHeight="1">
      <c r="A358" s="5">
        <v>355</v>
      </c>
      <c r="B358" s="6" t="s">
        <v>11</v>
      </c>
      <c r="C358" s="6" t="s">
        <v>12</v>
      </c>
      <c r="D358" s="6" t="str">
        <f t="shared" si="5"/>
        <v>001</v>
      </c>
      <c r="E358" s="6" t="str">
        <f>"李健锋"</f>
        <v>李健锋</v>
      </c>
      <c r="F358" s="6" t="str">
        <f>"202311180521"</f>
        <v>202311180521</v>
      </c>
      <c r="G358" s="7">
        <v>53.5</v>
      </c>
      <c r="H358" s="8">
        <v>355</v>
      </c>
      <c r="I358" s="5"/>
    </row>
    <row r="359" spans="1:9" ht="24.75" customHeight="1">
      <c r="A359" s="5">
        <v>356</v>
      </c>
      <c r="B359" s="6" t="s">
        <v>11</v>
      </c>
      <c r="C359" s="6" t="s">
        <v>12</v>
      </c>
      <c r="D359" s="6" t="str">
        <f t="shared" si="5"/>
        <v>001</v>
      </c>
      <c r="E359" s="6" t="str">
        <f>"黎映希"</f>
        <v>黎映希</v>
      </c>
      <c r="F359" s="6" t="str">
        <f>"202311181327"</f>
        <v>202311181327</v>
      </c>
      <c r="G359" s="7">
        <v>53.5</v>
      </c>
      <c r="H359" s="8">
        <v>355</v>
      </c>
      <c r="I359" s="5"/>
    </row>
    <row r="360" spans="1:9" ht="24.75" customHeight="1">
      <c r="A360" s="5">
        <v>357</v>
      </c>
      <c r="B360" s="6" t="s">
        <v>11</v>
      </c>
      <c r="C360" s="6" t="s">
        <v>12</v>
      </c>
      <c r="D360" s="6" t="str">
        <f t="shared" si="5"/>
        <v>001</v>
      </c>
      <c r="E360" s="6" t="str">
        <f>"卓何凌"</f>
        <v>卓何凌</v>
      </c>
      <c r="F360" s="6" t="str">
        <f>"202311181805"</f>
        <v>202311181805</v>
      </c>
      <c r="G360" s="7">
        <v>53.25</v>
      </c>
      <c r="H360" s="8">
        <v>357</v>
      </c>
      <c r="I360" s="5"/>
    </row>
    <row r="361" spans="1:9" ht="24.75" customHeight="1">
      <c r="A361" s="5">
        <v>358</v>
      </c>
      <c r="B361" s="6" t="s">
        <v>11</v>
      </c>
      <c r="C361" s="6" t="s">
        <v>12</v>
      </c>
      <c r="D361" s="6" t="str">
        <f t="shared" si="5"/>
        <v>001</v>
      </c>
      <c r="E361" s="6" t="str">
        <f>"王晓婧"</f>
        <v>王晓婧</v>
      </c>
      <c r="F361" s="6" t="str">
        <f>"202311181526"</f>
        <v>202311181526</v>
      </c>
      <c r="G361" s="7">
        <v>53</v>
      </c>
      <c r="H361" s="8">
        <v>358</v>
      </c>
      <c r="I361" s="5"/>
    </row>
    <row r="362" spans="1:9" ht="24.75" customHeight="1">
      <c r="A362" s="5">
        <v>359</v>
      </c>
      <c r="B362" s="6" t="s">
        <v>11</v>
      </c>
      <c r="C362" s="6" t="s">
        <v>12</v>
      </c>
      <c r="D362" s="6" t="str">
        <f t="shared" si="5"/>
        <v>001</v>
      </c>
      <c r="E362" s="6" t="str">
        <f>"周烨青"</f>
        <v>周烨青</v>
      </c>
      <c r="F362" s="6" t="str">
        <f>"202311181601"</f>
        <v>202311181601</v>
      </c>
      <c r="G362" s="7">
        <v>53</v>
      </c>
      <c r="H362" s="8">
        <v>358</v>
      </c>
      <c r="I362" s="5"/>
    </row>
    <row r="363" spans="1:9" ht="24.75" customHeight="1">
      <c r="A363" s="5">
        <v>360</v>
      </c>
      <c r="B363" s="6" t="s">
        <v>11</v>
      </c>
      <c r="C363" s="6" t="s">
        <v>12</v>
      </c>
      <c r="D363" s="6" t="str">
        <f t="shared" si="5"/>
        <v>001</v>
      </c>
      <c r="E363" s="6" t="str">
        <f>"朱贤玲"</f>
        <v>朱贤玲</v>
      </c>
      <c r="F363" s="6" t="str">
        <f>"202311180324"</f>
        <v>202311180324</v>
      </c>
      <c r="G363" s="7">
        <v>52.75</v>
      </c>
      <c r="H363" s="8">
        <v>360</v>
      </c>
      <c r="I363" s="5"/>
    </row>
    <row r="364" spans="1:9" ht="24.75" customHeight="1">
      <c r="A364" s="5">
        <v>361</v>
      </c>
      <c r="B364" s="6" t="s">
        <v>11</v>
      </c>
      <c r="C364" s="6" t="s">
        <v>12</v>
      </c>
      <c r="D364" s="6" t="str">
        <f t="shared" si="5"/>
        <v>001</v>
      </c>
      <c r="E364" s="6" t="str">
        <f>"陈国俊"</f>
        <v>陈国俊</v>
      </c>
      <c r="F364" s="6" t="str">
        <f>"202311181111"</f>
        <v>202311181111</v>
      </c>
      <c r="G364" s="7">
        <v>52.75</v>
      </c>
      <c r="H364" s="8">
        <v>360</v>
      </c>
      <c r="I364" s="5"/>
    </row>
    <row r="365" spans="1:9" ht="24.75" customHeight="1">
      <c r="A365" s="5">
        <v>362</v>
      </c>
      <c r="B365" s="6" t="s">
        <v>11</v>
      </c>
      <c r="C365" s="6" t="s">
        <v>12</v>
      </c>
      <c r="D365" s="6" t="str">
        <f t="shared" si="5"/>
        <v>001</v>
      </c>
      <c r="E365" s="6" t="str">
        <f>"卢港文"</f>
        <v>卢港文</v>
      </c>
      <c r="F365" s="6" t="str">
        <f>"202311182212"</f>
        <v>202311182212</v>
      </c>
      <c r="G365" s="7">
        <v>52.75</v>
      </c>
      <c r="H365" s="8">
        <v>360</v>
      </c>
      <c r="I365" s="5"/>
    </row>
    <row r="366" spans="1:9" ht="24.75" customHeight="1">
      <c r="A366" s="5">
        <v>363</v>
      </c>
      <c r="B366" s="6" t="s">
        <v>11</v>
      </c>
      <c r="C366" s="6" t="s">
        <v>12</v>
      </c>
      <c r="D366" s="6" t="str">
        <f t="shared" si="5"/>
        <v>001</v>
      </c>
      <c r="E366" s="6" t="str">
        <f>"钟楠"</f>
        <v>钟楠</v>
      </c>
      <c r="F366" s="6" t="str">
        <f>"202311182218"</f>
        <v>202311182218</v>
      </c>
      <c r="G366" s="7">
        <v>52.75</v>
      </c>
      <c r="H366" s="8">
        <v>360</v>
      </c>
      <c r="I366" s="5"/>
    </row>
    <row r="367" spans="1:9" ht="24.75" customHeight="1">
      <c r="A367" s="5">
        <v>364</v>
      </c>
      <c r="B367" s="6" t="s">
        <v>11</v>
      </c>
      <c r="C367" s="6" t="s">
        <v>12</v>
      </c>
      <c r="D367" s="6" t="str">
        <f t="shared" si="5"/>
        <v>001</v>
      </c>
      <c r="E367" s="6" t="str">
        <f>"谢惠涛"</f>
        <v>谢惠涛</v>
      </c>
      <c r="F367" s="6" t="str">
        <f>"202311182230"</f>
        <v>202311182230</v>
      </c>
      <c r="G367" s="7">
        <v>52.75</v>
      </c>
      <c r="H367" s="8">
        <v>360</v>
      </c>
      <c r="I367" s="5"/>
    </row>
    <row r="368" spans="1:9" ht="24.75" customHeight="1">
      <c r="A368" s="5">
        <v>365</v>
      </c>
      <c r="B368" s="6" t="s">
        <v>11</v>
      </c>
      <c r="C368" s="6" t="s">
        <v>12</v>
      </c>
      <c r="D368" s="6" t="str">
        <f t="shared" si="5"/>
        <v>001</v>
      </c>
      <c r="E368" s="6" t="str">
        <f>"高贺峰"</f>
        <v>高贺峰</v>
      </c>
      <c r="F368" s="6" t="str">
        <f>"202311180208"</f>
        <v>202311180208</v>
      </c>
      <c r="G368" s="7">
        <v>52.5</v>
      </c>
      <c r="H368" s="8">
        <v>365</v>
      </c>
      <c r="I368" s="5"/>
    </row>
    <row r="369" spans="1:9" ht="24.75" customHeight="1">
      <c r="A369" s="5">
        <v>366</v>
      </c>
      <c r="B369" s="6" t="s">
        <v>11</v>
      </c>
      <c r="C369" s="6" t="s">
        <v>12</v>
      </c>
      <c r="D369" s="6" t="str">
        <f t="shared" si="5"/>
        <v>001</v>
      </c>
      <c r="E369" s="6" t="str">
        <f>"罗紫兰"</f>
        <v>罗紫兰</v>
      </c>
      <c r="F369" s="6" t="str">
        <f>"202311181908"</f>
        <v>202311181908</v>
      </c>
      <c r="G369" s="7">
        <v>52.5</v>
      </c>
      <c r="H369" s="8">
        <v>365</v>
      </c>
      <c r="I369" s="5"/>
    </row>
    <row r="370" spans="1:9" ht="24.75" customHeight="1">
      <c r="A370" s="5">
        <v>367</v>
      </c>
      <c r="B370" s="6" t="s">
        <v>11</v>
      </c>
      <c r="C370" s="6" t="s">
        <v>12</v>
      </c>
      <c r="D370" s="6" t="str">
        <f t="shared" si="5"/>
        <v>001</v>
      </c>
      <c r="E370" s="6" t="str">
        <f>"王文军"</f>
        <v>王文军</v>
      </c>
      <c r="F370" s="6" t="str">
        <f>"202311182621"</f>
        <v>202311182621</v>
      </c>
      <c r="G370" s="7">
        <v>52.5</v>
      </c>
      <c r="H370" s="8">
        <v>365</v>
      </c>
      <c r="I370" s="5"/>
    </row>
    <row r="371" spans="1:9" ht="24.75" customHeight="1">
      <c r="A371" s="5">
        <v>368</v>
      </c>
      <c r="B371" s="6" t="s">
        <v>11</v>
      </c>
      <c r="C371" s="6" t="s">
        <v>12</v>
      </c>
      <c r="D371" s="6" t="str">
        <f t="shared" si="5"/>
        <v>001</v>
      </c>
      <c r="E371" s="6" t="str">
        <f>"张天影"</f>
        <v>张天影</v>
      </c>
      <c r="F371" s="6" t="str">
        <f>"202311180812"</f>
        <v>202311180812</v>
      </c>
      <c r="G371" s="7">
        <v>52.25</v>
      </c>
      <c r="H371" s="8">
        <v>368</v>
      </c>
      <c r="I371" s="5"/>
    </row>
    <row r="372" spans="1:9" ht="24.75" customHeight="1">
      <c r="A372" s="5">
        <v>369</v>
      </c>
      <c r="B372" s="6" t="s">
        <v>11</v>
      </c>
      <c r="C372" s="6" t="s">
        <v>12</v>
      </c>
      <c r="D372" s="6" t="str">
        <f t="shared" si="5"/>
        <v>001</v>
      </c>
      <c r="E372" s="6" t="str">
        <f>"符英"</f>
        <v>符英</v>
      </c>
      <c r="F372" s="6" t="str">
        <f>"202311181211"</f>
        <v>202311181211</v>
      </c>
      <c r="G372" s="7">
        <v>52.25</v>
      </c>
      <c r="H372" s="8">
        <v>368</v>
      </c>
      <c r="I372" s="5"/>
    </row>
    <row r="373" spans="1:9" ht="24.75" customHeight="1">
      <c r="A373" s="5">
        <v>370</v>
      </c>
      <c r="B373" s="6" t="s">
        <v>11</v>
      </c>
      <c r="C373" s="6" t="s">
        <v>12</v>
      </c>
      <c r="D373" s="6" t="str">
        <f t="shared" si="5"/>
        <v>001</v>
      </c>
      <c r="E373" s="6" t="str">
        <f>"吴珍"</f>
        <v>吴珍</v>
      </c>
      <c r="F373" s="6" t="str">
        <f>"202311182405"</f>
        <v>202311182405</v>
      </c>
      <c r="G373" s="7">
        <v>52.25</v>
      </c>
      <c r="H373" s="8">
        <v>368</v>
      </c>
      <c r="I373" s="5"/>
    </row>
    <row r="374" spans="1:9" ht="24.75" customHeight="1">
      <c r="A374" s="5">
        <v>371</v>
      </c>
      <c r="B374" s="6" t="s">
        <v>11</v>
      </c>
      <c r="C374" s="6" t="s">
        <v>12</v>
      </c>
      <c r="D374" s="6" t="str">
        <f t="shared" si="5"/>
        <v>001</v>
      </c>
      <c r="E374" s="6" t="str">
        <f>"祁梦晓"</f>
        <v>祁梦晓</v>
      </c>
      <c r="F374" s="6" t="str">
        <f>"202311180609"</f>
        <v>202311180609</v>
      </c>
      <c r="G374" s="7">
        <v>52</v>
      </c>
      <c r="H374" s="8">
        <v>371</v>
      </c>
      <c r="I374" s="5"/>
    </row>
    <row r="375" spans="1:9" ht="24.75" customHeight="1">
      <c r="A375" s="5">
        <v>372</v>
      </c>
      <c r="B375" s="6" t="s">
        <v>11</v>
      </c>
      <c r="C375" s="6" t="s">
        <v>12</v>
      </c>
      <c r="D375" s="6" t="str">
        <f t="shared" si="5"/>
        <v>001</v>
      </c>
      <c r="E375" s="6" t="str">
        <f>"羊义平"</f>
        <v>羊义平</v>
      </c>
      <c r="F375" s="6" t="str">
        <f>"202311180906"</f>
        <v>202311180906</v>
      </c>
      <c r="G375" s="7">
        <v>52</v>
      </c>
      <c r="H375" s="8">
        <v>371</v>
      </c>
      <c r="I375" s="5"/>
    </row>
    <row r="376" spans="1:9" ht="24.75" customHeight="1">
      <c r="A376" s="5">
        <v>373</v>
      </c>
      <c r="B376" s="6" t="s">
        <v>11</v>
      </c>
      <c r="C376" s="6" t="s">
        <v>12</v>
      </c>
      <c r="D376" s="6" t="str">
        <f t="shared" si="5"/>
        <v>001</v>
      </c>
      <c r="E376" s="6" t="str">
        <f>"黄平"</f>
        <v>黄平</v>
      </c>
      <c r="F376" s="6" t="str">
        <f>"202311180315"</f>
        <v>202311180315</v>
      </c>
      <c r="G376" s="7">
        <v>51.75</v>
      </c>
      <c r="H376" s="8">
        <v>373</v>
      </c>
      <c r="I376" s="5"/>
    </row>
    <row r="377" spans="1:9" ht="24.75" customHeight="1">
      <c r="A377" s="5">
        <v>374</v>
      </c>
      <c r="B377" s="6" t="s">
        <v>11</v>
      </c>
      <c r="C377" s="6" t="s">
        <v>12</v>
      </c>
      <c r="D377" s="6" t="str">
        <f t="shared" si="5"/>
        <v>001</v>
      </c>
      <c r="E377" s="6" t="str">
        <f>"张玮琪"</f>
        <v>张玮琪</v>
      </c>
      <c r="F377" s="6" t="str">
        <f>"202311182526"</f>
        <v>202311182526</v>
      </c>
      <c r="G377" s="7">
        <v>51.75</v>
      </c>
      <c r="H377" s="8">
        <v>373</v>
      </c>
      <c r="I377" s="5"/>
    </row>
    <row r="378" spans="1:9" ht="24.75" customHeight="1">
      <c r="A378" s="5">
        <v>375</v>
      </c>
      <c r="B378" s="6" t="s">
        <v>11</v>
      </c>
      <c r="C378" s="6" t="s">
        <v>12</v>
      </c>
      <c r="D378" s="6" t="str">
        <f t="shared" si="5"/>
        <v>001</v>
      </c>
      <c r="E378" s="6" t="str">
        <f>"李亚和"</f>
        <v>李亚和</v>
      </c>
      <c r="F378" s="6" t="str">
        <f>"202311181209"</f>
        <v>202311181209</v>
      </c>
      <c r="G378" s="7">
        <v>51.5</v>
      </c>
      <c r="H378" s="8">
        <v>375</v>
      </c>
      <c r="I378" s="5"/>
    </row>
    <row r="379" spans="1:9" ht="24.75" customHeight="1">
      <c r="A379" s="5">
        <v>376</v>
      </c>
      <c r="B379" s="6" t="s">
        <v>11</v>
      </c>
      <c r="C379" s="6" t="s">
        <v>12</v>
      </c>
      <c r="D379" s="6" t="str">
        <f t="shared" si="5"/>
        <v>001</v>
      </c>
      <c r="E379" s="6" t="str">
        <f>"王兰娇"</f>
        <v>王兰娇</v>
      </c>
      <c r="F379" s="6" t="str">
        <f>"202311182226"</f>
        <v>202311182226</v>
      </c>
      <c r="G379" s="7">
        <v>51.5</v>
      </c>
      <c r="H379" s="8">
        <v>375</v>
      </c>
      <c r="I379" s="5"/>
    </row>
    <row r="380" spans="1:9" ht="24.75" customHeight="1">
      <c r="A380" s="5">
        <v>377</v>
      </c>
      <c r="B380" s="6" t="s">
        <v>11</v>
      </c>
      <c r="C380" s="6" t="s">
        <v>12</v>
      </c>
      <c r="D380" s="6" t="str">
        <f t="shared" si="5"/>
        <v>001</v>
      </c>
      <c r="E380" s="6" t="str">
        <f>"吴昱颖"</f>
        <v>吴昱颖</v>
      </c>
      <c r="F380" s="6" t="str">
        <f>"202311181522"</f>
        <v>202311181522</v>
      </c>
      <c r="G380" s="7">
        <v>51.25</v>
      </c>
      <c r="H380" s="8">
        <v>377</v>
      </c>
      <c r="I380" s="5"/>
    </row>
    <row r="381" spans="1:9" ht="24.75" customHeight="1">
      <c r="A381" s="5">
        <v>378</v>
      </c>
      <c r="B381" s="6" t="s">
        <v>11</v>
      </c>
      <c r="C381" s="6" t="s">
        <v>12</v>
      </c>
      <c r="D381" s="6" t="str">
        <f t="shared" si="5"/>
        <v>001</v>
      </c>
      <c r="E381" s="6" t="str">
        <f>"黄莲池"</f>
        <v>黄莲池</v>
      </c>
      <c r="F381" s="6" t="str">
        <f>"202311181623"</f>
        <v>202311181623</v>
      </c>
      <c r="G381" s="7">
        <v>51.25</v>
      </c>
      <c r="H381" s="8">
        <v>377</v>
      </c>
      <c r="I381" s="5"/>
    </row>
    <row r="382" spans="1:9" ht="24.75" customHeight="1">
      <c r="A382" s="5">
        <v>379</v>
      </c>
      <c r="B382" s="6" t="s">
        <v>11</v>
      </c>
      <c r="C382" s="6" t="s">
        <v>12</v>
      </c>
      <c r="D382" s="6" t="str">
        <f t="shared" si="5"/>
        <v>001</v>
      </c>
      <c r="E382" s="6" t="str">
        <f>"黄秋云"</f>
        <v>黄秋云</v>
      </c>
      <c r="F382" s="6" t="str">
        <f>"202311180114"</f>
        <v>202311180114</v>
      </c>
      <c r="G382" s="7">
        <v>50.75</v>
      </c>
      <c r="H382" s="8">
        <v>379</v>
      </c>
      <c r="I382" s="5"/>
    </row>
    <row r="383" spans="1:9" ht="24.75" customHeight="1">
      <c r="A383" s="5">
        <v>380</v>
      </c>
      <c r="B383" s="6" t="s">
        <v>11</v>
      </c>
      <c r="C383" s="6" t="s">
        <v>12</v>
      </c>
      <c r="D383" s="6" t="str">
        <f t="shared" si="5"/>
        <v>001</v>
      </c>
      <c r="E383" s="6" t="str">
        <f>"王谋良"</f>
        <v>王谋良</v>
      </c>
      <c r="F383" s="6" t="str">
        <f>"202311180910"</f>
        <v>202311180910</v>
      </c>
      <c r="G383" s="7">
        <v>50.75</v>
      </c>
      <c r="H383" s="8">
        <v>379</v>
      </c>
      <c r="I383" s="5"/>
    </row>
    <row r="384" spans="1:9" ht="24.75" customHeight="1">
      <c r="A384" s="5">
        <v>381</v>
      </c>
      <c r="B384" s="6" t="s">
        <v>11</v>
      </c>
      <c r="C384" s="6" t="s">
        <v>12</v>
      </c>
      <c r="D384" s="6" t="str">
        <f t="shared" si="5"/>
        <v>001</v>
      </c>
      <c r="E384" s="6" t="str">
        <f>"符绵泮"</f>
        <v>符绵泮</v>
      </c>
      <c r="F384" s="6" t="str">
        <f>"202311181411"</f>
        <v>202311181411</v>
      </c>
      <c r="G384" s="7">
        <v>50.75</v>
      </c>
      <c r="H384" s="8">
        <v>379</v>
      </c>
      <c r="I384" s="5"/>
    </row>
    <row r="385" spans="1:9" ht="24.75" customHeight="1">
      <c r="A385" s="5">
        <v>382</v>
      </c>
      <c r="B385" s="6" t="s">
        <v>11</v>
      </c>
      <c r="C385" s="6" t="s">
        <v>12</v>
      </c>
      <c r="D385" s="6" t="str">
        <f t="shared" si="5"/>
        <v>001</v>
      </c>
      <c r="E385" s="6" t="str">
        <f>"吴清新"</f>
        <v>吴清新</v>
      </c>
      <c r="F385" s="6" t="str">
        <f>"202311180408"</f>
        <v>202311180408</v>
      </c>
      <c r="G385" s="7">
        <v>50.5</v>
      </c>
      <c r="H385" s="8">
        <v>382</v>
      </c>
      <c r="I385" s="5"/>
    </row>
    <row r="386" spans="1:9" ht="24.75" customHeight="1">
      <c r="A386" s="5">
        <v>383</v>
      </c>
      <c r="B386" s="6" t="s">
        <v>11</v>
      </c>
      <c r="C386" s="6" t="s">
        <v>12</v>
      </c>
      <c r="D386" s="6" t="str">
        <f t="shared" si="5"/>
        <v>001</v>
      </c>
      <c r="E386" s="6" t="str">
        <f>"曾广顺"</f>
        <v>曾广顺</v>
      </c>
      <c r="F386" s="6" t="str">
        <f>"202311181523"</f>
        <v>202311181523</v>
      </c>
      <c r="G386" s="7">
        <v>50.5</v>
      </c>
      <c r="H386" s="8">
        <v>382</v>
      </c>
      <c r="I386" s="5"/>
    </row>
    <row r="387" spans="1:9" ht="24.75" customHeight="1">
      <c r="A387" s="5">
        <v>384</v>
      </c>
      <c r="B387" s="6" t="s">
        <v>11</v>
      </c>
      <c r="C387" s="6" t="s">
        <v>12</v>
      </c>
      <c r="D387" s="6" t="str">
        <f t="shared" si="5"/>
        <v>001</v>
      </c>
      <c r="E387" s="6" t="str">
        <f>"王君珠"</f>
        <v>王君珠</v>
      </c>
      <c r="F387" s="6" t="str">
        <f>"202311181608"</f>
        <v>202311181608</v>
      </c>
      <c r="G387" s="7">
        <v>50.5</v>
      </c>
      <c r="H387" s="8">
        <v>382</v>
      </c>
      <c r="I387" s="5"/>
    </row>
    <row r="388" spans="1:9" ht="24.75" customHeight="1">
      <c r="A388" s="5">
        <v>385</v>
      </c>
      <c r="B388" s="6" t="s">
        <v>11</v>
      </c>
      <c r="C388" s="6" t="s">
        <v>12</v>
      </c>
      <c r="D388" s="6" t="str">
        <f aca="true" t="shared" si="6" ref="D388:D451">"001"</f>
        <v>001</v>
      </c>
      <c r="E388" s="6" t="str">
        <f>"莫治策"</f>
        <v>莫治策</v>
      </c>
      <c r="F388" s="6" t="str">
        <f>"202311181129"</f>
        <v>202311181129</v>
      </c>
      <c r="G388" s="7">
        <v>50.25</v>
      </c>
      <c r="H388" s="8">
        <v>385</v>
      </c>
      <c r="I388" s="5"/>
    </row>
    <row r="389" spans="1:9" ht="24.75" customHeight="1">
      <c r="A389" s="5">
        <v>386</v>
      </c>
      <c r="B389" s="6" t="s">
        <v>11</v>
      </c>
      <c r="C389" s="6" t="s">
        <v>12</v>
      </c>
      <c r="D389" s="6" t="str">
        <f t="shared" si="6"/>
        <v>001</v>
      </c>
      <c r="E389" s="6" t="str">
        <f>"梁茜"</f>
        <v>梁茜</v>
      </c>
      <c r="F389" s="6" t="str">
        <f>"202311181611"</f>
        <v>202311181611</v>
      </c>
      <c r="G389" s="7">
        <v>50.25</v>
      </c>
      <c r="H389" s="8">
        <v>385</v>
      </c>
      <c r="I389" s="5"/>
    </row>
    <row r="390" spans="1:9" ht="24.75" customHeight="1">
      <c r="A390" s="5">
        <v>387</v>
      </c>
      <c r="B390" s="6" t="s">
        <v>11</v>
      </c>
      <c r="C390" s="6" t="s">
        <v>12</v>
      </c>
      <c r="D390" s="6" t="str">
        <f t="shared" si="6"/>
        <v>001</v>
      </c>
      <c r="E390" s="6" t="str">
        <f>"郑浩"</f>
        <v>郑浩</v>
      </c>
      <c r="F390" s="6" t="str">
        <f>"202311182302"</f>
        <v>202311182302</v>
      </c>
      <c r="G390" s="7">
        <v>50.25</v>
      </c>
      <c r="H390" s="8">
        <v>385</v>
      </c>
      <c r="I390" s="5"/>
    </row>
    <row r="391" spans="1:9" ht="24.75" customHeight="1">
      <c r="A391" s="5">
        <v>388</v>
      </c>
      <c r="B391" s="6" t="s">
        <v>11</v>
      </c>
      <c r="C391" s="6" t="s">
        <v>12</v>
      </c>
      <c r="D391" s="6" t="str">
        <f t="shared" si="6"/>
        <v>001</v>
      </c>
      <c r="E391" s="6" t="str">
        <f>"王家庚"</f>
        <v>王家庚</v>
      </c>
      <c r="F391" s="6" t="str">
        <f>"202311180218"</f>
        <v>202311180218</v>
      </c>
      <c r="G391" s="7">
        <v>50</v>
      </c>
      <c r="H391" s="8">
        <v>388</v>
      </c>
      <c r="I391" s="5"/>
    </row>
    <row r="392" spans="1:9" ht="24.75" customHeight="1">
      <c r="A392" s="5">
        <v>389</v>
      </c>
      <c r="B392" s="6" t="s">
        <v>11</v>
      </c>
      <c r="C392" s="6" t="s">
        <v>12</v>
      </c>
      <c r="D392" s="6" t="str">
        <f t="shared" si="6"/>
        <v>001</v>
      </c>
      <c r="E392" s="6" t="str">
        <f>"朱莹"</f>
        <v>朱莹</v>
      </c>
      <c r="F392" s="6" t="str">
        <f>"202311180503"</f>
        <v>202311180503</v>
      </c>
      <c r="G392" s="7">
        <v>50</v>
      </c>
      <c r="H392" s="8">
        <v>388</v>
      </c>
      <c r="I392" s="5"/>
    </row>
    <row r="393" spans="1:9" ht="24.75" customHeight="1">
      <c r="A393" s="5">
        <v>390</v>
      </c>
      <c r="B393" s="6" t="s">
        <v>11</v>
      </c>
      <c r="C393" s="6" t="s">
        <v>12</v>
      </c>
      <c r="D393" s="6" t="str">
        <f t="shared" si="6"/>
        <v>001</v>
      </c>
      <c r="E393" s="6" t="str">
        <f>"李玫瑾"</f>
        <v>李玫瑾</v>
      </c>
      <c r="F393" s="6" t="str">
        <f>"202311182325"</f>
        <v>202311182325</v>
      </c>
      <c r="G393" s="7">
        <v>50</v>
      </c>
      <c r="H393" s="8">
        <v>388</v>
      </c>
      <c r="I393" s="5"/>
    </row>
    <row r="394" spans="1:9" ht="24.75" customHeight="1">
      <c r="A394" s="5">
        <v>391</v>
      </c>
      <c r="B394" s="6" t="s">
        <v>11</v>
      </c>
      <c r="C394" s="6" t="s">
        <v>12</v>
      </c>
      <c r="D394" s="6" t="str">
        <f t="shared" si="6"/>
        <v>001</v>
      </c>
      <c r="E394" s="6" t="str">
        <f>"吴清山"</f>
        <v>吴清山</v>
      </c>
      <c r="F394" s="6" t="str">
        <f>"202311181326"</f>
        <v>202311181326</v>
      </c>
      <c r="G394" s="7">
        <v>49.75</v>
      </c>
      <c r="H394" s="8">
        <v>391</v>
      </c>
      <c r="I394" s="5"/>
    </row>
    <row r="395" spans="1:9" ht="24.75" customHeight="1">
      <c r="A395" s="5">
        <v>392</v>
      </c>
      <c r="B395" s="6" t="s">
        <v>11</v>
      </c>
      <c r="C395" s="6" t="s">
        <v>12</v>
      </c>
      <c r="D395" s="6" t="str">
        <f t="shared" si="6"/>
        <v>001</v>
      </c>
      <c r="E395" s="6" t="str">
        <f>"钱妙煊"</f>
        <v>钱妙煊</v>
      </c>
      <c r="F395" s="6" t="str">
        <f>"202311182223"</f>
        <v>202311182223</v>
      </c>
      <c r="G395" s="7">
        <v>49.75</v>
      </c>
      <c r="H395" s="8">
        <v>391</v>
      </c>
      <c r="I395" s="5"/>
    </row>
    <row r="396" spans="1:9" ht="24.75" customHeight="1">
      <c r="A396" s="5">
        <v>393</v>
      </c>
      <c r="B396" s="6" t="s">
        <v>11</v>
      </c>
      <c r="C396" s="6" t="s">
        <v>12</v>
      </c>
      <c r="D396" s="6" t="str">
        <f t="shared" si="6"/>
        <v>001</v>
      </c>
      <c r="E396" s="6" t="str">
        <f>"何柳青"</f>
        <v>何柳青</v>
      </c>
      <c r="F396" s="6" t="str">
        <f>"202311180317"</f>
        <v>202311180317</v>
      </c>
      <c r="G396" s="7">
        <v>49.25</v>
      </c>
      <c r="H396" s="8">
        <v>393</v>
      </c>
      <c r="I396" s="5"/>
    </row>
    <row r="397" spans="1:9" ht="24.75" customHeight="1">
      <c r="A397" s="5">
        <v>394</v>
      </c>
      <c r="B397" s="6" t="s">
        <v>11</v>
      </c>
      <c r="C397" s="6" t="s">
        <v>12</v>
      </c>
      <c r="D397" s="6" t="str">
        <f t="shared" si="6"/>
        <v>001</v>
      </c>
      <c r="E397" s="6" t="str">
        <f>"陈柳贝"</f>
        <v>陈柳贝</v>
      </c>
      <c r="F397" s="6" t="str">
        <f>"202311181124"</f>
        <v>202311181124</v>
      </c>
      <c r="G397" s="7">
        <v>49.25</v>
      </c>
      <c r="H397" s="8">
        <v>393</v>
      </c>
      <c r="I397" s="5"/>
    </row>
    <row r="398" spans="1:9" ht="24.75" customHeight="1">
      <c r="A398" s="5">
        <v>395</v>
      </c>
      <c r="B398" s="6" t="s">
        <v>11</v>
      </c>
      <c r="C398" s="6" t="s">
        <v>12</v>
      </c>
      <c r="D398" s="6" t="str">
        <f t="shared" si="6"/>
        <v>001</v>
      </c>
      <c r="E398" s="6" t="str">
        <f>"贺海霞"</f>
        <v>贺海霞</v>
      </c>
      <c r="F398" s="6" t="str">
        <f>"202311181825"</f>
        <v>202311181825</v>
      </c>
      <c r="G398" s="7">
        <v>48.5</v>
      </c>
      <c r="H398" s="8">
        <v>395</v>
      </c>
      <c r="I398" s="5"/>
    </row>
    <row r="399" spans="1:9" ht="24.75" customHeight="1">
      <c r="A399" s="5">
        <v>396</v>
      </c>
      <c r="B399" s="6" t="s">
        <v>11</v>
      </c>
      <c r="C399" s="6" t="s">
        <v>12</v>
      </c>
      <c r="D399" s="6" t="str">
        <f t="shared" si="6"/>
        <v>001</v>
      </c>
      <c r="E399" s="6" t="str">
        <f>"吴海斌"</f>
        <v>吴海斌</v>
      </c>
      <c r="F399" s="6" t="str">
        <f>"202311181920"</f>
        <v>202311181920</v>
      </c>
      <c r="G399" s="7">
        <v>48.5</v>
      </c>
      <c r="H399" s="8">
        <v>395</v>
      </c>
      <c r="I399" s="5"/>
    </row>
    <row r="400" spans="1:9" ht="24.75" customHeight="1">
      <c r="A400" s="5">
        <v>397</v>
      </c>
      <c r="B400" s="6" t="s">
        <v>11</v>
      </c>
      <c r="C400" s="6" t="s">
        <v>12</v>
      </c>
      <c r="D400" s="6" t="str">
        <f t="shared" si="6"/>
        <v>001</v>
      </c>
      <c r="E400" s="6" t="str">
        <f>"宋英欣"</f>
        <v>宋英欣</v>
      </c>
      <c r="F400" s="6" t="str">
        <f>"202311182418"</f>
        <v>202311182418</v>
      </c>
      <c r="G400" s="7">
        <v>48.5</v>
      </c>
      <c r="H400" s="8">
        <v>395</v>
      </c>
      <c r="I400" s="5"/>
    </row>
    <row r="401" spans="1:9" ht="24.75" customHeight="1">
      <c r="A401" s="5">
        <v>398</v>
      </c>
      <c r="B401" s="6" t="s">
        <v>11</v>
      </c>
      <c r="C401" s="6" t="s">
        <v>12</v>
      </c>
      <c r="D401" s="6" t="str">
        <f t="shared" si="6"/>
        <v>001</v>
      </c>
      <c r="E401" s="6" t="str">
        <f>"韦祯"</f>
        <v>韦祯</v>
      </c>
      <c r="F401" s="6" t="str">
        <f>"202311182606"</f>
        <v>202311182606</v>
      </c>
      <c r="G401" s="7">
        <v>48.5</v>
      </c>
      <c r="H401" s="8">
        <v>395</v>
      </c>
      <c r="I401" s="5"/>
    </row>
    <row r="402" spans="1:9" ht="24.75" customHeight="1">
      <c r="A402" s="5">
        <v>399</v>
      </c>
      <c r="B402" s="6" t="s">
        <v>11</v>
      </c>
      <c r="C402" s="6" t="s">
        <v>12</v>
      </c>
      <c r="D402" s="6" t="str">
        <f t="shared" si="6"/>
        <v>001</v>
      </c>
      <c r="E402" s="6" t="str">
        <f>"唐庆慧"</f>
        <v>唐庆慧</v>
      </c>
      <c r="F402" s="6" t="str">
        <f>"202311180914"</f>
        <v>202311180914</v>
      </c>
      <c r="G402" s="7">
        <v>48.25</v>
      </c>
      <c r="H402" s="8">
        <v>399</v>
      </c>
      <c r="I402" s="5"/>
    </row>
    <row r="403" spans="1:9" ht="24.75" customHeight="1">
      <c r="A403" s="5">
        <v>400</v>
      </c>
      <c r="B403" s="6" t="s">
        <v>11</v>
      </c>
      <c r="C403" s="6" t="s">
        <v>12</v>
      </c>
      <c r="D403" s="6" t="str">
        <f t="shared" si="6"/>
        <v>001</v>
      </c>
      <c r="E403" s="6" t="str">
        <f>"羊光国"</f>
        <v>羊光国</v>
      </c>
      <c r="F403" s="6" t="str">
        <f>"202311181904"</f>
        <v>202311181904</v>
      </c>
      <c r="G403" s="7">
        <v>48.25</v>
      </c>
      <c r="H403" s="8">
        <v>399</v>
      </c>
      <c r="I403" s="5"/>
    </row>
    <row r="404" spans="1:9" ht="24.75" customHeight="1">
      <c r="A404" s="5">
        <v>401</v>
      </c>
      <c r="B404" s="6" t="s">
        <v>11</v>
      </c>
      <c r="C404" s="6" t="s">
        <v>12</v>
      </c>
      <c r="D404" s="6" t="str">
        <f t="shared" si="6"/>
        <v>001</v>
      </c>
      <c r="E404" s="6" t="str">
        <f>"郑道维"</f>
        <v>郑道维</v>
      </c>
      <c r="F404" s="6" t="str">
        <f>"202311182521"</f>
        <v>202311182521</v>
      </c>
      <c r="G404" s="7">
        <v>48.25</v>
      </c>
      <c r="H404" s="8">
        <v>399</v>
      </c>
      <c r="I404" s="5"/>
    </row>
    <row r="405" spans="1:9" ht="24.75" customHeight="1">
      <c r="A405" s="5">
        <v>402</v>
      </c>
      <c r="B405" s="6" t="s">
        <v>11</v>
      </c>
      <c r="C405" s="6" t="s">
        <v>12</v>
      </c>
      <c r="D405" s="6" t="str">
        <f t="shared" si="6"/>
        <v>001</v>
      </c>
      <c r="E405" s="6" t="str">
        <f>"王江桧"</f>
        <v>王江桧</v>
      </c>
      <c r="F405" s="6" t="str">
        <f>"202311180330"</f>
        <v>202311180330</v>
      </c>
      <c r="G405" s="7">
        <v>48</v>
      </c>
      <c r="H405" s="8">
        <v>402</v>
      </c>
      <c r="I405" s="5"/>
    </row>
    <row r="406" spans="1:9" ht="24.75" customHeight="1">
      <c r="A406" s="5">
        <v>403</v>
      </c>
      <c r="B406" s="6" t="s">
        <v>11</v>
      </c>
      <c r="C406" s="6" t="s">
        <v>12</v>
      </c>
      <c r="D406" s="6" t="str">
        <f t="shared" si="6"/>
        <v>001</v>
      </c>
      <c r="E406" s="6" t="str">
        <f>"林上月"</f>
        <v>林上月</v>
      </c>
      <c r="F406" s="6" t="str">
        <f>"202311180421"</f>
        <v>202311180421</v>
      </c>
      <c r="G406" s="7">
        <v>48</v>
      </c>
      <c r="H406" s="8">
        <v>402</v>
      </c>
      <c r="I406" s="5"/>
    </row>
    <row r="407" spans="1:9" ht="24.75" customHeight="1">
      <c r="A407" s="5">
        <v>404</v>
      </c>
      <c r="B407" s="6" t="s">
        <v>11</v>
      </c>
      <c r="C407" s="6" t="s">
        <v>12</v>
      </c>
      <c r="D407" s="6" t="str">
        <f t="shared" si="6"/>
        <v>001</v>
      </c>
      <c r="E407" s="6" t="str">
        <f>"林立佳"</f>
        <v>林立佳</v>
      </c>
      <c r="F407" s="6" t="str">
        <f>"202311181330"</f>
        <v>202311181330</v>
      </c>
      <c r="G407" s="7">
        <v>48</v>
      </c>
      <c r="H407" s="8">
        <v>402</v>
      </c>
      <c r="I407" s="5"/>
    </row>
    <row r="408" spans="1:9" ht="24.75" customHeight="1">
      <c r="A408" s="5">
        <v>405</v>
      </c>
      <c r="B408" s="6" t="s">
        <v>11</v>
      </c>
      <c r="C408" s="6" t="s">
        <v>12</v>
      </c>
      <c r="D408" s="6" t="str">
        <f t="shared" si="6"/>
        <v>001</v>
      </c>
      <c r="E408" s="6" t="str">
        <f>"陈玉红"</f>
        <v>陈玉红</v>
      </c>
      <c r="F408" s="6" t="str">
        <f>"202311182021"</f>
        <v>202311182021</v>
      </c>
      <c r="G408" s="7">
        <v>48</v>
      </c>
      <c r="H408" s="8">
        <v>402</v>
      </c>
      <c r="I408" s="5"/>
    </row>
    <row r="409" spans="1:9" ht="24.75" customHeight="1">
      <c r="A409" s="5">
        <v>406</v>
      </c>
      <c r="B409" s="6" t="s">
        <v>11</v>
      </c>
      <c r="C409" s="6" t="s">
        <v>12</v>
      </c>
      <c r="D409" s="6" t="str">
        <f t="shared" si="6"/>
        <v>001</v>
      </c>
      <c r="E409" s="6" t="str">
        <f>"李叶"</f>
        <v>李叶</v>
      </c>
      <c r="F409" s="6" t="str">
        <f>"202311182224"</f>
        <v>202311182224</v>
      </c>
      <c r="G409" s="7">
        <v>48</v>
      </c>
      <c r="H409" s="8">
        <v>402</v>
      </c>
      <c r="I409" s="5"/>
    </row>
    <row r="410" spans="1:9" ht="24.75" customHeight="1">
      <c r="A410" s="5">
        <v>407</v>
      </c>
      <c r="B410" s="6" t="s">
        <v>11</v>
      </c>
      <c r="C410" s="6" t="s">
        <v>12</v>
      </c>
      <c r="D410" s="6" t="str">
        <f t="shared" si="6"/>
        <v>001</v>
      </c>
      <c r="E410" s="6" t="str">
        <f>"虞佳巧"</f>
        <v>虞佳巧</v>
      </c>
      <c r="F410" s="6" t="str">
        <f>"202311180101"</f>
        <v>202311180101</v>
      </c>
      <c r="G410" s="7">
        <v>47.75</v>
      </c>
      <c r="H410" s="8">
        <v>407</v>
      </c>
      <c r="I410" s="5"/>
    </row>
    <row r="411" spans="1:9" ht="24.75" customHeight="1">
      <c r="A411" s="5">
        <v>408</v>
      </c>
      <c r="B411" s="6" t="s">
        <v>11</v>
      </c>
      <c r="C411" s="6" t="s">
        <v>12</v>
      </c>
      <c r="D411" s="6" t="str">
        <f t="shared" si="6"/>
        <v>001</v>
      </c>
      <c r="E411" s="6" t="str">
        <f>"陆新风"</f>
        <v>陆新风</v>
      </c>
      <c r="F411" s="6" t="str">
        <f>"202311180729"</f>
        <v>202311180729</v>
      </c>
      <c r="G411" s="7">
        <v>47.75</v>
      </c>
      <c r="H411" s="8">
        <v>407</v>
      </c>
      <c r="I411" s="5"/>
    </row>
    <row r="412" spans="1:9" ht="24.75" customHeight="1">
      <c r="A412" s="5">
        <v>409</v>
      </c>
      <c r="B412" s="6" t="s">
        <v>11</v>
      </c>
      <c r="C412" s="6" t="s">
        <v>12</v>
      </c>
      <c r="D412" s="6" t="str">
        <f t="shared" si="6"/>
        <v>001</v>
      </c>
      <c r="E412" s="6" t="str">
        <f>"李燕娣"</f>
        <v>李燕娣</v>
      </c>
      <c r="F412" s="6" t="str">
        <f>"202311182006"</f>
        <v>202311182006</v>
      </c>
      <c r="G412" s="7">
        <v>47.75</v>
      </c>
      <c r="H412" s="8">
        <v>407</v>
      </c>
      <c r="I412" s="5"/>
    </row>
    <row r="413" spans="1:9" ht="24.75" customHeight="1">
      <c r="A413" s="5">
        <v>410</v>
      </c>
      <c r="B413" s="6" t="s">
        <v>11</v>
      </c>
      <c r="C413" s="6" t="s">
        <v>12</v>
      </c>
      <c r="D413" s="6" t="str">
        <f t="shared" si="6"/>
        <v>001</v>
      </c>
      <c r="E413" s="6" t="str">
        <f>"罗小钰"</f>
        <v>罗小钰</v>
      </c>
      <c r="F413" s="6" t="str">
        <f>"202311181005"</f>
        <v>202311181005</v>
      </c>
      <c r="G413" s="7">
        <v>47.5</v>
      </c>
      <c r="H413" s="8">
        <v>410</v>
      </c>
      <c r="I413" s="5"/>
    </row>
    <row r="414" spans="1:9" ht="24.75" customHeight="1">
      <c r="A414" s="5">
        <v>411</v>
      </c>
      <c r="B414" s="6" t="s">
        <v>11</v>
      </c>
      <c r="C414" s="6" t="s">
        <v>12</v>
      </c>
      <c r="D414" s="6" t="str">
        <f t="shared" si="6"/>
        <v>001</v>
      </c>
      <c r="E414" s="6" t="str">
        <f>"林应旺"</f>
        <v>林应旺</v>
      </c>
      <c r="F414" s="6" t="str">
        <f>"202311181621"</f>
        <v>202311181621</v>
      </c>
      <c r="G414" s="7">
        <v>47.5</v>
      </c>
      <c r="H414" s="8">
        <v>410</v>
      </c>
      <c r="I414" s="5"/>
    </row>
    <row r="415" spans="1:9" ht="24.75" customHeight="1">
      <c r="A415" s="5">
        <v>412</v>
      </c>
      <c r="B415" s="6" t="s">
        <v>11</v>
      </c>
      <c r="C415" s="6" t="s">
        <v>12</v>
      </c>
      <c r="D415" s="6" t="str">
        <f t="shared" si="6"/>
        <v>001</v>
      </c>
      <c r="E415" s="6" t="str">
        <f>"庄海桂"</f>
        <v>庄海桂</v>
      </c>
      <c r="F415" s="6" t="str">
        <f>"202311182001"</f>
        <v>202311182001</v>
      </c>
      <c r="G415" s="7">
        <v>47.25</v>
      </c>
      <c r="H415" s="8">
        <v>412</v>
      </c>
      <c r="I415" s="5"/>
    </row>
    <row r="416" spans="1:9" ht="24.75" customHeight="1">
      <c r="A416" s="5">
        <v>413</v>
      </c>
      <c r="B416" s="6" t="s">
        <v>11</v>
      </c>
      <c r="C416" s="6" t="s">
        <v>12</v>
      </c>
      <c r="D416" s="6" t="str">
        <f t="shared" si="6"/>
        <v>001</v>
      </c>
      <c r="E416" s="6" t="str">
        <f>"张香兰"</f>
        <v>张香兰</v>
      </c>
      <c r="F416" s="6" t="str">
        <f>"202311182524"</f>
        <v>202311182524</v>
      </c>
      <c r="G416" s="7">
        <v>47.25</v>
      </c>
      <c r="H416" s="8">
        <v>412</v>
      </c>
      <c r="I416" s="5"/>
    </row>
    <row r="417" spans="1:9" ht="24.75" customHeight="1">
      <c r="A417" s="5">
        <v>414</v>
      </c>
      <c r="B417" s="6" t="s">
        <v>11</v>
      </c>
      <c r="C417" s="6" t="s">
        <v>12</v>
      </c>
      <c r="D417" s="6" t="str">
        <f t="shared" si="6"/>
        <v>001</v>
      </c>
      <c r="E417" s="6" t="str">
        <f>"张嘉贤"</f>
        <v>张嘉贤</v>
      </c>
      <c r="F417" s="6" t="str">
        <f>"202311181712"</f>
        <v>202311181712</v>
      </c>
      <c r="G417" s="7">
        <v>47</v>
      </c>
      <c r="H417" s="8">
        <v>414</v>
      </c>
      <c r="I417" s="5"/>
    </row>
    <row r="418" spans="1:9" ht="24.75" customHeight="1">
      <c r="A418" s="5">
        <v>415</v>
      </c>
      <c r="B418" s="6" t="s">
        <v>11</v>
      </c>
      <c r="C418" s="6" t="s">
        <v>12</v>
      </c>
      <c r="D418" s="6" t="str">
        <f t="shared" si="6"/>
        <v>001</v>
      </c>
      <c r="E418" s="6" t="str">
        <f>"刘琴"</f>
        <v>刘琴</v>
      </c>
      <c r="F418" s="6" t="str">
        <f>"202311181118"</f>
        <v>202311181118</v>
      </c>
      <c r="G418" s="7">
        <v>46.75</v>
      </c>
      <c r="H418" s="8">
        <v>415</v>
      </c>
      <c r="I418" s="5"/>
    </row>
    <row r="419" spans="1:9" ht="24.75" customHeight="1">
      <c r="A419" s="5">
        <v>416</v>
      </c>
      <c r="B419" s="6" t="s">
        <v>11</v>
      </c>
      <c r="C419" s="6" t="s">
        <v>12</v>
      </c>
      <c r="D419" s="6" t="str">
        <f t="shared" si="6"/>
        <v>001</v>
      </c>
      <c r="E419" s="6" t="str">
        <f>"古丽平"</f>
        <v>古丽平</v>
      </c>
      <c r="F419" s="6" t="str">
        <f>"202311181121"</f>
        <v>202311181121</v>
      </c>
      <c r="G419" s="7">
        <v>46.25</v>
      </c>
      <c r="H419" s="8">
        <v>416</v>
      </c>
      <c r="I419" s="5"/>
    </row>
    <row r="420" spans="1:9" ht="24.75" customHeight="1">
      <c r="A420" s="5">
        <v>417</v>
      </c>
      <c r="B420" s="6" t="s">
        <v>11</v>
      </c>
      <c r="C420" s="6" t="s">
        <v>12</v>
      </c>
      <c r="D420" s="6" t="str">
        <f t="shared" si="6"/>
        <v>001</v>
      </c>
      <c r="E420" s="6" t="str">
        <f>"黎倩敏"</f>
        <v>黎倩敏</v>
      </c>
      <c r="F420" s="6" t="str">
        <f>"202311180115"</f>
        <v>202311180115</v>
      </c>
      <c r="G420" s="7">
        <v>45.75</v>
      </c>
      <c r="H420" s="8">
        <v>417</v>
      </c>
      <c r="I420" s="5"/>
    </row>
    <row r="421" spans="1:9" ht="24.75" customHeight="1">
      <c r="A421" s="5">
        <v>418</v>
      </c>
      <c r="B421" s="6" t="s">
        <v>11</v>
      </c>
      <c r="C421" s="6" t="s">
        <v>12</v>
      </c>
      <c r="D421" s="6" t="str">
        <f t="shared" si="6"/>
        <v>001</v>
      </c>
      <c r="E421" s="6" t="str">
        <f>"陈其龙"</f>
        <v>陈其龙</v>
      </c>
      <c r="F421" s="6" t="str">
        <f>"202311180202"</f>
        <v>202311180202</v>
      </c>
      <c r="G421" s="7">
        <v>45.5</v>
      </c>
      <c r="H421" s="8">
        <v>418</v>
      </c>
      <c r="I421" s="5"/>
    </row>
    <row r="422" spans="1:9" ht="24.75" customHeight="1">
      <c r="A422" s="5">
        <v>419</v>
      </c>
      <c r="B422" s="6" t="s">
        <v>11</v>
      </c>
      <c r="C422" s="6" t="s">
        <v>12</v>
      </c>
      <c r="D422" s="6" t="str">
        <f t="shared" si="6"/>
        <v>001</v>
      </c>
      <c r="E422" s="6" t="str">
        <f>"邓美妮"</f>
        <v>邓美妮</v>
      </c>
      <c r="F422" s="6" t="str">
        <f>"202311180321"</f>
        <v>202311180321</v>
      </c>
      <c r="G422" s="7">
        <v>45.5</v>
      </c>
      <c r="H422" s="8">
        <v>418</v>
      </c>
      <c r="I422" s="5"/>
    </row>
    <row r="423" spans="1:9" ht="24.75" customHeight="1">
      <c r="A423" s="5">
        <v>420</v>
      </c>
      <c r="B423" s="6" t="s">
        <v>11</v>
      </c>
      <c r="C423" s="6" t="s">
        <v>12</v>
      </c>
      <c r="D423" s="6" t="str">
        <f t="shared" si="6"/>
        <v>001</v>
      </c>
      <c r="E423" s="6" t="str">
        <f>"罗长智"</f>
        <v>罗长智</v>
      </c>
      <c r="F423" s="6" t="str">
        <f>"202311180524"</f>
        <v>202311180524</v>
      </c>
      <c r="G423" s="7">
        <v>45.5</v>
      </c>
      <c r="H423" s="8">
        <v>418</v>
      </c>
      <c r="I423" s="5"/>
    </row>
    <row r="424" spans="1:9" ht="24.75" customHeight="1">
      <c r="A424" s="5">
        <v>421</v>
      </c>
      <c r="B424" s="6" t="s">
        <v>11</v>
      </c>
      <c r="C424" s="6" t="s">
        <v>12</v>
      </c>
      <c r="D424" s="6" t="str">
        <f t="shared" si="6"/>
        <v>001</v>
      </c>
      <c r="E424" s="6" t="str">
        <f>"翁雯"</f>
        <v>翁雯</v>
      </c>
      <c r="F424" s="6" t="str">
        <f>"202311181827"</f>
        <v>202311181827</v>
      </c>
      <c r="G424" s="7">
        <v>45.5</v>
      </c>
      <c r="H424" s="8">
        <v>418</v>
      </c>
      <c r="I424" s="5"/>
    </row>
    <row r="425" spans="1:9" ht="24.75" customHeight="1">
      <c r="A425" s="5">
        <v>422</v>
      </c>
      <c r="B425" s="6" t="s">
        <v>11</v>
      </c>
      <c r="C425" s="6" t="s">
        <v>12</v>
      </c>
      <c r="D425" s="6" t="str">
        <f t="shared" si="6"/>
        <v>001</v>
      </c>
      <c r="E425" s="6" t="str">
        <f>"卓绚"</f>
        <v>卓绚</v>
      </c>
      <c r="F425" s="6" t="str">
        <f>"202311180615"</f>
        <v>202311180615</v>
      </c>
      <c r="G425" s="7">
        <v>45.25</v>
      </c>
      <c r="H425" s="8">
        <v>422</v>
      </c>
      <c r="I425" s="5"/>
    </row>
    <row r="426" spans="1:9" ht="24.75" customHeight="1">
      <c r="A426" s="5">
        <v>423</v>
      </c>
      <c r="B426" s="6" t="s">
        <v>11</v>
      </c>
      <c r="C426" s="6" t="s">
        <v>12</v>
      </c>
      <c r="D426" s="6" t="str">
        <f t="shared" si="6"/>
        <v>001</v>
      </c>
      <c r="E426" s="6" t="str">
        <f>"陈琦"</f>
        <v>陈琦</v>
      </c>
      <c r="F426" s="6" t="str">
        <f>"202311181517"</f>
        <v>202311181517</v>
      </c>
      <c r="G426" s="7">
        <v>44</v>
      </c>
      <c r="H426" s="8">
        <v>423</v>
      </c>
      <c r="I426" s="5"/>
    </row>
    <row r="427" spans="1:9" ht="24.75" customHeight="1">
      <c r="A427" s="5">
        <v>424</v>
      </c>
      <c r="B427" s="6" t="s">
        <v>11</v>
      </c>
      <c r="C427" s="6" t="s">
        <v>12</v>
      </c>
      <c r="D427" s="6" t="str">
        <f t="shared" si="6"/>
        <v>001</v>
      </c>
      <c r="E427" s="6" t="str">
        <f>"莫经华"</f>
        <v>莫经华</v>
      </c>
      <c r="F427" s="6" t="str">
        <f>"202311180407"</f>
        <v>202311180407</v>
      </c>
      <c r="G427" s="7">
        <v>43.75</v>
      </c>
      <c r="H427" s="8">
        <v>424</v>
      </c>
      <c r="I427" s="5"/>
    </row>
    <row r="428" spans="1:9" ht="24.75" customHeight="1">
      <c r="A428" s="5">
        <v>425</v>
      </c>
      <c r="B428" s="6" t="s">
        <v>11</v>
      </c>
      <c r="C428" s="6" t="s">
        <v>12</v>
      </c>
      <c r="D428" s="6" t="str">
        <f t="shared" si="6"/>
        <v>001</v>
      </c>
      <c r="E428" s="6" t="str">
        <f>"卢一鸣"</f>
        <v>卢一鸣</v>
      </c>
      <c r="F428" s="6" t="str">
        <f>"202311181023"</f>
        <v>202311181023</v>
      </c>
      <c r="G428" s="7">
        <v>42.75</v>
      </c>
      <c r="H428" s="8">
        <v>425</v>
      </c>
      <c r="I428" s="5"/>
    </row>
    <row r="429" spans="1:9" ht="24.75" customHeight="1">
      <c r="A429" s="5">
        <v>426</v>
      </c>
      <c r="B429" s="6" t="s">
        <v>11</v>
      </c>
      <c r="C429" s="6" t="s">
        <v>12</v>
      </c>
      <c r="D429" s="6" t="str">
        <f t="shared" si="6"/>
        <v>001</v>
      </c>
      <c r="E429" s="6" t="str">
        <f>"李遗圣"</f>
        <v>李遗圣</v>
      </c>
      <c r="F429" s="6" t="str">
        <f>"202311180230"</f>
        <v>202311180230</v>
      </c>
      <c r="G429" s="7">
        <v>42.25</v>
      </c>
      <c r="H429" s="8">
        <v>426</v>
      </c>
      <c r="I429" s="5"/>
    </row>
    <row r="430" spans="1:9" ht="24.75" customHeight="1">
      <c r="A430" s="5">
        <v>427</v>
      </c>
      <c r="B430" s="6" t="s">
        <v>11</v>
      </c>
      <c r="C430" s="6" t="s">
        <v>12</v>
      </c>
      <c r="D430" s="6" t="str">
        <f t="shared" si="6"/>
        <v>001</v>
      </c>
      <c r="E430" s="6" t="str">
        <f>"符慧崖"</f>
        <v>符慧崖</v>
      </c>
      <c r="F430" s="6" t="str">
        <f>"202311181615"</f>
        <v>202311181615</v>
      </c>
      <c r="G430" s="7">
        <v>41</v>
      </c>
      <c r="H430" s="8">
        <v>427</v>
      </c>
      <c r="I430" s="5"/>
    </row>
    <row r="431" spans="1:9" ht="24.75" customHeight="1">
      <c r="A431" s="5">
        <v>428</v>
      </c>
      <c r="B431" s="6" t="s">
        <v>11</v>
      </c>
      <c r="C431" s="6" t="s">
        <v>12</v>
      </c>
      <c r="D431" s="6" t="str">
        <f t="shared" si="6"/>
        <v>001</v>
      </c>
      <c r="E431" s="6" t="str">
        <f>"孙云科"</f>
        <v>孙云科</v>
      </c>
      <c r="F431" s="6" t="str">
        <f>"202311182114"</f>
        <v>202311182114</v>
      </c>
      <c r="G431" s="7">
        <v>39.25</v>
      </c>
      <c r="H431" s="8">
        <v>428</v>
      </c>
      <c r="I431" s="5"/>
    </row>
    <row r="432" spans="1:9" ht="24.75" customHeight="1">
      <c r="A432" s="5">
        <v>429</v>
      </c>
      <c r="B432" s="6" t="s">
        <v>11</v>
      </c>
      <c r="C432" s="6" t="s">
        <v>12</v>
      </c>
      <c r="D432" s="6" t="str">
        <f t="shared" si="6"/>
        <v>001</v>
      </c>
      <c r="E432" s="6" t="str">
        <f>"符坚"</f>
        <v>符坚</v>
      </c>
      <c r="F432" s="6" t="str">
        <f>"202311180504"</f>
        <v>202311180504</v>
      </c>
      <c r="G432" s="7">
        <v>39</v>
      </c>
      <c r="H432" s="8">
        <v>429</v>
      </c>
      <c r="I432" s="5"/>
    </row>
    <row r="433" spans="1:9" ht="24.75" customHeight="1">
      <c r="A433" s="5">
        <v>430</v>
      </c>
      <c r="B433" s="6" t="s">
        <v>11</v>
      </c>
      <c r="C433" s="6" t="s">
        <v>12</v>
      </c>
      <c r="D433" s="6" t="str">
        <f t="shared" si="6"/>
        <v>001</v>
      </c>
      <c r="E433" s="6" t="str">
        <f>"林南希"</f>
        <v>林南希</v>
      </c>
      <c r="F433" s="6" t="str">
        <f>"202311181307"</f>
        <v>202311181307</v>
      </c>
      <c r="G433" s="7">
        <v>37.25</v>
      </c>
      <c r="H433" s="8">
        <v>430</v>
      </c>
      <c r="I433" s="5"/>
    </row>
    <row r="434" spans="1:9" ht="24.75" customHeight="1">
      <c r="A434" s="5">
        <v>431</v>
      </c>
      <c r="B434" s="6" t="s">
        <v>11</v>
      </c>
      <c r="C434" s="6" t="s">
        <v>12</v>
      </c>
      <c r="D434" s="6" t="str">
        <f t="shared" si="6"/>
        <v>001</v>
      </c>
      <c r="E434" s="6" t="str">
        <f>"龚艺"</f>
        <v>龚艺</v>
      </c>
      <c r="F434" s="6" t="str">
        <f>"202311180510"</f>
        <v>202311180510</v>
      </c>
      <c r="G434" s="7">
        <v>34.75</v>
      </c>
      <c r="H434" s="8">
        <v>431</v>
      </c>
      <c r="I434" s="5"/>
    </row>
    <row r="435" spans="1:9" ht="24.75" customHeight="1">
      <c r="A435" s="5">
        <v>432</v>
      </c>
      <c r="B435" s="6" t="s">
        <v>11</v>
      </c>
      <c r="C435" s="6" t="s">
        <v>12</v>
      </c>
      <c r="D435" s="6" t="str">
        <f t="shared" si="6"/>
        <v>001</v>
      </c>
      <c r="E435" s="6" t="str">
        <f>"陈泽晟"</f>
        <v>陈泽晟</v>
      </c>
      <c r="F435" s="6" t="str">
        <f>"202311180203"</f>
        <v>202311180203</v>
      </c>
      <c r="G435" s="7">
        <v>30.25</v>
      </c>
      <c r="H435" s="8">
        <v>432</v>
      </c>
      <c r="I435" s="5"/>
    </row>
    <row r="436" spans="1:9" ht="24.75" customHeight="1">
      <c r="A436" s="5">
        <v>433</v>
      </c>
      <c r="B436" s="6" t="s">
        <v>11</v>
      </c>
      <c r="C436" s="6" t="s">
        <v>12</v>
      </c>
      <c r="D436" s="6" t="str">
        <f t="shared" si="6"/>
        <v>001</v>
      </c>
      <c r="E436" s="6" t="str">
        <f>"罗圣瑜"</f>
        <v>罗圣瑜</v>
      </c>
      <c r="F436" s="6" t="str">
        <f>"202311180319"</f>
        <v>202311180319</v>
      </c>
      <c r="G436" s="7">
        <v>30</v>
      </c>
      <c r="H436" s="8">
        <v>433</v>
      </c>
      <c r="I436" s="5"/>
    </row>
    <row r="437" spans="1:9" ht="24.75" customHeight="1">
      <c r="A437" s="5">
        <v>434</v>
      </c>
      <c r="B437" s="6" t="s">
        <v>11</v>
      </c>
      <c r="C437" s="6" t="s">
        <v>12</v>
      </c>
      <c r="D437" s="6" t="str">
        <f t="shared" si="6"/>
        <v>001</v>
      </c>
      <c r="E437" s="6" t="str">
        <f>"符鹏涛"</f>
        <v>符鹏涛</v>
      </c>
      <c r="F437" s="6" t="str">
        <f>"202311181420"</f>
        <v>202311181420</v>
      </c>
      <c r="G437" s="7">
        <v>16.25</v>
      </c>
      <c r="H437" s="8">
        <v>434</v>
      </c>
      <c r="I437" s="5"/>
    </row>
    <row r="438" spans="1:9" ht="24.75" customHeight="1">
      <c r="A438" s="5">
        <v>435</v>
      </c>
      <c r="B438" s="6" t="s">
        <v>11</v>
      </c>
      <c r="C438" s="6" t="s">
        <v>12</v>
      </c>
      <c r="D438" s="6" t="str">
        <f t="shared" si="6"/>
        <v>001</v>
      </c>
      <c r="E438" s="6" t="str">
        <f>"王小云"</f>
        <v>王小云</v>
      </c>
      <c r="F438" s="6" t="str">
        <f>"202311180118"</f>
        <v>202311180118</v>
      </c>
      <c r="G438" s="7">
        <v>0</v>
      </c>
      <c r="H438" s="9" t="s">
        <v>13</v>
      </c>
      <c r="I438" s="10" t="s">
        <v>14</v>
      </c>
    </row>
    <row r="439" spans="1:9" ht="24.75" customHeight="1">
      <c r="A439" s="5">
        <v>436</v>
      </c>
      <c r="B439" s="6" t="s">
        <v>11</v>
      </c>
      <c r="C439" s="6" t="s">
        <v>12</v>
      </c>
      <c r="D439" s="6" t="str">
        <f t="shared" si="6"/>
        <v>001</v>
      </c>
      <c r="E439" s="6" t="str">
        <f>"符策文"</f>
        <v>符策文</v>
      </c>
      <c r="F439" s="6" t="str">
        <f>"202311181504"</f>
        <v>202311181504</v>
      </c>
      <c r="G439" s="7">
        <v>0</v>
      </c>
      <c r="H439" s="9" t="s">
        <v>13</v>
      </c>
      <c r="I439" s="10" t="s">
        <v>14</v>
      </c>
    </row>
    <row r="440" spans="1:9" ht="24.75" customHeight="1">
      <c r="A440" s="5">
        <v>437</v>
      </c>
      <c r="B440" s="6" t="s">
        <v>11</v>
      </c>
      <c r="C440" s="6" t="s">
        <v>12</v>
      </c>
      <c r="D440" s="6" t="str">
        <f t="shared" si="6"/>
        <v>001</v>
      </c>
      <c r="E440" s="6" t="str">
        <f>"肖连丁"</f>
        <v>肖连丁</v>
      </c>
      <c r="F440" s="6" t="str">
        <f>"202311180103"</f>
        <v>202311180103</v>
      </c>
      <c r="G440" s="7">
        <v>0</v>
      </c>
      <c r="H440" s="9" t="s">
        <v>13</v>
      </c>
      <c r="I440" s="10" t="s">
        <v>14</v>
      </c>
    </row>
    <row r="441" spans="1:9" ht="24.75" customHeight="1">
      <c r="A441" s="5">
        <v>438</v>
      </c>
      <c r="B441" s="6" t="s">
        <v>11</v>
      </c>
      <c r="C441" s="6" t="s">
        <v>12</v>
      </c>
      <c r="D441" s="6" t="str">
        <f t="shared" si="6"/>
        <v>001</v>
      </c>
      <c r="E441" s="6" t="str">
        <f>"王承龙"</f>
        <v>王承龙</v>
      </c>
      <c r="F441" s="6" t="str">
        <f>"202311180106"</f>
        <v>202311180106</v>
      </c>
      <c r="G441" s="7">
        <v>0</v>
      </c>
      <c r="H441" s="9" t="s">
        <v>13</v>
      </c>
      <c r="I441" s="10" t="s">
        <v>14</v>
      </c>
    </row>
    <row r="442" spans="1:9" ht="24.75" customHeight="1">
      <c r="A442" s="5">
        <v>439</v>
      </c>
      <c r="B442" s="6" t="s">
        <v>11</v>
      </c>
      <c r="C442" s="6" t="s">
        <v>12</v>
      </c>
      <c r="D442" s="6" t="str">
        <f t="shared" si="6"/>
        <v>001</v>
      </c>
      <c r="E442" s="6" t="str">
        <f>"吉才鹰"</f>
        <v>吉才鹰</v>
      </c>
      <c r="F442" s="6" t="str">
        <f>"202311180111"</f>
        <v>202311180111</v>
      </c>
      <c r="G442" s="7">
        <v>0</v>
      </c>
      <c r="H442" s="9" t="s">
        <v>13</v>
      </c>
      <c r="I442" s="10" t="s">
        <v>14</v>
      </c>
    </row>
    <row r="443" spans="1:9" ht="24.75" customHeight="1">
      <c r="A443" s="5">
        <v>440</v>
      </c>
      <c r="B443" s="6" t="s">
        <v>11</v>
      </c>
      <c r="C443" s="6" t="s">
        <v>12</v>
      </c>
      <c r="D443" s="6" t="str">
        <f t="shared" si="6"/>
        <v>001</v>
      </c>
      <c r="E443" s="6" t="str">
        <f>"朱佳艺"</f>
        <v>朱佳艺</v>
      </c>
      <c r="F443" s="6" t="str">
        <f>"202311180112"</f>
        <v>202311180112</v>
      </c>
      <c r="G443" s="7">
        <v>0</v>
      </c>
      <c r="H443" s="9" t="s">
        <v>13</v>
      </c>
      <c r="I443" s="10" t="s">
        <v>14</v>
      </c>
    </row>
    <row r="444" spans="1:9" ht="24.75" customHeight="1">
      <c r="A444" s="5">
        <v>441</v>
      </c>
      <c r="B444" s="6" t="s">
        <v>11</v>
      </c>
      <c r="C444" s="6" t="s">
        <v>12</v>
      </c>
      <c r="D444" s="6" t="str">
        <f t="shared" si="6"/>
        <v>001</v>
      </c>
      <c r="E444" s="6" t="str">
        <f>"羊英瑛"</f>
        <v>羊英瑛</v>
      </c>
      <c r="F444" s="6" t="str">
        <f>"202311180113"</f>
        <v>202311180113</v>
      </c>
      <c r="G444" s="7">
        <v>0</v>
      </c>
      <c r="H444" s="9" t="s">
        <v>13</v>
      </c>
      <c r="I444" s="10" t="s">
        <v>14</v>
      </c>
    </row>
    <row r="445" spans="1:9" ht="24.75" customHeight="1">
      <c r="A445" s="5">
        <v>442</v>
      </c>
      <c r="B445" s="6" t="s">
        <v>11</v>
      </c>
      <c r="C445" s="6" t="s">
        <v>12</v>
      </c>
      <c r="D445" s="6" t="str">
        <f t="shared" si="6"/>
        <v>001</v>
      </c>
      <c r="E445" s="6" t="str">
        <f>"陈冰"</f>
        <v>陈冰</v>
      </c>
      <c r="F445" s="6" t="str">
        <f>"202311180116"</f>
        <v>202311180116</v>
      </c>
      <c r="G445" s="7">
        <v>0</v>
      </c>
      <c r="H445" s="9" t="s">
        <v>13</v>
      </c>
      <c r="I445" s="10" t="s">
        <v>14</v>
      </c>
    </row>
    <row r="446" spans="1:9" ht="24.75" customHeight="1">
      <c r="A446" s="5">
        <v>443</v>
      </c>
      <c r="B446" s="6" t="s">
        <v>11</v>
      </c>
      <c r="C446" s="6" t="s">
        <v>12</v>
      </c>
      <c r="D446" s="6" t="str">
        <f t="shared" si="6"/>
        <v>001</v>
      </c>
      <c r="E446" s="6" t="str">
        <f>"陈莹"</f>
        <v>陈莹</v>
      </c>
      <c r="F446" s="6" t="str">
        <f>"202311180119"</f>
        <v>202311180119</v>
      </c>
      <c r="G446" s="7">
        <v>0</v>
      </c>
      <c r="H446" s="9" t="s">
        <v>13</v>
      </c>
      <c r="I446" s="10" t="s">
        <v>14</v>
      </c>
    </row>
    <row r="447" spans="1:9" ht="24.75" customHeight="1">
      <c r="A447" s="5">
        <v>444</v>
      </c>
      <c r="B447" s="6" t="s">
        <v>11</v>
      </c>
      <c r="C447" s="6" t="s">
        <v>12</v>
      </c>
      <c r="D447" s="6" t="str">
        <f t="shared" si="6"/>
        <v>001</v>
      </c>
      <c r="E447" s="6" t="str">
        <f>"卓美玲"</f>
        <v>卓美玲</v>
      </c>
      <c r="F447" s="6" t="str">
        <f>"202311180122"</f>
        <v>202311180122</v>
      </c>
      <c r="G447" s="7">
        <v>0</v>
      </c>
      <c r="H447" s="9" t="s">
        <v>13</v>
      </c>
      <c r="I447" s="10" t="s">
        <v>14</v>
      </c>
    </row>
    <row r="448" spans="1:9" ht="24.75" customHeight="1">
      <c r="A448" s="5">
        <v>445</v>
      </c>
      <c r="B448" s="6" t="s">
        <v>11</v>
      </c>
      <c r="C448" s="6" t="s">
        <v>12</v>
      </c>
      <c r="D448" s="6" t="str">
        <f t="shared" si="6"/>
        <v>001</v>
      </c>
      <c r="E448" s="6" t="str">
        <f>"刘俨震"</f>
        <v>刘俨震</v>
      </c>
      <c r="F448" s="6" t="str">
        <f>"202311180124"</f>
        <v>202311180124</v>
      </c>
      <c r="G448" s="7">
        <v>0</v>
      </c>
      <c r="H448" s="9" t="s">
        <v>13</v>
      </c>
      <c r="I448" s="10" t="s">
        <v>14</v>
      </c>
    </row>
    <row r="449" spans="1:9" ht="24.75" customHeight="1">
      <c r="A449" s="5">
        <v>446</v>
      </c>
      <c r="B449" s="6" t="s">
        <v>11</v>
      </c>
      <c r="C449" s="6" t="s">
        <v>12</v>
      </c>
      <c r="D449" s="6" t="str">
        <f t="shared" si="6"/>
        <v>001</v>
      </c>
      <c r="E449" s="6" t="str">
        <f>"梁小南"</f>
        <v>梁小南</v>
      </c>
      <c r="F449" s="6" t="str">
        <f>"202311180125"</f>
        <v>202311180125</v>
      </c>
      <c r="G449" s="7">
        <v>0</v>
      </c>
      <c r="H449" s="9" t="s">
        <v>13</v>
      </c>
      <c r="I449" s="10" t="s">
        <v>14</v>
      </c>
    </row>
    <row r="450" spans="1:9" ht="24.75" customHeight="1">
      <c r="A450" s="5">
        <v>447</v>
      </c>
      <c r="B450" s="6" t="s">
        <v>11</v>
      </c>
      <c r="C450" s="6" t="s">
        <v>12</v>
      </c>
      <c r="D450" s="6" t="str">
        <f t="shared" si="6"/>
        <v>001</v>
      </c>
      <c r="E450" s="6" t="str">
        <f>"王力辉"</f>
        <v>王力辉</v>
      </c>
      <c r="F450" s="6" t="str">
        <f>"202311180127"</f>
        <v>202311180127</v>
      </c>
      <c r="G450" s="7">
        <v>0</v>
      </c>
      <c r="H450" s="9" t="s">
        <v>13</v>
      </c>
      <c r="I450" s="10" t="s">
        <v>14</v>
      </c>
    </row>
    <row r="451" spans="1:9" ht="24.75" customHeight="1">
      <c r="A451" s="5">
        <v>448</v>
      </c>
      <c r="B451" s="6" t="s">
        <v>11</v>
      </c>
      <c r="C451" s="6" t="s">
        <v>12</v>
      </c>
      <c r="D451" s="6" t="str">
        <f t="shared" si="6"/>
        <v>001</v>
      </c>
      <c r="E451" s="6" t="str">
        <f>"王晓琪"</f>
        <v>王晓琪</v>
      </c>
      <c r="F451" s="6" t="str">
        <f>"202311180204"</f>
        <v>202311180204</v>
      </c>
      <c r="G451" s="7">
        <v>0</v>
      </c>
      <c r="H451" s="9" t="s">
        <v>13</v>
      </c>
      <c r="I451" s="10" t="s">
        <v>14</v>
      </c>
    </row>
    <row r="452" spans="1:9" ht="24.75" customHeight="1">
      <c r="A452" s="5">
        <v>449</v>
      </c>
      <c r="B452" s="6" t="s">
        <v>11</v>
      </c>
      <c r="C452" s="6" t="s">
        <v>12</v>
      </c>
      <c r="D452" s="6" t="str">
        <f aca="true" t="shared" si="7" ref="D452:D515">"001"</f>
        <v>001</v>
      </c>
      <c r="E452" s="6" t="str">
        <f>"洪敏"</f>
        <v>洪敏</v>
      </c>
      <c r="F452" s="6" t="str">
        <f>"202311180206"</f>
        <v>202311180206</v>
      </c>
      <c r="G452" s="7">
        <v>0</v>
      </c>
      <c r="H452" s="9" t="s">
        <v>13</v>
      </c>
      <c r="I452" s="10" t="s">
        <v>14</v>
      </c>
    </row>
    <row r="453" spans="1:9" ht="24.75" customHeight="1">
      <c r="A453" s="5">
        <v>450</v>
      </c>
      <c r="B453" s="6" t="s">
        <v>11</v>
      </c>
      <c r="C453" s="6" t="s">
        <v>12</v>
      </c>
      <c r="D453" s="6" t="str">
        <f t="shared" si="7"/>
        <v>001</v>
      </c>
      <c r="E453" s="6" t="str">
        <f>"刘凯"</f>
        <v>刘凯</v>
      </c>
      <c r="F453" s="6" t="str">
        <f>"202311180207"</f>
        <v>202311180207</v>
      </c>
      <c r="G453" s="7">
        <v>0</v>
      </c>
      <c r="H453" s="9" t="s">
        <v>13</v>
      </c>
      <c r="I453" s="10" t="s">
        <v>14</v>
      </c>
    </row>
    <row r="454" spans="1:9" ht="24.75" customHeight="1">
      <c r="A454" s="5">
        <v>451</v>
      </c>
      <c r="B454" s="6" t="s">
        <v>11</v>
      </c>
      <c r="C454" s="6" t="s">
        <v>12</v>
      </c>
      <c r="D454" s="6" t="str">
        <f t="shared" si="7"/>
        <v>001</v>
      </c>
      <c r="E454" s="6" t="str">
        <f>"王松"</f>
        <v>王松</v>
      </c>
      <c r="F454" s="6" t="str">
        <f>"202311180209"</f>
        <v>202311180209</v>
      </c>
      <c r="G454" s="7">
        <v>0</v>
      </c>
      <c r="H454" s="9" t="s">
        <v>13</v>
      </c>
      <c r="I454" s="10" t="s">
        <v>14</v>
      </c>
    </row>
    <row r="455" spans="1:9" ht="24.75" customHeight="1">
      <c r="A455" s="5">
        <v>452</v>
      </c>
      <c r="B455" s="6" t="s">
        <v>11</v>
      </c>
      <c r="C455" s="6" t="s">
        <v>12</v>
      </c>
      <c r="D455" s="6" t="str">
        <f t="shared" si="7"/>
        <v>001</v>
      </c>
      <c r="E455" s="6" t="str">
        <f>"赵园园"</f>
        <v>赵园园</v>
      </c>
      <c r="F455" s="6" t="str">
        <f>"202311180210"</f>
        <v>202311180210</v>
      </c>
      <c r="G455" s="7">
        <v>0</v>
      </c>
      <c r="H455" s="9" t="s">
        <v>13</v>
      </c>
      <c r="I455" s="10" t="s">
        <v>14</v>
      </c>
    </row>
    <row r="456" spans="1:9" ht="24.75" customHeight="1">
      <c r="A456" s="5">
        <v>453</v>
      </c>
      <c r="B456" s="6" t="s">
        <v>11</v>
      </c>
      <c r="C456" s="6" t="s">
        <v>12</v>
      </c>
      <c r="D456" s="6" t="str">
        <f t="shared" si="7"/>
        <v>001</v>
      </c>
      <c r="E456" s="6" t="str">
        <f>"钟佳洁"</f>
        <v>钟佳洁</v>
      </c>
      <c r="F456" s="6" t="str">
        <f>"202311180212"</f>
        <v>202311180212</v>
      </c>
      <c r="G456" s="7">
        <v>0</v>
      </c>
      <c r="H456" s="9" t="s">
        <v>13</v>
      </c>
      <c r="I456" s="10" t="s">
        <v>14</v>
      </c>
    </row>
    <row r="457" spans="1:9" ht="24.75" customHeight="1">
      <c r="A457" s="5">
        <v>454</v>
      </c>
      <c r="B457" s="6" t="s">
        <v>11</v>
      </c>
      <c r="C457" s="6" t="s">
        <v>12</v>
      </c>
      <c r="D457" s="6" t="str">
        <f t="shared" si="7"/>
        <v>001</v>
      </c>
      <c r="E457" s="6" t="str">
        <f>"曾洁"</f>
        <v>曾洁</v>
      </c>
      <c r="F457" s="6" t="str">
        <f>"202311180215"</f>
        <v>202311180215</v>
      </c>
      <c r="G457" s="7">
        <v>0</v>
      </c>
      <c r="H457" s="9" t="s">
        <v>13</v>
      </c>
      <c r="I457" s="10" t="s">
        <v>14</v>
      </c>
    </row>
    <row r="458" spans="1:9" ht="24.75" customHeight="1">
      <c r="A458" s="5">
        <v>455</v>
      </c>
      <c r="B458" s="6" t="s">
        <v>11</v>
      </c>
      <c r="C458" s="6" t="s">
        <v>12</v>
      </c>
      <c r="D458" s="6" t="str">
        <f t="shared" si="7"/>
        <v>001</v>
      </c>
      <c r="E458" s="6" t="str">
        <f>"黄桂"</f>
        <v>黄桂</v>
      </c>
      <c r="F458" s="6" t="str">
        <f>"202311180222"</f>
        <v>202311180222</v>
      </c>
      <c r="G458" s="7">
        <v>0</v>
      </c>
      <c r="H458" s="9" t="s">
        <v>13</v>
      </c>
      <c r="I458" s="10" t="s">
        <v>14</v>
      </c>
    </row>
    <row r="459" spans="1:9" ht="24.75" customHeight="1">
      <c r="A459" s="5">
        <v>456</v>
      </c>
      <c r="B459" s="6" t="s">
        <v>11</v>
      </c>
      <c r="C459" s="6" t="s">
        <v>12</v>
      </c>
      <c r="D459" s="6" t="str">
        <f t="shared" si="7"/>
        <v>001</v>
      </c>
      <c r="E459" s="6" t="str">
        <f>"沈存腾"</f>
        <v>沈存腾</v>
      </c>
      <c r="F459" s="6" t="str">
        <f>"202311180223"</f>
        <v>202311180223</v>
      </c>
      <c r="G459" s="7">
        <v>0</v>
      </c>
      <c r="H459" s="9" t="s">
        <v>13</v>
      </c>
      <c r="I459" s="10" t="s">
        <v>14</v>
      </c>
    </row>
    <row r="460" spans="1:9" ht="24.75" customHeight="1">
      <c r="A460" s="5">
        <v>457</v>
      </c>
      <c r="B460" s="6" t="s">
        <v>11</v>
      </c>
      <c r="C460" s="6" t="s">
        <v>12</v>
      </c>
      <c r="D460" s="6" t="str">
        <f t="shared" si="7"/>
        <v>001</v>
      </c>
      <c r="E460" s="6" t="str">
        <f>"王宗靖"</f>
        <v>王宗靖</v>
      </c>
      <c r="F460" s="6" t="str">
        <f>"202311180224"</f>
        <v>202311180224</v>
      </c>
      <c r="G460" s="7">
        <v>0</v>
      </c>
      <c r="H460" s="9" t="s">
        <v>13</v>
      </c>
      <c r="I460" s="10" t="s">
        <v>14</v>
      </c>
    </row>
    <row r="461" spans="1:9" ht="24.75" customHeight="1">
      <c r="A461" s="5">
        <v>458</v>
      </c>
      <c r="B461" s="6" t="s">
        <v>11</v>
      </c>
      <c r="C461" s="6" t="s">
        <v>12</v>
      </c>
      <c r="D461" s="6" t="str">
        <f t="shared" si="7"/>
        <v>001</v>
      </c>
      <c r="E461" s="6" t="str">
        <f>"黎梦露"</f>
        <v>黎梦露</v>
      </c>
      <c r="F461" s="6" t="str">
        <f>"202311180228"</f>
        <v>202311180228</v>
      </c>
      <c r="G461" s="7">
        <v>0</v>
      </c>
      <c r="H461" s="9" t="s">
        <v>13</v>
      </c>
      <c r="I461" s="10" t="s">
        <v>14</v>
      </c>
    </row>
    <row r="462" spans="1:9" ht="24.75" customHeight="1">
      <c r="A462" s="5">
        <v>459</v>
      </c>
      <c r="B462" s="6" t="s">
        <v>11</v>
      </c>
      <c r="C462" s="6" t="s">
        <v>12</v>
      </c>
      <c r="D462" s="6" t="str">
        <f t="shared" si="7"/>
        <v>001</v>
      </c>
      <c r="E462" s="6" t="str">
        <f>"符以全"</f>
        <v>符以全</v>
      </c>
      <c r="F462" s="6" t="str">
        <f>"202311180229"</f>
        <v>202311180229</v>
      </c>
      <c r="G462" s="7">
        <v>0</v>
      </c>
      <c r="H462" s="9" t="s">
        <v>13</v>
      </c>
      <c r="I462" s="10" t="s">
        <v>14</v>
      </c>
    </row>
    <row r="463" spans="1:9" ht="24.75" customHeight="1">
      <c r="A463" s="5">
        <v>460</v>
      </c>
      <c r="B463" s="6" t="s">
        <v>11</v>
      </c>
      <c r="C463" s="6" t="s">
        <v>12</v>
      </c>
      <c r="D463" s="6" t="str">
        <f t="shared" si="7"/>
        <v>001</v>
      </c>
      <c r="E463" s="6" t="str">
        <f>"林树锦"</f>
        <v>林树锦</v>
      </c>
      <c r="F463" s="6" t="str">
        <f>"202311180301"</f>
        <v>202311180301</v>
      </c>
      <c r="G463" s="7">
        <v>0</v>
      </c>
      <c r="H463" s="9" t="s">
        <v>13</v>
      </c>
      <c r="I463" s="10" t="s">
        <v>14</v>
      </c>
    </row>
    <row r="464" spans="1:9" ht="24.75" customHeight="1">
      <c r="A464" s="5">
        <v>461</v>
      </c>
      <c r="B464" s="6" t="s">
        <v>11</v>
      </c>
      <c r="C464" s="6" t="s">
        <v>12</v>
      </c>
      <c r="D464" s="6" t="str">
        <f t="shared" si="7"/>
        <v>001</v>
      </c>
      <c r="E464" s="6" t="str">
        <f>"刘燕萍"</f>
        <v>刘燕萍</v>
      </c>
      <c r="F464" s="6" t="str">
        <f>"202311180302"</f>
        <v>202311180302</v>
      </c>
      <c r="G464" s="7">
        <v>0</v>
      </c>
      <c r="H464" s="9" t="s">
        <v>13</v>
      </c>
      <c r="I464" s="10" t="s">
        <v>14</v>
      </c>
    </row>
    <row r="465" spans="1:9" ht="24.75" customHeight="1">
      <c r="A465" s="5">
        <v>462</v>
      </c>
      <c r="B465" s="6" t="s">
        <v>11</v>
      </c>
      <c r="C465" s="6" t="s">
        <v>12</v>
      </c>
      <c r="D465" s="6" t="str">
        <f t="shared" si="7"/>
        <v>001</v>
      </c>
      <c r="E465" s="6" t="str">
        <f>"陈淑玲"</f>
        <v>陈淑玲</v>
      </c>
      <c r="F465" s="6" t="str">
        <f>"202311180306"</f>
        <v>202311180306</v>
      </c>
      <c r="G465" s="7">
        <v>0</v>
      </c>
      <c r="H465" s="9" t="s">
        <v>13</v>
      </c>
      <c r="I465" s="10" t="s">
        <v>14</v>
      </c>
    </row>
    <row r="466" spans="1:9" ht="24.75" customHeight="1">
      <c r="A466" s="5">
        <v>463</v>
      </c>
      <c r="B466" s="6" t="s">
        <v>11</v>
      </c>
      <c r="C466" s="6" t="s">
        <v>12</v>
      </c>
      <c r="D466" s="6" t="str">
        <f t="shared" si="7"/>
        <v>001</v>
      </c>
      <c r="E466" s="6" t="str">
        <f>"符史阳"</f>
        <v>符史阳</v>
      </c>
      <c r="F466" s="6" t="str">
        <f>"202311180308"</f>
        <v>202311180308</v>
      </c>
      <c r="G466" s="7">
        <v>0</v>
      </c>
      <c r="H466" s="9" t="s">
        <v>13</v>
      </c>
      <c r="I466" s="10" t="s">
        <v>14</v>
      </c>
    </row>
    <row r="467" spans="1:9" ht="24.75" customHeight="1">
      <c r="A467" s="5">
        <v>464</v>
      </c>
      <c r="B467" s="6" t="s">
        <v>11</v>
      </c>
      <c r="C467" s="6" t="s">
        <v>12</v>
      </c>
      <c r="D467" s="6" t="str">
        <f t="shared" si="7"/>
        <v>001</v>
      </c>
      <c r="E467" s="6" t="str">
        <f>"王康镇"</f>
        <v>王康镇</v>
      </c>
      <c r="F467" s="6" t="str">
        <f>"202311180309"</f>
        <v>202311180309</v>
      </c>
      <c r="G467" s="7">
        <v>0</v>
      </c>
      <c r="H467" s="9" t="s">
        <v>13</v>
      </c>
      <c r="I467" s="10" t="s">
        <v>14</v>
      </c>
    </row>
    <row r="468" spans="1:9" ht="24.75" customHeight="1">
      <c r="A468" s="5">
        <v>465</v>
      </c>
      <c r="B468" s="6" t="s">
        <v>11</v>
      </c>
      <c r="C468" s="6" t="s">
        <v>12</v>
      </c>
      <c r="D468" s="6" t="str">
        <f t="shared" si="7"/>
        <v>001</v>
      </c>
      <c r="E468" s="6" t="str">
        <f>"林曼妮"</f>
        <v>林曼妮</v>
      </c>
      <c r="F468" s="6" t="str">
        <f>"202311180310"</f>
        <v>202311180310</v>
      </c>
      <c r="G468" s="7">
        <v>0</v>
      </c>
      <c r="H468" s="9" t="s">
        <v>13</v>
      </c>
      <c r="I468" s="10" t="s">
        <v>14</v>
      </c>
    </row>
    <row r="469" spans="1:9" ht="24.75" customHeight="1">
      <c r="A469" s="5">
        <v>466</v>
      </c>
      <c r="B469" s="6" t="s">
        <v>11</v>
      </c>
      <c r="C469" s="6" t="s">
        <v>12</v>
      </c>
      <c r="D469" s="6" t="str">
        <f t="shared" si="7"/>
        <v>001</v>
      </c>
      <c r="E469" s="6" t="str">
        <f>"赵家英"</f>
        <v>赵家英</v>
      </c>
      <c r="F469" s="6" t="str">
        <f>"202311180316"</f>
        <v>202311180316</v>
      </c>
      <c r="G469" s="7">
        <v>0</v>
      </c>
      <c r="H469" s="9" t="s">
        <v>13</v>
      </c>
      <c r="I469" s="10" t="s">
        <v>14</v>
      </c>
    </row>
    <row r="470" spans="1:9" ht="24.75" customHeight="1">
      <c r="A470" s="5">
        <v>467</v>
      </c>
      <c r="B470" s="6" t="s">
        <v>11</v>
      </c>
      <c r="C470" s="6" t="s">
        <v>12</v>
      </c>
      <c r="D470" s="6" t="str">
        <f t="shared" si="7"/>
        <v>001</v>
      </c>
      <c r="E470" s="6" t="str">
        <f>"李雯婷"</f>
        <v>李雯婷</v>
      </c>
      <c r="F470" s="6" t="str">
        <f>"202311180318"</f>
        <v>202311180318</v>
      </c>
      <c r="G470" s="7">
        <v>0</v>
      </c>
      <c r="H470" s="9" t="s">
        <v>13</v>
      </c>
      <c r="I470" s="10" t="s">
        <v>14</v>
      </c>
    </row>
    <row r="471" spans="1:9" ht="24.75" customHeight="1">
      <c r="A471" s="5">
        <v>468</v>
      </c>
      <c r="B471" s="6" t="s">
        <v>11</v>
      </c>
      <c r="C471" s="6" t="s">
        <v>12</v>
      </c>
      <c r="D471" s="6" t="str">
        <f t="shared" si="7"/>
        <v>001</v>
      </c>
      <c r="E471" s="6" t="str">
        <f>"郭金伟"</f>
        <v>郭金伟</v>
      </c>
      <c r="F471" s="6" t="str">
        <f>"202311180327"</f>
        <v>202311180327</v>
      </c>
      <c r="G471" s="7">
        <v>0</v>
      </c>
      <c r="H471" s="9" t="s">
        <v>13</v>
      </c>
      <c r="I471" s="10" t="s">
        <v>14</v>
      </c>
    </row>
    <row r="472" spans="1:9" ht="24.75" customHeight="1">
      <c r="A472" s="5">
        <v>469</v>
      </c>
      <c r="B472" s="6" t="s">
        <v>11</v>
      </c>
      <c r="C472" s="6" t="s">
        <v>12</v>
      </c>
      <c r="D472" s="6" t="str">
        <f t="shared" si="7"/>
        <v>001</v>
      </c>
      <c r="E472" s="6" t="str">
        <f>"徐辉婷"</f>
        <v>徐辉婷</v>
      </c>
      <c r="F472" s="6" t="str">
        <f>"202311180328"</f>
        <v>202311180328</v>
      </c>
      <c r="G472" s="7">
        <v>0</v>
      </c>
      <c r="H472" s="9" t="s">
        <v>13</v>
      </c>
      <c r="I472" s="10" t="s">
        <v>14</v>
      </c>
    </row>
    <row r="473" spans="1:9" ht="24.75" customHeight="1">
      <c r="A473" s="5">
        <v>470</v>
      </c>
      <c r="B473" s="6" t="s">
        <v>11</v>
      </c>
      <c r="C473" s="6" t="s">
        <v>12</v>
      </c>
      <c r="D473" s="6" t="str">
        <f t="shared" si="7"/>
        <v>001</v>
      </c>
      <c r="E473" s="6" t="str">
        <f>"曾祥慧"</f>
        <v>曾祥慧</v>
      </c>
      <c r="F473" s="6" t="str">
        <f>"202311180329"</f>
        <v>202311180329</v>
      </c>
      <c r="G473" s="7">
        <v>0</v>
      </c>
      <c r="H473" s="9" t="s">
        <v>13</v>
      </c>
      <c r="I473" s="10" t="s">
        <v>14</v>
      </c>
    </row>
    <row r="474" spans="1:9" ht="24.75" customHeight="1">
      <c r="A474" s="5">
        <v>471</v>
      </c>
      <c r="B474" s="6" t="s">
        <v>11</v>
      </c>
      <c r="C474" s="6" t="s">
        <v>12</v>
      </c>
      <c r="D474" s="6" t="str">
        <f t="shared" si="7"/>
        <v>001</v>
      </c>
      <c r="E474" s="6" t="str">
        <f>"胡春红"</f>
        <v>胡春红</v>
      </c>
      <c r="F474" s="6" t="str">
        <f>"202311180401"</f>
        <v>202311180401</v>
      </c>
      <c r="G474" s="7">
        <v>0</v>
      </c>
      <c r="H474" s="9" t="s">
        <v>13</v>
      </c>
      <c r="I474" s="10" t="s">
        <v>14</v>
      </c>
    </row>
    <row r="475" spans="1:9" ht="24.75" customHeight="1">
      <c r="A475" s="5">
        <v>472</v>
      </c>
      <c r="B475" s="6" t="s">
        <v>11</v>
      </c>
      <c r="C475" s="6" t="s">
        <v>12</v>
      </c>
      <c r="D475" s="6" t="str">
        <f t="shared" si="7"/>
        <v>001</v>
      </c>
      <c r="E475" s="6" t="str">
        <f>"李雪馨"</f>
        <v>李雪馨</v>
      </c>
      <c r="F475" s="6" t="str">
        <f>"202311180402"</f>
        <v>202311180402</v>
      </c>
      <c r="G475" s="7">
        <v>0</v>
      </c>
      <c r="H475" s="9" t="s">
        <v>13</v>
      </c>
      <c r="I475" s="10" t="s">
        <v>14</v>
      </c>
    </row>
    <row r="476" spans="1:9" ht="24.75" customHeight="1">
      <c r="A476" s="5">
        <v>473</v>
      </c>
      <c r="B476" s="6" t="s">
        <v>11</v>
      </c>
      <c r="C476" s="6" t="s">
        <v>12</v>
      </c>
      <c r="D476" s="6" t="str">
        <f t="shared" si="7"/>
        <v>001</v>
      </c>
      <c r="E476" s="6" t="str">
        <f>"田积明"</f>
        <v>田积明</v>
      </c>
      <c r="F476" s="6" t="str">
        <f>"202311180404"</f>
        <v>202311180404</v>
      </c>
      <c r="G476" s="7">
        <v>0</v>
      </c>
      <c r="H476" s="9" t="s">
        <v>13</v>
      </c>
      <c r="I476" s="10" t="s">
        <v>14</v>
      </c>
    </row>
    <row r="477" spans="1:9" ht="24.75" customHeight="1">
      <c r="A477" s="5">
        <v>474</v>
      </c>
      <c r="B477" s="6" t="s">
        <v>11</v>
      </c>
      <c r="C477" s="6" t="s">
        <v>12</v>
      </c>
      <c r="D477" s="6" t="str">
        <f t="shared" si="7"/>
        <v>001</v>
      </c>
      <c r="E477" s="6" t="str">
        <f>"陈明发"</f>
        <v>陈明发</v>
      </c>
      <c r="F477" s="6" t="str">
        <f>"202311180405"</f>
        <v>202311180405</v>
      </c>
      <c r="G477" s="7">
        <v>0</v>
      </c>
      <c r="H477" s="9" t="s">
        <v>13</v>
      </c>
      <c r="I477" s="10" t="s">
        <v>14</v>
      </c>
    </row>
    <row r="478" spans="1:9" ht="24.75" customHeight="1">
      <c r="A478" s="5">
        <v>475</v>
      </c>
      <c r="B478" s="6" t="s">
        <v>11</v>
      </c>
      <c r="C478" s="6" t="s">
        <v>12</v>
      </c>
      <c r="D478" s="6" t="str">
        <f t="shared" si="7"/>
        <v>001</v>
      </c>
      <c r="E478" s="6" t="str">
        <f>"吴夏蕊"</f>
        <v>吴夏蕊</v>
      </c>
      <c r="F478" s="6" t="str">
        <f>"202311180409"</f>
        <v>202311180409</v>
      </c>
      <c r="G478" s="7">
        <v>0</v>
      </c>
      <c r="H478" s="9" t="s">
        <v>13</v>
      </c>
      <c r="I478" s="10" t="s">
        <v>14</v>
      </c>
    </row>
    <row r="479" spans="1:9" ht="24.75" customHeight="1">
      <c r="A479" s="5">
        <v>476</v>
      </c>
      <c r="B479" s="6" t="s">
        <v>11</v>
      </c>
      <c r="C479" s="6" t="s">
        <v>12</v>
      </c>
      <c r="D479" s="6" t="str">
        <f t="shared" si="7"/>
        <v>001</v>
      </c>
      <c r="E479" s="6" t="str">
        <f>"徐歆"</f>
        <v>徐歆</v>
      </c>
      <c r="F479" s="6" t="str">
        <f>"202311180410"</f>
        <v>202311180410</v>
      </c>
      <c r="G479" s="7">
        <v>0</v>
      </c>
      <c r="H479" s="9" t="s">
        <v>13</v>
      </c>
      <c r="I479" s="10" t="s">
        <v>14</v>
      </c>
    </row>
    <row r="480" spans="1:9" ht="24.75" customHeight="1">
      <c r="A480" s="5">
        <v>477</v>
      </c>
      <c r="B480" s="6" t="s">
        <v>11</v>
      </c>
      <c r="C480" s="6" t="s">
        <v>12</v>
      </c>
      <c r="D480" s="6" t="str">
        <f t="shared" si="7"/>
        <v>001</v>
      </c>
      <c r="E480" s="6" t="str">
        <f>"张著桢"</f>
        <v>张著桢</v>
      </c>
      <c r="F480" s="6" t="str">
        <f>"202311180414"</f>
        <v>202311180414</v>
      </c>
      <c r="G480" s="7">
        <v>0</v>
      </c>
      <c r="H480" s="9" t="s">
        <v>13</v>
      </c>
      <c r="I480" s="10" t="s">
        <v>14</v>
      </c>
    </row>
    <row r="481" spans="1:9" ht="24.75" customHeight="1">
      <c r="A481" s="5">
        <v>478</v>
      </c>
      <c r="B481" s="6" t="s">
        <v>11</v>
      </c>
      <c r="C481" s="6" t="s">
        <v>12</v>
      </c>
      <c r="D481" s="6" t="str">
        <f t="shared" si="7"/>
        <v>001</v>
      </c>
      <c r="E481" s="6" t="str">
        <f>"陈丽晶"</f>
        <v>陈丽晶</v>
      </c>
      <c r="F481" s="6" t="str">
        <f>"202311180415"</f>
        <v>202311180415</v>
      </c>
      <c r="G481" s="7">
        <v>0</v>
      </c>
      <c r="H481" s="9" t="s">
        <v>13</v>
      </c>
      <c r="I481" s="10" t="s">
        <v>14</v>
      </c>
    </row>
    <row r="482" spans="1:9" ht="24.75" customHeight="1">
      <c r="A482" s="5">
        <v>479</v>
      </c>
      <c r="B482" s="6" t="s">
        <v>11</v>
      </c>
      <c r="C482" s="6" t="s">
        <v>12</v>
      </c>
      <c r="D482" s="6" t="str">
        <f t="shared" si="7"/>
        <v>001</v>
      </c>
      <c r="E482" s="6" t="str">
        <f>"林立雄"</f>
        <v>林立雄</v>
      </c>
      <c r="F482" s="6" t="str">
        <f>"202311180417"</f>
        <v>202311180417</v>
      </c>
      <c r="G482" s="7">
        <v>0</v>
      </c>
      <c r="H482" s="9" t="s">
        <v>13</v>
      </c>
      <c r="I482" s="10" t="s">
        <v>14</v>
      </c>
    </row>
    <row r="483" spans="1:9" ht="24.75" customHeight="1">
      <c r="A483" s="5">
        <v>480</v>
      </c>
      <c r="B483" s="6" t="s">
        <v>11</v>
      </c>
      <c r="C483" s="6" t="s">
        <v>12</v>
      </c>
      <c r="D483" s="6" t="str">
        <f t="shared" si="7"/>
        <v>001</v>
      </c>
      <c r="E483" s="6" t="str">
        <f>"廖栩君"</f>
        <v>廖栩君</v>
      </c>
      <c r="F483" s="6" t="str">
        <f>"202311180419"</f>
        <v>202311180419</v>
      </c>
      <c r="G483" s="7">
        <v>0</v>
      </c>
      <c r="H483" s="9" t="s">
        <v>13</v>
      </c>
      <c r="I483" s="10" t="s">
        <v>14</v>
      </c>
    </row>
    <row r="484" spans="1:9" ht="24.75" customHeight="1">
      <c r="A484" s="5">
        <v>481</v>
      </c>
      <c r="B484" s="6" t="s">
        <v>11</v>
      </c>
      <c r="C484" s="6" t="s">
        <v>12</v>
      </c>
      <c r="D484" s="6" t="str">
        <f t="shared" si="7"/>
        <v>001</v>
      </c>
      <c r="E484" s="6" t="str">
        <f>"张勇"</f>
        <v>张勇</v>
      </c>
      <c r="F484" s="6" t="str">
        <f>"202311180423"</f>
        <v>202311180423</v>
      </c>
      <c r="G484" s="7">
        <v>0</v>
      </c>
      <c r="H484" s="9" t="s">
        <v>13</v>
      </c>
      <c r="I484" s="10" t="s">
        <v>14</v>
      </c>
    </row>
    <row r="485" spans="1:9" ht="24.75" customHeight="1">
      <c r="A485" s="5">
        <v>482</v>
      </c>
      <c r="B485" s="6" t="s">
        <v>11</v>
      </c>
      <c r="C485" s="6" t="s">
        <v>12</v>
      </c>
      <c r="D485" s="6" t="str">
        <f t="shared" si="7"/>
        <v>001</v>
      </c>
      <c r="E485" s="6" t="str">
        <f>"刘汉丽"</f>
        <v>刘汉丽</v>
      </c>
      <c r="F485" s="6" t="str">
        <f>"202311180424"</f>
        <v>202311180424</v>
      </c>
      <c r="G485" s="7">
        <v>0</v>
      </c>
      <c r="H485" s="9" t="s">
        <v>13</v>
      </c>
      <c r="I485" s="10" t="s">
        <v>14</v>
      </c>
    </row>
    <row r="486" spans="1:9" ht="24.75" customHeight="1">
      <c r="A486" s="5">
        <v>483</v>
      </c>
      <c r="B486" s="6" t="s">
        <v>11</v>
      </c>
      <c r="C486" s="6" t="s">
        <v>12</v>
      </c>
      <c r="D486" s="6" t="str">
        <f t="shared" si="7"/>
        <v>001</v>
      </c>
      <c r="E486" s="6" t="str">
        <f>"符珺"</f>
        <v>符珺</v>
      </c>
      <c r="F486" s="6" t="str">
        <f>"202311180426"</f>
        <v>202311180426</v>
      </c>
      <c r="G486" s="7">
        <v>0</v>
      </c>
      <c r="H486" s="9" t="s">
        <v>13</v>
      </c>
      <c r="I486" s="10" t="s">
        <v>14</v>
      </c>
    </row>
    <row r="487" spans="1:9" ht="24.75" customHeight="1">
      <c r="A487" s="5">
        <v>484</v>
      </c>
      <c r="B487" s="6" t="s">
        <v>11</v>
      </c>
      <c r="C487" s="6" t="s">
        <v>12</v>
      </c>
      <c r="D487" s="6" t="str">
        <f t="shared" si="7"/>
        <v>001</v>
      </c>
      <c r="E487" s="6" t="str">
        <f>"钱晓萍"</f>
        <v>钱晓萍</v>
      </c>
      <c r="F487" s="6" t="str">
        <f>"202311180427"</f>
        <v>202311180427</v>
      </c>
      <c r="G487" s="7">
        <v>0</v>
      </c>
      <c r="H487" s="9" t="s">
        <v>13</v>
      </c>
      <c r="I487" s="10" t="s">
        <v>14</v>
      </c>
    </row>
    <row r="488" spans="1:9" ht="24.75" customHeight="1">
      <c r="A488" s="5">
        <v>485</v>
      </c>
      <c r="B488" s="6" t="s">
        <v>11</v>
      </c>
      <c r="C488" s="6" t="s">
        <v>12</v>
      </c>
      <c r="D488" s="6" t="str">
        <f t="shared" si="7"/>
        <v>001</v>
      </c>
      <c r="E488" s="6" t="str">
        <f>"冯雅凡"</f>
        <v>冯雅凡</v>
      </c>
      <c r="F488" s="6" t="str">
        <f>"202311180430"</f>
        <v>202311180430</v>
      </c>
      <c r="G488" s="7">
        <v>0</v>
      </c>
      <c r="H488" s="9" t="s">
        <v>13</v>
      </c>
      <c r="I488" s="10" t="s">
        <v>14</v>
      </c>
    </row>
    <row r="489" spans="1:9" ht="24.75" customHeight="1">
      <c r="A489" s="5">
        <v>486</v>
      </c>
      <c r="B489" s="6" t="s">
        <v>11</v>
      </c>
      <c r="C489" s="6" t="s">
        <v>12</v>
      </c>
      <c r="D489" s="6" t="str">
        <f t="shared" si="7"/>
        <v>001</v>
      </c>
      <c r="E489" s="6" t="str">
        <f>"杨珊珊"</f>
        <v>杨珊珊</v>
      </c>
      <c r="F489" s="6" t="str">
        <f>"202311180502"</f>
        <v>202311180502</v>
      </c>
      <c r="G489" s="7">
        <v>0</v>
      </c>
      <c r="H489" s="9" t="s">
        <v>13</v>
      </c>
      <c r="I489" s="10" t="s">
        <v>14</v>
      </c>
    </row>
    <row r="490" spans="1:9" ht="24.75" customHeight="1">
      <c r="A490" s="5">
        <v>487</v>
      </c>
      <c r="B490" s="6" t="s">
        <v>11</v>
      </c>
      <c r="C490" s="6" t="s">
        <v>12</v>
      </c>
      <c r="D490" s="6" t="str">
        <f t="shared" si="7"/>
        <v>001</v>
      </c>
      <c r="E490" s="6" t="str">
        <f>"曾虹"</f>
        <v>曾虹</v>
      </c>
      <c r="F490" s="6" t="str">
        <f>"202311180509"</f>
        <v>202311180509</v>
      </c>
      <c r="G490" s="7">
        <v>0</v>
      </c>
      <c r="H490" s="9" t="s">
        <v>13</v>
      </c>
      <c r="I490" s="10" t="s">
        <v>14</v>
      </c>
    </row>
    <row r="491" spans="1:9" ht="24.75" customHeight="1">
      <c r="A491" s="5">
        <v>488</v>
      </c>
      <c r="B491" s="6" t="s">
        <v>11</v>
      </c>
      <c r="C491" s="6" t="s">
        <v>12</v>
      </c>
      <c r="D491" s="6" t="str">
        <f t="shared" si="7"/>
        <v>001</v>
      </c>
      <c r="E491" s="6" t="str">
        <f>"徐玉婷"</f>
        <v>徐玉婷</v>
      </c>
      <c r="F491" s="6" t="str">
        <f>"202311180511"</f>
        <v>202311180511</v>
      </c>
      <c r="G491" s="7">
        <v>0</v>
      </c>
      <c r="H491" s="9" t="s">
        <v>13</v>
      </c>
      <c r="I491" s="10" t="s">
        <v>14</v>
      </c>
    </row>
    <row r="492" spans="1:9" ht="24.75" customHeight="1">
      <c r="A492" s="5">
        <v>489</v>
      </c>
      <c r="B492" s="6" t="s">
        <v>11</v>
      </c>
      <c r="C492" s="6" t="s">
        <v>12</v>
      </c>
      <c r="D492" s="6" t="str">
        <f t="shared" si="7"/>
        <v>001</v>
      </c>
      <c r="E492" s="6" t="str">
        <f>"黄堂健"</f>
        <v>黄堂健</v>
      </c>
      <c r="F492" s="6" t="str">
        <f>"202311180516"</f>
        <v>202311180516</v>
      </c>
      <c r="G492" s="7">
        <v>0</v>
      </c>
      <c r="H492" s="9" t="s">
        <v>13</v>
      </c>
      <c r="I492" s="10" t="s">
        <v>14</v>
      </c>
    </row>
    <row r="493" spans="1:9" ht="24.75" customHeight="1">
      <c r="A493" s="5">
        <v>490</v>
      </c>
      <c r="B493" s="6" t="s">
        <v>11</v>
      </c>
      <c r="C493" s="6" t="s">
        <v>12</v>
      </c>
      <c r="D493" s="6" t="str">
        <f t="shared" si="7"/>
        <v>001</v>
      </c>
      <c r="E493" s="6" t="str">
        <f>"陈晓冰"</f>
        <v>陈晓冰</v>
      </c>
      <c r="F493" s="6" t="str">
        <f>"202311180517"</f>
        <v>202311180517</v>
      </c>
      <c r="G493" s="7">
        <v>0</v>
      </c>
      <c r="H493" s="9" t="s">
        <v>13</v>
      </c>
      <c r="I493" s="10" t="s">
        <v>14</v>
      </c>
    </row>
    <row r="494" spans="1:9" ht="24.75" customHeight="1">
      <c r="A494" s="5">
        <v>491</v>
      </c>
      <c r="B494" s="6" t="s">
        <v>11</v>
      </c>
      <c r="C494" s="6" t="s">
        <v>12</v>
      </c>
      <c r="D494" s="6" t="str">
        <f t="shared" si="7"/>
        <v>001</v>
      </c>
      <c r="E494" s="6" t="str">
        <f>"王欣怡"</f>
        <v>王欣怡</v>
      </c>
      <c r="F494" s="6" t="str">
        <f>"202311180519"</f>
        <v>202311180519</v>
      </c>
      <c r="G494" s="7">
        <v>0</v>
      </c>
      <c r="H494" s="9" t="s">
        <v>13</v>
      </c>
      <c r="I494" s="10" t="s">
        <v>14</v>
      </c>
    </row>
    <row r="495" spans="1:9" ht="24.75" customHeight="1">
      <c r="A495" s="5">
        <v>492</v>
      </c>
      <c r="B495" s="6" t="s">
        <v>11</v>
      </c>
      <c r="C495" s="6" t="s">
        <v>12</v>
      </c>
      <c r="D495" s="6" t="str">
        <f t="shared" si="7"/>
        <v>001</v>
      </c>
      <c r="E495" s="6" t="str">
        <f>"陈雅玉"</f>
        <v>陈雅玉</v>
      </c>
      <c r="F495" s="6" t="str">
        <f>"202311180522"</f>
        <v>202311180522</v>
      </c>
      <c r="G495" s="7">
        <v>0</v>
      </c>
      <c r="H495" s="9" t="s">
        <v>13</v>
      </c>
      <c r="I495" s="10" t="s">
        <v>14</v>
      </c>
    </row>
    <row r="496" spans="1:9" ht="24.75" customHeight="1">
      <c r="A496" s="5">
        <v>493</v>
      </c>
      <c r="B496" s="6" t="s">
        <v>11</v>
      </c>
      <c r="C496" s="6" t="s">
        <v>12</v>
      </c>
      <c r="D496" s="6" t="str">
        <f t="shared" si="7"/>
        <v>001</v>
      </c>
      <c r="E496" s="6" t="str">
        <f>"符传明"</f>
        <v>符传明</v>
      </c>
      <c r="F496" s="6" t="str">
        <f>"202311180525"</f>
        <v>202311180525</v>
      </c>
      <c r="G496" s="7">
        <v>0</v>
      </c>
      <c r="H496" s="9" t="s">
        <v>13</v>
      </c>
      <c r="I496" s="10" t="s">
        <v>14</v>
      </c>
    </row>
    <row r="497" spans="1:9" ht="24.75" customHeight="1">
      <c r="A497" s="5">
        <v>494</v>
      </c>
      <c r="B497" s="6" t="s">
        <v>11</v>
      </c>
      <c r="C497" s="6" t="s">
        <v>12</v>
      </c>
      <c r="D497" s="6" t="str">
        <f t="shared" si="7"/>
        <v>001</v>
      </c>
      <c r="E497" s="6" t="str">
        <f>"邱波瀚"</f>
        <v>邱波瀚</v>
      </c>
      <c r="F497" s="6" t="str">
        <f>"202311180527"</f>
        <v>202311180527</v>
      </c>
      <c r="G497" s="7">
        <v>0</v>
      </c>
      <c r="H497" s="9" t="s">
        <v>13</v>
      </c>
      <c r="I497" s="10" t="s">
        <v>14</v>
      </c>
    </row>
    <row r="498" spans="1:9" ht="24.75" customHeight="1">
      <c r="A498" s="5">
        <v>495</v>
      </c>
      <c r="B498" s="6" t="s">
        <v>11</v>
      </c>
      <c r="C498" s="6" t="s">
        <v>12</v>
      </c>
      <c r="D498" s="6" t="str">
        <f t="shared" si="7"/>
        <v>001</v>
      </c>
      <c r="E498" s="6" t="str">
        <f>"郑鼎花"</f>
        <v>郑鼎花</v>
      </c>
      <c r="F498" s="6" t="str">
        <f>"202311180528"</f>
        <v>202311180528</v>
      </c>
      <c r="G498" s="7">
        <v>0</v>
      </c>
      <c r="H498" s="9" t="s">
        <v>13</v>
      </c>
      <c r="I498" s="10" t="s">
        <v>14</v>
      </c>
    </row>
    <row r="499" spans="1:9" ht="24.75" customHeight="1">
      <c r="A499" s="5">
        <v>496</v>
      </c>
      <c r="B499" s="6" t="s">
        <v>11</v>
      </c>
      <c r="C499" s="6" t="s">
        <v>12</v>
      </c>
      <c r="D499" s="6" t="str">
        <f t="shared" si="7"/>
        <v>001</v>
      </c>
      <c r="E499" s="6" t="str">
        <f>"黄广裕"</f>
        <v>黄广裕</v>
      </c>
      <c r="F499" s="6" t="str">
        <f>"202311180529"</f>
        <v>202311180529</v>
      </c>
      <c r="G499" s="7">
        <v>0</v>
      </c>
      <c r="H499" s="9" t="s">
        <v>13</v>
      </c>
      <c r="I499" s="10" t="s">
        <v>14</v>
      </c>
    </row>
    <row r="500" spans="1:9" ht="24.75" customHeight="1">
      <c r="A500" s="5">
        <v>497</v>
      </c>
      <c r="B500" s="6" t="s">
        <v>11</v>
      </c>
      <c r="C500" s="6" t="s">
        <v>12</v>
      </c>
      <c r="D500" s="6" t="str">
        <f t="shared" si="7"/>
        <v>001</v>
      </c>
      <c r="E500" s="6" t="str">
        <f>"赵开越"</f>
        <v>赵开越</v>
      </c>
      <c r="F500" s="6" t="str">
        <f>"202311180605"</f>
        <v>202311180605</v>
      </c>
      <c r="G500" s="7">
        <v>0</v>
      </c>
      <c r="H500" s="9" t="s">
        <v>13</v>
      </c>
      <c r="I500" s="10" t="s">
        <v>14</v>
      </c>
    </row>
    <row r="501" spans="1:9" ht="24.75" customHeight="1">
      <c r="A501" s="5">
        <v>498</v>
      </c>
      <c r="B501" s="6" t="s">
        <v>11</v>
      </c>
      <c r="C501" s="6" t="s">
        <v>12</v>
      </c>
      <c r="D501" s="6" t="str">
        <f t="shared" si="7"/>
        <v>001</v>
      </c>
      <c r="E501" s="6" t="str">
        <f>"冯培培"</f>
        <v>冯培培</v>
      </c>
      <c r="F501" s="6" t="str">
        <f>"202311180606"</f>
        <v>202311180606</v>
      </c>
      <c r="G501" s="7">
        <v>0</v>
      </c>
      <c r="H501" s="9" t="s">
        <v>13</v>
      </c>
      <c r="I501" s="10" t="s">
        <v>14</v>
      </c>
    </row>
    <row r="502" spans="1:9" ht="24.75" customHeight="1">
      <c r="A502" s="5">
        <v>499</v>
      </c>
      <c r="B502" s="6" t="s">
        <v>11</v>
      </c>
      <c r="C502" s="6" t="s">
        <v>12</v>
      </c>
      <c r="D502" s="6" t="str">
        <f t="shared" si="7"/>
        <v>001</v>
      </c>
      <c r="E502" s="6" t="str">
        <f>"符永佳"</f>
        <v>符永佳</v>
      </c>
      <c r="F502" s="6" t="str">
        <f>"202311180607"</f>
        <v>202311180607</v>
      </c>
      <c r="G502" s="7">
        <v>0</v>
      </c>
      <c r="H502" s="9" t="s">
        <v>13</v>
      </c>
      <c r="I502" s="10" t="s">
        <v>14</v>
      </c>
    </row>
    <row r="503" spans="1:9" ht="24.75" customHeight="1">
      <c r="A503" s="5">
        <v>500</v>
      </c>
      <c r="B503" s="6" t="s">
        <v>11</v>
      </c>
      <c r="C503" s="6" t="s">
        <v>12</v>
      </c>
      <c r="D503" s="6" t="str">
        <f t="shared" si="7"/>
        <v>001</v>
      </c>
      <c r="E503" s="6" t="str">
        <f>"覃进"</f>
        <v>覃进</v>
      </c>
      <c r="F503" s="6" t="str">
        <f>"202311180610"</f>
        <v>202311180610</v>
      </c>
      <c r="G503" s="7">
        <v>0</v>
      </c>
      <c r="H503" s="9" t="s">
        <v>13</v>
      </c>
      <c r="I503" s="10" t="s">
        <v>14</v>
      </c>
    </row>
    <row r="504" spans="1:9" ht="24.75" customHeight="1">
      <c r="A504" s="5">
        <v>501</v>
      </c>
      <c r="B504" s="6" t="s">
        <v>11</v>
      </c>
      <c r="C504" s="6" t="s">
        <v>12</v>
      </c>
      <c r="D504" s="6" t="str">
        <f t="shared" si="7"/>
        <v>001</v>
      </c>
      <c r="E504" s="6" t="str">
        <f>"王俊伟"</f>
        <v>王俊伟</v>
      </c>
      <c r="F504" s="6" t="str">
        <f>"202311180611"</f>
        <v>202311180611</v>
      </c>
      <c r="G504" s="7">
        <v>0</v>
      </c>
      <c r="H504" s="9" t="s">
        <v>13</v>
      </c>
      <c r="I504" s="10" t="s">
        <v>14</v>
      </c>
    </row>
    <row r="505" spans="1:9" ht="24.75" customHeight="1">
      <c r="A505" s="5">
        <v>502</v>
      </c>
      <c r="B505" s="6" t="s">
        <v>11</v>
      </c>
      <c r="C505" s="6" t="s">
        <v>12</v>
      </c>
      <c r="D505" s="6" t="str">
        <f t="shared" si="7"/>
        <v>001</v>
      </c>
      <c r="E505" s="6" t="str">
        <f>"王立旭"</f>
        <v>王立旭</v>
      </c>
      <c r="F505" s="6" t="str">
        <f>"202311180613"</f>
        <v>202311180613</v>
      </c>
      <c r="G505" s="7">
        <v>0</v>
      </c>
      <c r="H505" s="9" t="s">
        <v>13</v>
      </c>
      <c r="I505" s="10" t="s">
        <v>14</v>
      </c>
    </row>
    <row r="506" spans="1:9" ht="24.75" customHeight="1">
      <c r="A506" s="5">
        <v>503</v>
      </c>
      <c r="B506" s="6" t="s">
        <v>11</v>
      </c>
      <c r="C506" s="6" t="s">
        <v>12</v>
      </c>
      <c r="D506" s="6" t="str">
        <f t="shared" si="7"/>
        <v>001</v>
      </c>
      <c r="E506" s="6" t="str">
        <f>"陈淑金"</f>
        <v>陈淑金</v>
      </c>
      <c r="F506" s="6" t="str">
        <f>"202311180614"</f>
        <v>202311180614</v>
      </c>
      <c r="G506" s="7">
        <v>0</v>
      </c>
      <c r="H506" s="9" t="s">
        <v>13</v>
      </c>
      <c r="I506" s="10" t="s">
        <v>14</v>
      </c>
    </row>
    <row r="507" spans="1:9" ht="24.75" customHeight="1">
      <c r="A507" s="5">
        <v>504</v>
      </c>
      <c r="B507" s="6" t="s">
        <v>11</v>
      </c>
      <c r="C507" s="6" t="s">
        <v>12</v>
      </c>
      <c r="D507" s="6" t="str">
        <f t="shared" si="7"/>
        <v>001</v>
      </c>
      <c r="E507" s="6" t="str">
        <f>"符宏成"</f>
        <v>符宏成</v>
      </c>
      <c r="F507" s="6" t="str">
        <f>"202311180616"</f>
        <v>202311180616</v>
      </c>
      <c r="G507" s="7">
        <v>0</v>
      </c>
      <c r="H507" s="9" t="s">
        <v>13</v>
      </c>
      <c r="I507" s="10" t="s">
        <v>14</v>
      </c>
    </row>
    <row r="508" spans="1:9" ht="24.75" customHeight="1">
      <c r="A508" s="5">
        <v>505</v>
      </c>
      <c r="B508" s="6" t="s">
        <v>11</v>
      </c>
      <c r="C508" s="6" t="s">
        <v>12</v>
      </c>
      <c r="D508" s="6" t="str">
        <f t="shared" si="7"/>
        <v>001</v>
      </c>
      <c r="E508" s="6" t="str">
        <f>"刘颖"</f>
        <v>刘颖</v>
      </c>
      <c r="F508" s="6" t="str">
        <f>"202311180619"</f>
        <v>202311180619</v>
      </c>
      <c r="G508" s="7">
        <v>0</v>
      </c>
      <c r="H508" s="9" t="s">
        <v>13</v>
      </c>
      <c r="I508" s="10" t="s">
        <v>14</v>
      </c>
    </row>
    <row r="509" spans="1:9" ht="24.75" customHeight="1">
      <c r="A509" s="5">
        <v>506</v>
      </c>
      <c r="B509" s="6" t="s">
        <v>11</v>
      </c>
      <c r="C509" s="6" t="s">
        <v>12</v>
      </c>
      <c r="D509" s="6" t="str">
        <f t="shared" si="7"/>
        <v>001</v>
      </c>
      <c r="E509" s="6" t="str">
        <f>"符玲玉"</f>
        <v>符玲玉</v>
      </c>
      <c r="F509" s="6" t="str">
        <f>"202311180621"</f>
        <v>202311180621</v>
      </c>
      <c r="G509" s="7">
        <v>0</v>
      </c>
      <c r="H509" s="9" t="s">
        <v>13</v>
      </c>
      <c r="I509" s="10" t="s">
        <v>14</v>
      </c>
    </row>
    <row r="510" spans="1:9" ht="24.75" customHeight="1">
      <c r="A510" s="5">
        <v>507</v>
      </c>
      <c r="B510" s="6" t="s">
        <v>11</v>
      </c>
      <c r="C510" s="6" t="s">
        <v>12</v>
      </c>
      <c r="D510" s="6" t="str">
        <f t="shared" si="7"/>
        <v>001</v>
      </c>
      <c r="E510" s="6" t="str">
        <f>"张晋豪"</f>
        <v>张晋豪</v>
      </c>
      <c r="F510" s="6" t="str">
        <f>"202311180622"</f>
        <v>202311180622</v>
      </c>
      <c r="G510" s="7">
        <v>0</v>
      </c>
      <c r="H510" s="9" t="s">
        <v>13</v>
      </c>
      <c r="I510" s="10" t="s">
        <v>14</v>
      </c>
    </row>
    <row r="511" spans="1:9" ht="24.75" customHeight="1">
      <c r="A511" s="5">
        <v>508</v>
      </c>
      <c r="B511" s="6" t="s">
        <v>11</v>
      </c>
      <c r="C511" s="6" t="s">
        <v>12</v>
      </c>
      <c r="D511" s="6" t="str">
        <f t="shared" si="7"/>
        <v>001</v>
      </c>
      <c r="E511" s="6" t="str">
        <f>"黄宇龙"</f>
        <v>黄宇龙</v>
      </c>
      <c r="F511" s="6" t="str">
        <f>"202311180624"</f>
        <v>202311180624</v>
      </c>
      <c r="G511" s="7">
        <v>0</v>
      </c>
      <c r="H511" s="9" t="s">
        <v>13</v>
      </c>
      <c r="I511" s="10" t="s">
        <v>14</v>
      </c>
    </row>
    <row r="512" spans="1:9" ht="24.75" customHeight="1">
      <c r="A512" s="5">
        <v>509</v>
      </c>
      <c r="B512" s="6" t="s">
        <v>11</v>
      </c>
      <c r="C512" s="6" t="s">
        <v>12</v>
      </c>
      <c r="D512" s="6" t="str">
        <f t="shared" si="7"/>
        <v>001</v>
      </c>
      <c r="E512" s="6" t="str">
        <f>"蔡笃宇"</f>
        <v>蔡笃宇</v>
      </c>
      <c r="F512" s="6" t="str">
        <f>"202311180625"</f>
        <v>202311180625</v>
      </c>
      <c r="G512" s="7">
        <v>0</v>
      </c>
      <c r="H512" s="9" t="s">
        <v>13</v>
      </c>
      <c r="I512" s="10" t="s">
        <v>14</v>
      </c>
    </row>
    <row r="513" spans="1:9" ht="24.75" customHeight="1">
      <c r="A513" s="5">
        <v>510</v>
      </c>
      <c r="B513" s="6" t="s">
        <v>11</v>
      </c>
      <c r="C513" s="6" t="s">
        <v>12</v>
      </c>
      <c r="D513" s="6" t="str">
        <f t="shared" si="7"/>
        <v>001</v>
      </c>
      <c r="E513" s="6" t="str">
        <f>"蔡亲广"</f>
        <v>蔡亲广</v>
      </c>
      <c r="F513" s="6" t="str">
        <f>"202311180627"</f>
        <v>202311180627</v>
      </c>
      <c r="G513" s="7">
        <v>0</v>
      </c>
      <c r="H513" s="9" t="s">
        <v>13</v>
      </c>
      <c r="I513" s="10" t="s">
        <v>14</v>
      </c>
    </row>
    <row r="514" spans="1:9" ht="24.75" customHeight="1">
      <c r="A514" s="5">
        <v>511</v>
      </c>
      <c r="B514" s="6" t="s">
        <v>11</v>
      </c>
      <c r="C514" s="6" t="s">
        <v>12</v>
      </c>
      <c r="D514" s="6" t="str">
        <f t="shared" si="7"/>
        <v>001</v>
      </c>
      <c r="E514" s="6" t="str">
        <f>"林桦彬"</f>
        <v>林桦彬</v>
      </c>
      <c r="F514" s="6" t="str">
        <f>"202311180630"</f>
        <v>202311180630</v>
      </c>
      <c r="G514" s="7">
        <v>0</v>
      </c>
      <c r="H514" s="9" t="s">
        <v>13</v>
      </c>
      <c r="I514" s="10" t="s">
        <v>14</v>
      </c>
    </row>
    <row r="515" spans="1:9" ht="24.75" customHeight="1">
      <c r="A515" s="5">
        <v>512</v>
      </c>
      <c r="B515" s="6" t="s">
        <v>11</v>
      </c>
      <c r="C515" s="6" t="s">
        <v>12</v>
      </c>
      <c r="D515" s="6" t="str">
        <f t="shared" si="7"/>
        <v>001</v>
      </c>
      <c r="E515" s="6" t="str">
        <f>"谭扬阳"</f>
        <v>谭扬阳</v>
      </c>
      <c r="F515" s="6" t="str">
        <f>"202311180704"</f>
        <v>202311180704</v>
      </c>
      <c r="G515" s="7">
        <v>0</v>
      </c>
      <c r="H515" s="9" t="s">
        <v>13</v>
      </c>
      <c r="I515" s="10" t="s">
        <v>14</v>
      </c>
    </row>
    <row r="516" spans="1:9" ht="24.75" customHeight="1">
      <c r="A516" s="5">
        <v>513</v>
      </c>
      <c r="B516" s="6" t="s">
        <v>11</v>
      </c>
      <c r="C516" s="6" t="s">
        <v>12</v>
      </c>
      <c r="D516" s="6" t="str">
        <f aca="true" t="shared" si="8" ref="D516:D579">"001"</f>
        <v>001</v>
      </c>
      <c r="E516" s="6" t="str">
        <f>"张静"</f>
        <v>张静</v>
      </c>
      <c r="F516" s="6" t="str">
        <f>"202311180706"</f>
        <v>202311180706</v>
      </c>
      <c r="G516" s="7">
        <v>0</v>
      </c>
      <c r="H516" s="9" t="s">
        <v>13</v>
      </c>
      <c r="I516" s="10" t="s">
        <v>14</v>
      </c>
    </row>
    <row r="517" spans="1:9" ht="24.75" customHeight="1">
      <c r="A517" s="5">
        <v>514</v>
      </c>
      <c r="B517" s="6" t="s">
        <v>11</v>
      </c>
      <c r="C517" s="6" t="s">
        <v>12</v>
      </c>
      <c r="D517" s="6" t="str">
        <f t="shared" si="8"/>
        <v>001</v>
      </c>
      <c r="E517" s="6" t="str">
        <f>"张雨"</f>
        <v>张雨</v>
      </c>
      <c r="F517" s="6" t="str">
        <f>"202311180708"</f>
        <v>202311180708</v>
      </c>
      <c r="G517" s="7">
        <v>0</v>
      </c>
      <c r="H517" s="9" t="s">
        <v>13</v>
      </c>
      <c r="I517" s="10" t="s">
        <v>14</v>
      </c>
    </row>
    <row r="518" spans="1:9" ht="24.75" customHeight="1">
      <c r="A518" s="5">
        <v>515</v>
      </c>
      <c r="B518" s="6" t="s">
        <v>11</v>
      </c>
      <c r="C518" s="6" t="s">
        <v>12</v>
      </c>
      <c r="D518" s="6" t="str">
        <f t="shared" si="8"/>
        <v>001</v>
      </c>
      <c r="E518" s="6" t="str">
        <f>"苏发良"</f>
        <v>苏发良</v>
      </c>
      <c r="F518" s="6" t="str">
        <f>"202311180710"</f>
        <v>202311180710</v>
      </c>
      <c r="G518" s="7">
        <v>0</v>
      </c>
      <c r="H518" s="9" t="s">
        <v>13</v>
      </c>
      <c r="I518" s="10" t="s">
        <v>14</v>
      </c>
    </row>
    <row r="519" spans="1:9" ht="24.75" customHeight="1">
      <c r="A519" s="5">
        <v>516</v>
      </c>
      <c r="B519" s="6" t="s">
        <v>11</v>
      </c>
      <c r="C519" s="6" t="s">
        <v>12</v>
      </c>
      <c r="D519" s="6" t="str">
        <f t="shared" si="8"/>
        <v>001</v>
      </c>
      <c r="E519" s="6" t="str">
        <f>"张浩"</f>
        <v>张浩</v>
      </c>
      <c r="F519" s="6" t="str">
        <f>"202311180711"</f>
        <v>202311180711</v>
      </c>
      <c r="G519" s="7">
        <v>0</v>
      </c>
      <c r="H519" s="9" t="s">
        <v>13</v>
      </c>
      <c r="I519" s="10" t="s">
        <v>14</v>
      </c>
    </row>
    <row r="520" spans="1:9" ht="24.75" customHeight="1">
      <c r="A520" s="5">
        <v>517</v>
      </c>
      <c r="B520" s="6" t="s">
        <v>11</v>
      </c>
      <c r="C520" s="6" t="s">
        <v>12</v>
      </c>
      <c r="D520" s="6" t="str">
        <f t="shared" si="8"/>
        <v>001</v>
      </c>
      <c r="E520" s="6" t="str">
        <f>"杨思雨"</f>
        <v>杨思雨</v>
      </c>
      <c r="F520" s="6" t="str">
        <f>"202311180714"</f>
        <v>202311180714</v>
      </c>
      <c r="G520" s="7">
        <v>0</v>
      </c>
      <c r="H520" s="9" t="s">
        <v>13</v>
      </c>
      <c r="I520" s="10" t="s">
        <v>14</v>
      </c>
    </row>
    <row r="521" spans="1:9" ht="24.75" customHeight="1">
      <c r="A521" s="5">
        <v>518</v>
      </c>
      <c r="B521" s="6" t="s">
        <v>11</v>
      </c>
      <c r="C521" s="6" t="s">
        <v>12</v>
      </c>
      <c r="D521" s="6" t="str">
        <f t="shared" si="8"/>
        <v>001</v>
      </c>
      <c r="E521" s="6" t="str">
        <f>"吴磊"</f>
        <v>吴磊</v>
      </c>
      <c r="F521" s="6" t="str">
        <f>"202311180716"</f>
        <v>202311180716</v>
      </c>
      <c r="G521" s="7">
        <v>0</v>
      </c>
      <c r="H521" s="9" t="s">
        <v>13</v>
      </c>
      <c r="I521" s="10" t="s">
        <v>14</v>
      </c>
    </row>
    <row r="522" spans="1:9" ht="24.75" customHeight="1">
      <c r="A522" s="5">
        <v>519</v>
      </c>
      <c r="B522" s="6" t="s">
        <v>11</v>
      </c>
      <c r="C522" s="6" t="s">
        <v>12</v>
      </c>
      <c r="D522" s="6" t="str">
        <f t="shared" si="8"/>
        <v>001</v>
      </c>
      <c r="E522" s="6" t="str">
        <f>"安然"</f>
        <v>安然</v>
      </c>
      <c r="F522" s="6" t="str">
        <f>"202311180718"</f>
        <v>202311180718</v>
      </c>
      <c r="G522" s="7">
        <v>0</v>
      </c>
      <c r="H522" s="9" t="s">
        <v>13</v>
      </c>
      <c r="I522" s="10" t="s">
        <v>14</v>
      </c>
    </row>
    <row r="523" spans="1:9" ht="24.75" customHeight="1">
      <c r="A523" s="5">
        <v>520</v>
      </c>
      <c r="B523" s="6" t="s">
        <v>11</v>
      </c>
      <c r="C523" s="6" t="s">
        <v>12</v>
      </c>
      <c r="D523" s="6" t="str">
        <f t="shared" si="8"/>
        <v>001</v>
      </c>
      <c r="E523" s="6" t="str">
        <f>"陈汉钊"</f>
        <v>陈汉钊</v>
      </c>
      <c r="F523" s="6" t="str">
        <f>"202311180720"</f>
        <v>202311180720</v>
      </c>
      <c r="G523" s="7">
        <v>0</v>
      </c>
      <c r="H523" s="9" t="s">
        <v>13</v>
      </c>
      <c r="I523" s="10" t="s">
        <v>14</v>
      </c>
    </row>
    <row r="524" spans="1:9" ht="24.75" customHeight="1">
      <c r="A524" s="5">
        <v>521</v>
      </c>
      <c r="B524" s="6" t="s">
        <v>11</v>
      </c>
      <c r="C524" s="6" t="s">
        <v>12</v>
      </c>
      <c r="D524" s="6" t="str">
        <f t="shared" si="8"/>
        <v>001</v>
      </c>
      <c r="E524" s="6" t="str">
        <f>"蔡丰婷"</f>
        <v>蔡丰婷</v>
      </c>
      <c r="F524" s="6" t="str">
        <f>"202311180721"</f>
        <v>202311180721</v>
      </c>
      <c r="G524" s="7">
        <v>0</v>
      </c>
      <c r="H524" s="9" t="s">
        <v>13</v>
      </c>
      <c r="I524" s="10" t="s">
        <v>14</v>
      </c>
    </row>
    <row r="525" spans="1:9" ht="24.75" customHeight="1">
      <c r="A525" s="5">
        <v>522</v>
      </c>
      <c r="B525" s="6" t="s">
        <v>11</v>
      </c>
      <c r="C525" s="6" t="s">
        <v>12</v>
      </c>
      <c r="D525" s="6" t="str">
        <f t="shared" si="8"/>
        <v>001</v>
      </c>
      <c r="E525" s="6" t="str">
        <f>"刘筱涵"</f>
        <v>刘筱涵</v>
      </c>
      <c r="F525" s="6" t="str">
        <f>"202311180723"</f>
        <v>202311180723</v>
      </c>
      <c r="G525" s="7">
        <v>0</v>
      </c>
      <c r="H525" s="9" t="s">
        <v>13</v>
      </c>
      <c r="I525" s="10" t="s">
        <v>14</v>
      </c>
    </row>
    <row r="526" spans="1:9" ht="24.75" customHeight="1">
      <c r="A526" s="5">
        <v>523</v>
      </c>
      <c r="B526" s="6" t="s">
        <v>11</v>
      </c>
      <c r="C526" s="6" t="s">
        <v>12</v>
      </c>
      <c r="D526" s="6" t="str">
        <f t="shared" si="8"/>
        <v>001</v>
      </c>
      <c r="E526" s="6" t="str">
        <f>"李榕棋"</f>
        <v>李榕棋</v>
      </c>
      <c r="F526" s="6" t="str">
        <f>"202311180726"</f>
        <v>202311180726</v>
      </c>
      <c r="G526" s="7">
        <v>0</v>
      </c>
      <c r="H526" s="9" t="s">
        <v>13</v>
      </c>
      <c r="I526" s="10" t="s">
        <v>14</v>
      </c>
    </row>
    <row r="527" spans="1:9" ht="24.75" customHeight="1">
      <c r="A527" s="5">
        <v>524</v>
      </c>
      <c r="B527" s="6" t="s">
        <v>11</v>
      </c>
      <c r="C527" s="6" t="s">
        <v>12</v>
      </c>
      <c r="D527" s="6" t="str">
        <f t="shared" si="8"/>
        <v>001</v>
      </c>
      <c r="E527" s="6" t="str">
        <f>"郑维妃"</f>
        <v>郑维妃</v>
      </c>
      <c r="F527" s="6" t="str">
        <f>"202311180801"</f>
        <v>202311180801</v>
      </c>
      <c r="G527" s="7">
        <v>0</v>
      </c>
      <c r="H527" s="9" t="s">
        <v>13</v>
      </c>
      <c r="I527" s="10" t="s">
        <v>14</v>
      </c>
    </row>
    <row r="528" spans="1:9" ht="24.75" customHeight="1">
      <c r="A528" s="5">
        <v>525</v>
      </c>
      <c r="B528" s="6" t="s">
        <v>11</v>
      </c>
      <c r="C528" s="6" t="s">
        <v>12</v>
      </c>
      <c r="D528" s="6" t="str">
        <f t="shared" si="8"/>
        <v>001</v>
      </c>
      <c r="E528" s="6" t="str">
        <f>"王立菲"</f>
        <v>王立菲</v>
      </c>
      <c r="F528" s="6" t="str">
        <f>"202311180802"</f>
        <v>202311180802</v>
      </c>
      <c r="G528" s="7">
        <v>0</v>
      </c>
      <c r="H528" s="9" t="s">
        <v>13</v>
      </c>
      <c r="I528" s="10" t="s">
        <v>14</v>
      </c>
    </row>
    <row r="529" spans="1:9" ht="24.75" customHeight="1">
      <c r="A529" s="5">
        <v>526</v>
      </c>
      <c r="B529" s="6" t="s">
        <v>11</v>
      </c>
      <c r="C529" s="6" t="s">
        <v>12</v>
      </c>
      <c r="D529" s="6" t="str">
        <f t="shared" si="8"/>
        <v>001</v>
      </c>
      <c r="E529" s="6" t="str">
        <f>"吴坤胜"</f>
        <v>吴坤胜</v>
      </c>
      <c r="F529" s="6" t="str">
        <f>"202311180804"</f>
        <v>202311180804</v>
      </c>
      <c r="G529" s="7">
        <v>0</v>
      </c>
      <c r="H529" s="9" t="s">
        <v>13</v>
      </c>
      <c r="I529" s="10" t="s">
        <v>14</v>
      </c>
    </row>
    <row r="530" spans="1:9" ht="24.75" customHeight="1">
      <c r="A530" s="5">
        <v>527</v>
      </c>
      <c r="B530" s="6" t="s">
        <v>11</v>
      </c>
      <c r="C530" s="6" t="s">
        <v>12</v>
      </c>
      <c r="D530" s="6" t="str">
        <f t="shared" si="8"/>
        <v>001</v>
      </c>
      <c r="E530" s="6" t="str">
        <f>"黄小阳"</f>
        <v>黄小阳</v>
      </c>
      <c r="F530" s="6" t="str">
        <f>"202311180805"</f>
        <v>202311180805</v>
      </c>
      <c r="G530" s="7">
        <v>0</v>
      </c>
      <c r="H530" s="9" t="s">
        <v>13</v>
      </c>
      <c r="I530" s="10" t="s">
        <v>14</v>
      </c>
    </row>
    <row r="531" spans="1:9" ht="24.75" customHeight="1">
      <c r="A531" s="5">
        <v>528</v>
      </c>
      <c r="B531" s="6" t="s">
        <v>11</v>
      </c>
      <c r="C531" s="6" t="s">
        <v>12</v>
      </c>
      <c r="D531" s="6" t="str">
        <f t="shared" si="8"/>
        <v>001</v>
      </c>
      <c r="E531" s="6" t="str">
        <f>"黄薇"</f>
        <v>黄薇</v>
      </c>
      <c r="F531" s="6" t="str">
        <f>"202311180806"</f>
        <v>202311180806</v>
      </c>
      <c r="G531" s="7">
        <v>0</v>
      </c>
      <c r="H531" s="9" t="s">
        <v>13</v>
      </c>
      <c r="I531" s="10" t="s">
        <v>14</v>
      </c>
    </row>
    <row r="532" spans="1:9" ht="24.75" customHeight="1">
      <c r="A532" s="5">
        <v>529</v>
      </c>
      <c r="B532" s="6" t="s">
        <v>11</v>
      </c>
      <c r="C532" s="6" t="s">
        <v>12</v>
      </c>
      <c r="D532" s="6" t="str">
        <f t="shared" si="8"/>
        <v>001</v>
      </c>
      <c r="E532" s="6" t="str">
        <f>"陈晓欣"</f>
        <v>陈晓欣</v>
      </c>
      <c r="F532" s="6" t="str">
        <f>"202311180808"</f>
        <v>202311180808</v>
      </c>
      <c r="G532" s="7">
        <v>0</v>
      </c>
      <c r="H532" s="9" t="s">
        <v>13</v>
      </c>
      <c r="I532" s="10" t="s">
        <v>14</v>
      </c>
    </row>
    <row r="533" spans="1:9" ht="24.75" customHeight="1">
      <c r="A533" s="5">
        <v>530</v>
      </c>
      <c r="B533" s="6" t="s">
        <v>11</v>
      </c>
      <c r="C533" s="6" t="s">
        <v>12</v>
      </c>
      <c r="D533" s="6" t="str">
        <f t="shared" si="8"/>
        <v>001</v>
      </c>
      <c r="E533" s="6" t="str">
        <f>"王伊萍"</f>
        <v>王伊萍</v>
      </c>
      <c r="F533" s="6" t="str">
        <f>"202311180816"</f>
        <v>202311180816</v>
      </c>
      <c r="G533" s="7">
        <v>0</v>
      </c>
      <c r="H533" s="9" t="s">
        <v>13</v>
      </c>
      <c r="I533" s="10" t="s">
        <v>14</v>
      </c>
    </row>
    <row r="534" spans="1:9" ht="24.75" customHeight="1">
      <c r="A534" s="5">
        <v>531</v>
      </c>
      <c r="B534" s="6" t="s">
        <v>11</v>
      </c>
      <c r="C534" s="6" t="s">
        <v>12</v>
      </c>
      <c r="D534" s="6" t="str">
        <f t="shared" si="8"/>
        <v>001</v>
      </c>
      <c r="E534" s="6" t="str">
        <f>"咸振华"</f>
        <v>咸振华</v>
      </c>
      <c r="F534" s="6" t="str">
        <f>"202311180817"</f>
        <v>202311180817</v>
      </c>
      <c r="G534" s="7">
        <v>0</v>
      </c>
      <c r="H534" s="9" t="s">
        <v>13</v>
      </c>
      <c r="I534" s="10" t="s">
        <v>14</v>
      </c>
    </row>
    <row r="535" spans="1:9" ht="24.75" customHeight="1">
      <c r="A535" s="5">
        <v>532</v>
      </c>
      <c r="B535" s="6" t="s">
        <v>11</v>
      </c>
      <c r="C535" s="6" t="s">
        <v>12</v>
      </c>
      <c r="D535" s="6" t="str">
        <f t="shared" si="8"/>
        <v>001</v>
      </c>
      <c r="E535" s="6" t="str">
        <f>"郑世能"</f>
        <v>郑世能</v>
      </c>
      <c r="F535" s="6" t="str">
        <f>"202311180819"</f>
        <v>202311180819</v>
      </c>
      <c r="G535" s="7">
        <v>0</v>
      </c>
      <c r="H535" s="9" t="s">
        <v>13</v>
      </c>
      <c r="I535" s="10" t="s">
        <v>14</v>
      </c>
    </row>
    <row r="536" spans="1:9" ht="24.75" customHeight="1">
      <c r="A536" s="5">
        <v>533</v>
      </c>
      <c r="B536" s="6" t="s">
        <v>11</v>
      </c>
      <c r="C536" s="6" t="s">
        <v>12</v>
      </c>
      <c r="D536" s="6" t="str">
        <f t="shared" si="8"/>
        <v>001</v>
      </c>
      <c r="E536" s="6" t="str">
        <f>"纪晓锦"</f>
        <v>纪晓锦</v>
      </c>
      <c r="F536" s="6" t="str">
        <f>"202311180822"</f>
        <v>202311180822</v>
      </c>
      <c r="G536" s="7">
        <v>0</v>
      </c>
      <c r="H536" s="9" t="s">
        <v>13</v>
      </c>
      <c r="I536" s="10" t="s">
        <v>14</v>
      </c>
    </row>
    <row r="537" spans="1:9" ht="24.75" customHeight="1">
      <c r="A537" s="5">
        <v>534</v>
      </c>
      <c r="B537" s="6" t="s">
        <v>11</v>
      </c>
      <c r="C537" s="6" t="s">
        <v>12</v>
      </c>
      <c r="D537" s="6" t="str">
        <f t="shared" si="8"/>
        <v>001</v>
      </c>
      <c r="E537" s="6" t="str">
        <f>"谭向冰"</f>
        <v>谭向冰</v>
      </c>
      <c r="F537" s="6" t="str">
        <f>"202311180824"</f>
        <v>202311180824</v>
      </c>
      <c r="G537" s="7">
        <v>0</v>
      </c>
      <c r="H537" s="9" t="s">
        <v>13</v>
      </c>
      <c r="I537" s="10" t="s">
        <v>14</v>
      </c>
    </row>
    <row r="538" spans="1:9" ht="24.75" customHeight="1">
      <c r="A538" s="5">
        <v>535</v>
      </c>
      <c r="B538" s="6" t="s">
        <v>11</v>
      </c>
      <c r="C538" s="6" t="s">
        <v>12</v>
      </c>
      <c r="D538" s="6" t="str">
        <f t="shared" si="8"/>
        <v>001</v>
      </c>
      <c r="E538" s="6" t="str">
        <f>"林霞"</f>
        <v>林霞</v>
      </c>
      <c r="F538" s="6" t="str">
        <f>"202311180826"</f>
        <v>202311180826</v>
      </c>
      <c r="G538" s="7">
        <v>0</v>
      </c>
      <c r="H538" s="9" t="s">
        <v>13</v>
      </c>
      <c r="I538" s="10" t="s">
        <v>14</v>
      </c>
    </row>
    <row r="539" spans="1:9" ht="24.75" customHeight="1">
      <c r="A539" s="5">
        <v>536</v>
      </c>
      <c r="B539" s="6" t="s">
        <v>11</v>
      </c>
      <c r="C539" s="6" t="s">
        <v>12</v>
      </c>
      <c r="D539" s="6" t="str">
        <f t="shared" si="8"/>
        <v>001</v>
      </c>
      <c r="E539" s="6" t="str">
        <f>"张云飞"</f>
        <v>张云飞</v>
      </c>
      <c r="F539" s="6" t="str">
        <f>"202311180828"</f>
        <v>202311180828</v>
      </c>
      <c r="G539" s="7">
        <v>0</v>
      </c>
      <c r="H539" s="9" t="s">
        <v>13</v>
      </c>
      <c r="I539" s="10" t="s">
        <v>14</v>
      </c>
    </row>
    <row r="540" spans="1:9" ht="24.75" customHeight="1">
      <c r="A540" s="5">
        <v>537</v>
      </c>
      <c r="B540" s="6" t="s">
        <v>11</v>
      </c>
      <c r="C540" s="6" t="s">
        <v>12</v>
      </c>
      <c r="D540" s="6" t="str">
        <f t="shared" si="8"/>
        <v>001</v>
      </c>
      <c r="E540" s="6" t="str">
        <f>"吴易声"</f>
        <v>吴易声</v>
      </c>
      <c r="F540" s="6" t="str">
        <f>"202311180830"</f>
        <v>202311180830</v>
      </c>
      <c r="G540" s="7">
        <v>0</v>
      </c>
      <c r="H540" s="9" t="s">
        <v>13</v>
      </c>
      <c r="I540" s="10" t="s">
        <v>14</v>
      </c>
    </row>
    <row r="541" spans="1:9" ht="24.75" customHeight="1">
      <c r="A541" s="5">
        <v>538</v>
      </c>
      <c r="B541" s="6" t="s">
        <v>11</v>
      </c>
      <c r="C541" s="6" t="s">
        <v>12</v>
      </c>
      <c r="D541" s="6" t="str">
        <f t="shared" si="8"/>
        <v>001</v>
      </c>
      <c r="E541" s="6" t="str">
        <f>"陈佳亮"</f>
        <v>陈佳亮</v>
      </c>
      <c r="F541" s="6" t="str">
        <f>"202311180904"</f>
        <v>202311180904</v>
      </c>
      <c r="G541" s="7">
        <v>0</v>
      </c>
      <c r="H541" s="9" t="s">
        <v>13</v>
      </c>
      <c r="I541" s="10" t="s">
        <v>14</v>
      </c>
    </row>
    <row r="542" spans="1:9" ht="24.75" customHeight="1">
      <c r="A542" s="5">
        <v>539</v>
      </c>
      <c r="B542" s="6" t="s">
        <v>11</v>
      </c>
      <c r="C542" s="6" t="s">
        <v>12</v>
      </c>
      <c r="D542" s="6" t="str">
        <f t="shared" si="8"/>
        <v>001</v>
      </c>
      <c r="E542" s="6" t="str">
        <f>"符永柏"</f>
        <v>符永柏</v>
      </c>
      <c r="F542" s="6" t="str">
        <f>"202311180905"</f>
        <v>202311180905</v>
      </c>
      <c r="G542" s="7">
        <v>0</v>
      </c>
      <c r="H542" s="9" t="s">
        <v>13</v>
      </c>
      <c r="I542" s="10" t="s">
        <v>14</v>
      </c>
    </row>
    <row r="543" spans="1:9" ht="24.75" customHeight="1">
      <c r="A543" s="5">
        <v>540</v>
      </c>
      <c r="B543" s="6" t="s">
        <v>11</v>
      </c>
      <c r="C543" s="6" t="s">
        <v>12</v>
      </c>
      <c r="D543" s="6" t="str">
        <f t="shared" si="8"/>
        <v>001</v>
      </c>
      <c r="E543" s="6" t="str">
        <f>"王昕"</f>
        <v>王昕</v>
      </c>
      <c r="F543" s="6" t="str">
        <f>"202311180907"</f>
        <v>202311180907</v>
      </c>
      <c r="G543" s="7">
        <v>0</v>
      </c>
      <c r="H543" s="9" t="s">
        <v>13</v>
      </c>
      <c r="I543" s="10" t="s">
        <v>14</v>
      </c>
    </row>
    <row r="544" spans="1:9" ht="24.75" customHeight="1">
      <c r="A544" s="5">
        <v>541</v>
      </c>
      <c r="B544" s="6" t="s">
        <v>11</v>
      </c>
      <c r="C544" s="6" t="s">
        <v>12</v>
      </c>
      <c r="D544" s="6" t="str">
        <f t="shared" si="8"/>
        <v>001</v>
      </c>
      <c r="E544" s="6" t="str">
        <f>"龙雪莲"</f>
        <v>龙雪莲</v>
      </c>
      <c r="F544" s="6" t="str">
        <f>"202311180909"</f>
        <v>202311180909</v>
      </c>
      <c r="G544" s="7">
        <v>0</v>
      </c>
      <c r="H544" s="9" t="s">
        <v>13</v>
      </c>
      <c r="I544" s="10" t="s">
        <v>14</v>
      </c>
    </row>
    <row r="545" spans="1:9" ht="24.75" customHeight="1">
      <c r="A545" s="5">
        <v>542</v>
      </c>
      <c r="B545" s="6" t="s">
        <v>11</v>
      </c>
      <c r="C545" s="6" t="s">
        <v>12</v>
      </c>
      <c r="D545" s="6" t="str">
        <f t="shared" si="8"/>
        <v>001</v>
      </c>
      <c r="E545" s="6" t="str">
        <f>"黄柏栋"</f>
        <v>黄柏栋</v>
      </c>
      <c r="F545" s="6" t="str">
        <f>"202311180911"</f>
        <v>202311180911</v>
      </c>
      <c r="G545" s="7">
        <v>0</v>
      </c>
      <c r="H545" s="9" t="s">
        <v>13</v>
      </c>
      <c r="I545" s="10" t="s">
        <v>14</v>
      </c>
    </row>
    <row r="546" spans="1:9" ht="24.75" customHeight="1">
      <c r="A546" s="5">
        <v>543</v>
      </c>
      <c r="B546" s="6" t="s">
        <v>11</v>
      </c>
      <c r="C546" s="6" t="s">
        <v>12</v>
      </c>
      <c r="D546" s="6" t="str">
        <f t="shared" si="8"/>
        <v>001</v>
      </c>
      <c r="E546" s="6" t="str">
        <f>"谭娜"</f>
        <v>谭娜</v>
      </c>
      <c r="F546" s="6" t="str">
        <f>"202311180912"</f>
        <v>202311180912</v>
      </c>
      <c r="G546" s="7">
        <v>0</v>
      </c>
      <c r="H546" s="9" t="s">
        <v>13</v>
      </c>
      <c r="I546" s="10" t="s">
        <v>14</v>
      </c>
    </row>
    <row r="547" spans="1:9" ht="24.75" customHeight="1">
      <c r="A547" s="5">
        <v>544</v>
      </c>
      <c r="B547" s="6" t="s">
        <v>11</v>
      </c>
      <c r="C547" s="6" t="s">
        <v>12</v>
      </c>
      <c r="D547" s="6" t="str">
        <f t="shared" si="8"/>
        <v>001</v>
      </c>
      <c r="E547" s="6" t="str">
        <f>"吴清波"</f>
        <v>吴清波</v>
      </c>
      <c r="F547" s="6" t="str">
        <f>"202311180913"</f>
        <v>202311180913</v>
      </c>
      <c r="G547" s="7">
        <v>0</v>
      </c>
      <c r="H547" s="9" t="s">
        <v>13</v>
      </c>
      <c r="I547" s="10" t="s">
        <v>14</v>
      </c>
    </row>
    <row r="548" spans="1:9" ht="24.75" customHeight="1">
      <c r="A548" s="5">
        <v>545</v>
      </c>
      <c r="B548" s="6" t="s">
        <v>11</v>
      </c>
      <c r="C548" s="6" t="s">
        <v>12</v>
      </c>
      <c r="D548" s="6" t="str">
        <f t="shared" si="8"/>
        <v>001</v>
      </c>
      <c r="E548" s="6" t="str">
        <f>"麦贤淑"</f>
        <v>麦贤淑</v>
      </c>
      <c r="F548" s="6" t="str">
        <f>"202311180915"</f>
        <v>202311180915</v>
      </c>
      <c r="G548" s="7">
        <v>0</v>
      </c>
      <c r="H548" s="9" t="s">
        <v>13</v>
      </c>
      <c r="I548" s="10" t="s">
        <v>14</v>
      </c>
    </row>
    <row r="549" spans="1:9" ht="24.75" customHeight="1">
      <c r="A549" s="5">
        <v>546</v>
      </c>
      <c r="B549" s="6" t="s">
        <v>11</v>
      </c>
      <c r="C549" s="6" t="s">
        <v>12</v>
      </c>
      <c r="D549" s="6" t="str">
        <f t="shared" si="8"/>
        <v>001</v>
      </c>
      <c r="E549" s="6" t="str">
        <f>"黎石妍"</f>
        <v>黎石妍</v>
      </c>
      <c r="F549" s="6" t="str">
        <f>"202311180918"</f>
        <v>202311180918</v>
      </c>
      <c r="G549" s="7">
        <v>0</v>
      </c>
      <c r="H549" s="9" t="s">
        <v>13</v>
      </c>
      <c r="I549" s="10" t="s">
        <v>14</v>
      </c>
    </row>
    <row r="550" spans="1:9" ht="24.75" customHeight="1">
      <c r="A550" s="5">
        <v>547</v>
      </c>
      <c r="B550" s="6" t="s">
        <v>11</v>
      </c>
      <c r="C550" s="6" t="s">
        <v>12</v>
      </c>
      <c r="D550" s="6" t="str">
        <f t="shared" si="8"/>
        <v>001</v>
      </c>
      <c r="E550" s="6" t="str">
        <f>"李昭霖"</f>
        <v>李昭霖</v>
      </c>
      <c r="F550" s="6" t="str">
        <f>"202311180919"</f>
        <v>202311180919</v>
      </c>
      <c r="G550" s="7">
        <v>0</v>
      </c>
      <c r="H550" s="9" t="s">
        <v>13</v>
      </c>
      <c r="I550" s="10" t="s">
        <v>14</v>
      </c>
    </row>
    <row r="551" spans="1:9" ht="24.75" customHeight="1">
      <c r="A551" s="5">
        <v>548</v>
      </c>
      <c r="B551" s="6" t="s">
        <v>11</v>
      </c>
      <c r="C551" s="6" t="s">
        <v>12</v>
      </c>
      <c r="D551" s="6" t="str">
        <f t="shared" si="8"/>
        <v>001</v>
      </c>
      <c r="E551" s="6" t="str">
        <f>"蔡子力"</f>
        <v>蔡子力</v>
      </c>
      <c r="F551" s="6" t="str">
        <f>"202311180921"</f>
        <v>202311180921</v>
      </c>
      <c r="G551" s="7">
        <v>0</v>
      </c>
      <c r="H551" s="9" t="s">
        <v>13</v>
      </c>
      <c r="I551" s="10" t="s">
        <v>14</v>
      </c>
    </row>
    <row r="552" spans="1:9" ht="24.75" customHeight="1">
      <c r="A552" s="5">
        <v>549</v>
      </c>
      <c r="B552" s="6" t="s">
        <v>11</v>
      </c>
      <c r="C552" s="6" t="s">
        <v>12</v>
      </c>
      <c r="D552" s="6" t="str">
        <f t="shared" si="8"/>
        <v>001</v>
      </c>
      <c r="E552" s="6" t="str">
        <f>"王咸裕"</f>
        <v>王咸裕</v>
      </c>
      <c r="F552" s="6" t="str">
        <f>"202311180922"</f>
        <v>202311180922</v>
      </c>
      <c r="G552" s="7">
        <v>0</v>
      </c>
      <c r="H552" s="9" t="s">
        <v>13</v>
      </c>
      <c r="I552" s="10" t="s">
        <v>14</v>
      </c>
    </row>
    <row r="553" spans="1:9" ht="24.75" customHeight="1">
      <c r="A553" s="5">
        <v>550</v>
      </c>
      <c r="B553" s="6" t="s">
        <v>11</v>
      </c>
      <c r="C553" s="6" t="s">
        <v>12</v>
      </c>
      <c r="D553" s="6" t="str">
        <f t="shared" si="8"/>
        <v>001</v>
      </c>
      <c r="E553" s="6" t="str">
        <f>"蒲喜宁"</f>
        <v>蒲喜宁</v>
      </c>
      <c r="F553" s="6" t="str">
        <f>"202311180925"</f>
        <v>202311180925</v>
      </c>
      <c r="G553" s="7">
        <v>0</v>
      </c>
      <c r="H553" s="9" t="s">
        <v>13</v>
      </c>
      <c r="I553" s="10" t="s">
        <v>14</v>
      </c>
    </row>
    <row r="554" spans="1:9" ht="24.75" customHeight="1">
      <c r="A554" s="5">
        <v>551</v>
      </c>
      <c r="B554" s="6" t="s">
        <v>11</v>
      </c>
      <c r="C554" s="6" t="s">
        <v>12</v>
      </c>
      <c r="D554" s="6" t="str">
        <f t="shared" si="8"/>
        <v>001</v>
      </c>
      <c r="E554" s="6" t="str">
        <f>"金士博"</f>
        <v>金士博</v>
      </c>
      <c r="F554" s="6" t="str">
        <f>"202311180926"</f>
        <v>202311180926</v>
      </c>
      <c r="G554" s="7">
        <v>0</v>
      </c>
      <c r="H554" s="9" t="s">
        <v>13</v>
      </c>
      <c r="I554" s="10" t="s">
        <v>14</v>
      </c>
    </row>
    <row r="555" spans="1:9" ht="24.75" customHeight="1">
      <c r="A555" s="5">
        <v>552</v>
      </c>
      <c r="B555" s="6" t="s">
        <v>11</v>
      </c>
      <c r="C555" s="6" t="s">
        <v>12</v>
      </c>
      <c r="D555" s="6" t="str">
        <f t="shared" si="8"/>
        <v>001</v>
      </c>
      <c r="E555" s="6" t="str">
        <f>"邝超"</f>
        <v>邝超</v>
      </c>
      <c r="F555" s="6" t="str">
        <f>"202311180927"</f>
        <v>202311180927</v>
      </c>
      <c r="G555" s="7">
        <v>0</v>
      </c>
      <c r="H555" s="9" t="s">
        <v>13</v>
      </c>
      <c r="I555" s="10" t="s">
        <v>14</v>
      </c>
    </row>
    <row r="556" spans="1:9" ht="24.75" customHeight="1">
      <c r="A556" s="5">
        <v>553</v>
      </c>
      <c r="B556" s="6" t="s">
        <v>11</v>
      </c>
      <c r="C556" s="6" t="s">
        <v>12</v>
      </c>
      <c r="D556" s="6" t="str">
        <f t="shared" si="8"/>
        <v>001</v>
      </c>
      <c r="E556" s="6" t="str">
        <f>"吴康"</f>
        <v>吴康</v>
      </c>
      <c r="F556" s="6" t="str">
        <f>"202311180929"</f>
        <v>202311180929</v>
      </c>
      <c r="G556" s="7">
        <v>0</v>
      </c>
      <c r="H556" s="9" t="s">
        <v>13</v>
      </c>
      <c r="I556" s="10" t="s">
        <v>14</v>
      </c>
    </row>
    <row r="557" spans="1:9" ht="24.75" customHeight="1">
      <c r="A557" s="5">
        <v>554</v>
      </c>
      <c r="B557" s="6" t="s">
        <v>11</v>
      </c>
      <c r="C557" s="6" t="s">
        <v>12</v>
      </c>
      <c r="D557" s="6" t="str">
        <f t="shared" si="8"/>
        <v>001</v>
      </c>
      <c r="E557" s="6" t="str">
        <f>"陈海琼"</f>
        <v>陈海琼</v>
      </c>
      <c r="F557" s="6" t="str">
        <f>"202311181001"</f>
        <v>202311181001</v>
      </c>
      <c r="G557" s="7">
        <v>0</v>
      </c>
      <c r="H557" s="9" t="s">
        <v>13</v>
      </c>
      <c r="I557" s="10" t="s">
        <v>14</v>
      </c>
    </row>
    <row r="558" spans="1:9" ht="24.75" customHeight="1">
      <c r="A558" s="5">
        <v>555</v>
      </c>
      <c r="B558" s="6" t="s">
        <v>11</v>
      </c>
      <c r="C558" s="6" t="s">
        <v>12</v>
      </c>
      <c r="D558" s="6" t="str">
        <f t="shared" si="8"/>
        <v>001</v>
      </c>
      <c r="E558" s="6" t="str">
        <f>"卓书艺"</f>
        <v>卓书艺</v>
      </c>
      <c r="F558" s="6" t="str">
        <f>"202311181003"</f>
        <v>202311181003</v>
      </c>
      <c r="G558" s="7">
        <v>0</v>
      </c>
      <c r="H558" s="9" t="s">
        <v>13</v>
      </c>
      <c r="I558" s="10" t="s">
        <v>14</v>
      </c>
    </row>
    <row r="559" spans="1:9" ht="24.75" customHeight="1">
      <c r="A559" s="5">
        <v>556</v>
      </c>
      <c r="B559" s="6" t="s">
        <v>11</v>
      </c>
      <c r="C559" s="6" t="s">
        <v>12</v>
      </c>
      <c r="D559" s="6" t="str">
        <f t="shared" si="8"/>
        <v>001</v>
      </c>
      <c r="E559" s="6" t="str">
        <f>"秦路平"</f>
        <v>秦路平</v>
      </c>
      <c r="F559" s="6" t="str">
        <f>"202311181007"</f>
        <v>202311181007</v>
      </c>
      <c r="G559" s="7">
        <v>0</v>
      </c>
      <c r="H559" s="9" t="s">
        <v>13</v>
      </c>
      <c r="I559" s="10" t="s">
        <v>14</v>
      </c>
    </row>
    <row r="560" spans="1:9" ht="24.75" customHeight="1">
      <c r="A560" s="5">
        <v>557</v>
      </c>
      <c r="B560" s="6" t="s">
        <v>11</v>
      </c>
      <c r="C560" s="6" t="s">
        <v>12</v>
      </c>
      <c r="D560" s="6" t="str">
        <f t="shared" si="8"/>
        <v>001</v>
      </c>
      <c r="E560" s="6" t="str">
        <f>"符契芬"</f>
        <v>符契芬</v>
      </c>
      <c r="F560" s="6" t="str">
        <f>"202311181010"</f>
        <v>202311181010</v>
      </c>
      <c r="G560" s="7">
        <v>0</v>
      </c>
      <c r="H560" s="9" t="s">
        <v>13</v>
      </c>
      <c r="I560" s="10" t="s">
        <v>14</v>
      </c>
    </row>
    <row r="561" spans="1:9" ht="24.75" customHeight="1">
      <c r="A561" s="5">
        <v>558</v>
      </c>
      <c r="B561" s="6" t="s">
        <v>11</v>
      </c>
      <c r="C561" s="6" t="s">
        <v>12</v>
      </c>
      <c r="D561" s="6" t="str">
        <f t="shared" si="8"/>
        <v>001</v>
      </c>
      <c r="E561" s="6" t="str">
        <f>"陈朝熙"</f>
        <v>陈朝熙</v>
      </c>
      <c r="F561" s="6" t="str">
        <f>"202311181016"</f>
        <v>202311181016</v>
      </c>
      <c r="G561" s="7">
        <v>0</v>
      </c>
      <c r="H561" s="9" t="s">
        <v>13</v>
      </c>
      <c r="I561" s="10" t="s">
        <v>14</v>
      </c>
    </row>
    <row r="562" spans="1:9" ht="24.75" customHeight="1">
      <c r="A562" s="5">
        <v>559</v>
      </c>
      <c r="B562" s="6" t="s">
        <v>11</v>
      </c>
      <c r="C562" s="6" t="s">
        <v>12</v>
      </c>
      <c r="D562" s="6" t="str">
        <f t="shared" si="8"/>
        <v>001</v>
      </c>
      <c r="E562" s="6" t="str">
        <f>"黄羽珊"</f>
        <v>黄羽珊</v>
      </c>
      <c r="F562" s="6" t="str">
        <f>"202311181017"</f>
        <v>202311181017</v>
      </c>
      <c r="G562" s="7">
        <v>0</v>
      </c>
      <c r="H562" s="9" t="s">
        <v>13</v>
      </c>
      <c r="I562" s="10" t="s">
        <v>14</v>
      </c>
    </row>
    <row r="563" spans="1:9" ht="24.75" customHeight="1">
      <c r="A563" s="5">
        <v>560</v>
      </c>
      <c r="B563" s="6" t="s">
        <v>11</v>
      </c>
      <c r="C563" s="6" t="s">
        <v>12</v>
      </c>
      <c r="D563" s="6" t="str">
        <f t="shared" si="8"/>
        <v>001</v>
      </c>
      <c r="E563" s="6" t="str">
        <f>"云博翔"</f>
        <v>云博翔</v>
      </c>
      <c r="F563" s="6" t="str">
        <f>"202311181018"</f>
        <v>202311181018</v>
      </c>
      <c r="G563" s="7">
        <v>0</v>
      </c>
      <c r="H563" s="9" t="s">
        <v>13</v>
      </c>
      <c r="I563" s="10" t="s">
        <v>14</v>
      </c>
    </row>
    <row r="564" spans="1:9" ht="24.75" customHeight="1">
      <c r="A564" s="5">
        <v>561</v>
      </c>
      <c r="B564" s="6" t="s">
        <v>11</v>
      </c>
      <c r="C564" s="6" t="s">
        <v>12</v>
      </c>
      <c r="D564" s="6" t="str">
        <f t="shared" si="8"/>
        <v>001</v>
      </c>
      <c r="E564" s="6" t="str">
        <f>"赵超"</f>
        <v>赵超</v>
      </c>
      <c r="F564" s="6" t="str">
        <f>"202311181019"</f>
        <v>202311181019</v>
      </c>
      <c r="G564" s="7">
        <v>0</v>
      </c>
      <c r="H564" s="9" t="s">
        <v>13</v>
      </c>
      <c r="I564" s="10" t="s">
        <v>14</v>
      </c>
    </row>
    <row r="565" spans="1:9" ht="24.75" customHeight="1">
      <c r="A565" s="5">
        <v>562</v>
      </c>
      <c r="B565" s="6" t="s">
        <v>11</v>
      </c>
      <c r="C565" s="6" t="s">
        <v>12</v>
      </c>
      <c r="D565" s="6" t="str">
        <f t="shared" si="8"/>
        <v>001</v>
      </c>
      <c r="E565" s="6" t="str">
        <f>"罗伶"</f>
        <v>罗伶</v>
      </c>
      <c r="F565" s="6" t="str">
        <f>"202311181020"</f>
        <v>202311181020</v>
      </c>
      <c r="G565" s="7">
        <v>0</v>
      </c>
      <c r="H565" s="9" t="s">
        <v>13</v>
      </c>
      <c r="I565" s="10" t="s">
        <v>14</v>
      </c>
    </row>
    <row r="566" spans="1:9" ht="24.75" customHeight="1">
      <c r="A566" s="5">
        <v>563</v>
      </c>
      <c r="B566" s="6" t="s">
        <v>11</v>
      </c>
      <c r="C566" s="6" t="s">
        <v>12</v>
      </c>
      <c r="D566" s="6" t="str">
        <f t="shared" si="8"/>
        <v>001</v>
      </c>
      <c r="E566" s="6" t="str">
        <f>"周群"</f>
        <v>周群</v>
      </c>
      <c r="F566" s="6" t="str">
        <f>"202311181021"</f>
        <v>202311181021</v>
      </c>
      <c r="G566" s="7">
        <v>0</v>
      </c>
      <c r="H566" s="9" t="s">
        <v>13</v>
      </c>
      <c r="I566" s="10" t="s">
        <v>14</v>
      </c>
    </row>
    <row r="567" spans="1:9" ht="24.75" customHeight="1">
      <c r="A567" s="5">
        <v>564</v>
      </c>
      <c r="B567" s="6" t="s">
        <v>11</v>
      </c>
      <c r="C567" s="6" t="s">
        <v>12</v>
      </c>
      <c r="D567" s="6" t="str">
        <f t="shared" si="8"/>
        <v>001</v>
      </c>
      <c r="E567" s="6" t="str">
        <f>"李苗青"</f>
        <v>李苗青</v>
      </c>
      <c r="F567" s="6" t="str">
        <f>"202311181024"</f>
        <v>202311181024</v>
      </c>
      <c r="G567" s="7">
        <v>0</v>
      </c>
      <c r="H567" s="9" t="s">
        <v>13</v>
      </c>
      <c r="I567" s="10" t="s">
        <v>14</v>
      </c>
    </row>
    <row r="568" spans="1:9" ht="24.75" customHeight="1">
      <c r="A568" s="5">
        <v>565</v>
      </c>
      <c r="B568" s="6" t="s">
        <v>11</v>
      </c>
      <c r="C568" s="6" t="s">
        <v>12</v>
      </c>
      <c r="D568" s="6" t="str">
        <f t="shared" si="8"/>
        <v>001</v>
      </c>
      <c r="E568" s="6" t="str">
        <f>"许良顺"</f>
        <v>许良顺</v>
      </c>
      <c r="F568" s="6" t="str">
        <f>"202311181026"</f>
        <v>202311181026</v>
      </c>
      <c r="G568" s="7">
        <v>0</v>
      </c>
      <c r="H568" s="9" t="s">
        <v>13</v>
      </c>
      <c r="I568" s="10" t="s">
        <v>14</v>
      </c>
    </row>
    <row r="569" spans="1:9" ht="24.75" customHeight="1">
      <c r="A569" s="5">
        <v>566</v>
      </c>
      <c r="B569" s="6" t="s">
        <v>11</v>
      </c>
      <c r="C569" s="6" t="s">
        <v>12</v>
      </c>
      <c r="D569" s="6" t="str">
        <f t="shared" si="8"/>
        <v>001</v>
      </c>
      <c r="E569" s="6" t="str">
        <f>"陈圣学"</f>
        <v>陈圣学</v>
      </c>
      <c r="F569" s="6" t="str">
        <f>"202311181028"</f>
        <v>202311181028</v>
      </c>
      <c r="G569" s="7">
        <v>0</v>
      </c>
      <c r="H569" s="9" t="s">
        <v>13</v>
      </c>
      <c r="I569" s="10" t="s">
        <v>14</v>
      </c>
    </row>
    <row r="570" spans="1:9" ht="24.75" customHeight="1">
      <c r="A570" s="5">
        <v>567</v>
      </c>
      <c r="B570" s="6" t="s">
        <v>11</v>
      </c>
      <c r="C570" s="6" t="s">
        <v>12</v>
      </c>
      <c r="D570" s="6" t="str">
        <f t="shared" si="8"/>
        <v>001</v>
      </c>
      <c r="E570" s="6" t="str">
        <f>"王茜"</f>
        <v>王茜</v>
      </c>
      <c r="F570" s="6" t="str">
        <f>"202311181030"</f>
        <v>202311181030</v>
      </c>
      <c r="G570" s="7">
        <v>0</v>
      </c>
      <c r="H570" s="9" t="s">
        <v>13</v>
      </c>
      <c r="I570" s="10" t="s">
        <v>14</v>
      </c>
    </row>
    <row r="571" spans="1:9" ht="24.75" customHeight="1">
      <c r="A571" s="5">
        <v>568</v>
      </c>
      <c r="B571" s="6" t="s">
        <v>11</v>
      </c>
      <c r="C571" s="6" t="s">
        <v>12</v>
      </c>
      <c r="D571" s="6" t="str">
        <f t="shared" si="8"/>
        <v>001</v>
      </c>
      <c r="E571" s="6" t="str">
        <f>"梁讯"</f>
        <v>梁讯</v>
      </c>
      <c r="F571" s="6" t="str">
        <f>"202311181106"</f>
        <v>202311181106</v>
      </c>
      <c r="G571" s="7">
        <v>0</v>
      </c>
      <c r="H571" s="9" t="s">
        <v>13</v>
      </c>
      <c r="I571" s="10" t="s">
        <v>14</v>
      </c>
    </row>
    <row r="572" spans="1:9" ht="24.75" customHeight="1">
      <c r="A572" s="5">
        <v>569</v>
      </c>
      <c r="B572" s="6" t="s">
        <v>11</v>
      </c>
      <c r="C572" s="6" t="s">
        <v>12</v>
      </c>
      <c r="D572" s="6" t="str">
        <f t="shared" si="8"/>
        <v>001</v>
      </c>
      <c r="E572" s="6" t="str">
        <f>"池东珠"</f>
        <v>池东珠</v>
      </c>
      <c r="F572" s="6" t="str">
        <f>"202311181108"</f>
        <v>202311181108</v>
      </c>
      <c r="G572" s="7">
        <v>0</v>
      </c>
      <c r="H572" s="9" t="s">
        <v>13</v>
      </c>
      <c r="I572" s="10" t="s">
        <v>14</v>
      </c>
    </row>
    <row r="573" spans="1:9" ht="24.75" customHeight="1">
      <c r="A573" s="5">
        <v>570</v>
      </c>
      <c r="B573" s="6" t="s">
        <v>11</v>
      </c>
      <c r="C573" s="6" t="s">
        <v>12</v>
      </c>
      <c r="D573" s="6" t="str">
        <f t="shared" si="8"/>
        <v>001</v>
      </c>
      <c r="E573" s="6" t="str">
        <f>"黄敏"</f>
        <v>黄敏</v>
      </c>
      <c r="F573" s="6" t="str">
        <f>"202311181109"</f>
        <v>202311181109</v>
      </c>
      <c r="G573" s="7">
        <v>0</v>
      </c>
      <c r="H573" s="9" t="s">
        <v>13</v>
      </c>
      <c r="I573" s="10" t="s">
        <v>14</v>
      </c>
    </row>
    <row r="574" spans="1:9" ht="24.75" customHeight="1">
      <c r="A574" s="5">
        <v>571</v>
      </c>
      <c r="B574" s="6" t="s">
        <v>11</v>
      </c>
      <c r="C574" s="6" t="s">
        <v>12</v>
      </c>
      <c r="D574" s="6" t="str">
        <f t="shared" si="8"/>
        <v>001</v>
      </c>
      <c r="E574" s="6" t="str">
        <f>"樊华"</f>
        <v>樊华</v>
      </c>
      <c r="F574" s="6" t="str">
        <f>"202311181114"</f>
        <v>202311181114</v>
      </c>
      <c r="G574" s="7">
        <v>0</v>
      </c>
      <c r="H574" s="9" t="s">
        <v>13</v>
      </c>
      <c r="I574" s="10" t="s">
        <v>14</v>
      </c>
    </row>
    <row r="575" spans="1:9" ht="24.75" customHeight="1">
      <c r="A575" s="5">
        <v>572</v>
      </c>
      <c r="B575" s="6" t="s">
        <v>11</v>
      </c>
      <c r="C575" s="6" t="s">
        <v>12</v>
      </c>
      <c r="D575" s="6" t="str">
        <f t="shared" si="8"/>
        <v>001</v>
      </c>
      <c r="E575" s="6" t="str">
        <f>"符冬梅"</f>
        <v>符冬梅</v>
      </c>
      <c r="F575" s="6" t="str">
        <f>"202311181115"</f>
        <v>202311181115</v>
      </c>
      <c r="G575" s="7">
        <v>0</v>
      </c>
      <c r="H575" s="9" t="s">
        <v>13</v>
      </c>
      <c r="I575" s="10" t="s">
        <v>14</v>
      </c>
    </row>
    <row r="576" spans="1:9" ht="24.75" customHeight="1">
      <c r="A576" s="5">
        <v>573</v>
      </c>
      <c r="B576" s="6" t="s">
        <v>11</v>
      </c>
      <c r="C576" s="6" t="s">
        <v>12</v>
      </c>
      <c r="D576" s="6" t="str">
        <f t="shared" si="8"/>
        <v>001</v>
      </c>
      <c r="E576" s="6" t="str">
        <f>"邹泳卿"</f>
        <v>邹泳卿</v>
      </c>
      <c r="F576" s="6" t="str">
        <f>"202311181116"</f>
        <v>202311181116</v>
      </c>
      <c r="G576" s="7">
        <v>0</v>
      </c>
      <c r="H576" s="9" t="s">
        <v>13</v>
      </c>
      <c r="I576" s="10" t="s">
        <v>14</v>
      </c>
    </row>
    <row r="577" spans="1:9" ht="24.75" customHeight="1">
      <c r="A577" s="5">
        <v>574</v>
      </c>
      <c r="B577" s="6" t="s">
        <v>11</v>
      </c>
      <c r="C577" s="6" t="s">
        <v>12</v>
      </c>
      <c r="D577" s="6" t="str">
        <f t="shared" si="8"/>
        <v>001</v>
      </c>
      <c r="E577" s="6" t="str">
        <f>"宣欣"</f>
        <v>宣欣</v>
      </c>
      <c r="F577" s="6" t="str">
        <f>"202311181117"</f>
        <v>202311181117</v>
      </c>
      <c r="G577" s="7">
        <v>0</v>
      </c>
      <c r="H577" s="9" t="s">
        <v>13</v>
      </c>
      <c r="I577" s="10" t="s">
        <v>14</v>
      </c>
    </row>
    <row r="578" spans="1:9" ht="24.75" customHeight="1">
      <c r="A578" s="5">
        <v>575</v>
      </c>
      <c r="B578" s="6" t="s">
        <v>11</v>
      </c>
      <c r="C578" s="6" t="s">
        <v>12</v>
      </c>
      <c r="D578" s="6" t="str">
        <f t="shared" si="8"/>
        <v>001</v>
      </c>
      <c r="E578" s="6" t="str">
        <f>"黄华艳"</f>
        <v>黄华艳</v>
      </c>
      <c r="F578" s="6" t="str">
        <f>"202311181119"</f>
        <v>202311181119</v>
      </c>
      <c r="G578" s="7">
        <v>0</v>
      </c>
      <c r="H578" s="9" t="s">
        <v>13</v>
      </c>
      <c r="I578" s="10" t="s">
        <v>14</v>
      </c>
    </row>
    <row r="579" spans="1:9" ht="24.75" customHeight="1">
      <c r="A579" s="5">
        <v>576</v>
      </c>
      <c r="B579" s="6" t="s">
        <v>11</v>
      </c>
      <c r="C579" s="6" t="s">
        <v>12</v>
      </c>
      <c r="D579" s="6" t="str">
        <f t="shared" si="8"/>
        <v>001</v>
      </c>
      <c r="E579" s="6" t="str">
        <f>"林琳"</f>
        <v>林琳</v>
      </c>
      <c r="F579" s="6" t="str">
        <f>"202311181120"</f>
        <v>202311181120</v>
      </c>
      <c r="G579" s="7">
        <v>0</v>
      </c>
      <c r="H579" s="9" t="s">
        <v>13</v>
      </c>
      <c r="I579" s="10" t="s">
        <v>14</v>
      </c>
    </row>
    <row r="580" spans="1:9" ht="24.75" customHeight="1">
      <c r="A580" s="5">
        <v>577</v>
      </c>
      <c r="B580" s="6" t="s">
        <v>11</v>
      </c>
      <c r="C580" s="6" t="s">
        <v>12</v>
      </c>
      <c r="D580" s="6" t="str">
        <f aca="true" t="shared" si="9" ref="D580:D643">"001"</f>
        <v>001</v>
      </c>
      <c r="E580" s="6" t="str">
        <f>"苏李威"</f>
        <v>苏李威</v>
      </c>
      <c r="F580" s="6" t="str">
        <f>"202311181126"</f>
        <v>202311181126</v>
      </c>
      <c r="G580" s="7">
        <v>0</v>
      </c>
      <c r="H580" s="9" t="s">
        <v>13</v>
      </c>
      <c r="I580" s="10" t="s">
        <v>14</v>
      </c>
    </row>
    <row r="581" spans="1:9" ht="24.75" customHeight="1">
      <c r="A581" s="5">
        <v>578</v>
      </c>
      <c r="B581" s="6" t="s">
        <v>11</v>
      </c>
      <c r="C581" s="6" t="s">
        <v>12</v>
      </c>
      <c r="D581" s="6" t="str">
        <f t="shared" si="9"/>
        <v>001</v>
      </c>
      <c r="E581" s="6" t="str">
        <f>"李正娴"</f>
        <v>李正娴</v>
      </c>
      <c r="F581" s="6" t="str">
        <f>"202311181128"</f>
        <v>202311181128</v>
      </c>
      <c r="G581" s="7">
        <v>0</v>
      </c>
      <c r="H581" s="9" t="s">
        <v>13</v>
      </c>
      <c r="I581" s="10" t="s">
        <v>14</v>
      </c>
    </row>
    <row r="582" spans="1:9" ht="24.75" customHeight="1">
      <c r="A582" s="5">
        <v>579</v>
      </c>
      <c r="B582" s="6" t="s">
        <v>11</v>
      </c>
      <c r="C582" s="6" t="s">
        <v>12</v>
      </c>
      <c r="D582" s="6" t="str">
        <f t="shared" si="9"/>
        <v>001</v>
      </c>
      <c r="E582" s="6" t="str">
        <f>"张彩云"</f>
        <v>张彩云</v>
      </c>
      <c r="F582" s="6" t="str">
        <f>"202311181130"</f>
        <v>202311181130</v>
      </c>
      <c r="G582" s="7">
        <v>0</v>
      </c>
      <c r="H582" s="9" t="s">
        <v>13</v>
      </c>
      <c r="I582" s="10" t="s">
        <v>14</v>
      </c>
    </row>
    <row r="583" spans="1:9" ht="24.75" customHeight="1">
      <c r="A583" s="5">
        <v>580</v>
      </c>
      <c r="B583" s="6" t="s">
        <v>11</v>
      </c>
      <c r="C583" s="6" t="s">
        <v>12</v>
      </c>
      <c r="D583" s="6" t="str">
        <f t="shared" si="9"/>
        <v>001</v>
      </c>
      <c r="E583" s="6" t="str">
        <f>"赵明翠"</f>
        <v>赵明翠</v>
      </c>
      <c r="F583" s="6" t="str">
        <f>"202311181201"</f>
        <v>202311181201</v>
      </c>
      <c r="G583" s="7">
        <v>0</v>
      </c>
      <c r="H583" s="9" t="s">
        <v>13</v>
      </c>
      <c r="I583" s="10" t="s">
        <v>14</v>
      </c>
    </row>
    <row r="584" spans="1:9" ht="24.75" customHeight="1">
      <c r="A584" s="5">
        <v>581</v>
      </c>
      <c r="B584" s="6" t="s">
        <v>11</v>
      </c>
      <c r="C584" s="6" t="s">
        <v>12</v>
      </c>
      <c r="D584" s="6" t="str">
        <f t="shared" si="9"/>
        <v>001</v>
      </c>
      <c r="E584" s="6" t="str">
        <f>"吴海桂"</f>
        <v>吴海桂</v>
      </c>
      <c r="F584" s="6" t="str">
        <f>"202311181202"</f>
        <v>202311181202</v>
      </c>
      <c r="G584" s="7">
        <v>0</v>
      </c>
      <c r="H584" s="9" t="s">
        <v>13</v>
      </c>
      <c r="I584" s="10" t="s">
        <v>14</v>
      </c>
    </row>
    <row r="585" spans="1:9" ht="24.75" customHeight="1">
      <c r="A585" s="5">
        <v>582</v>
      </c>
      <c r="B585" s="6" t="s">
        <v>11</v>
      </c>
      <c r="C585" s="6" t="s">
        <v>12</v>
      </c>
      <c r="D585" s="6" t="str">
        <f t="shared" si="9"/>
        <v>001</v>
      </c>
      <c r="E585" s="6" t="str">
        <f>"易思梦"</f>
        <v>易思梦</v>
      </c>
      <c r="F585" s="6" t="str">
        <f>"202311181203"</f>
        <v>202311181203</v>
      </c>
      <c r="G585" s="7">
        <v>0</v>
      </c>
      <c r="H585" s="9" t="s">
        <v>13</v>
      </c>
      <c r="I585" s="10" t="s">
        <v>14</v>
      </c>
    </row>
    <row r="586" spans="1:9" ht="24.75" customHeight="1">
      <c r="A586" s="5">
        <v>583</v>
      </c>
      <c r="B586" s="6" t="s">
        <v>11</v>
      </c>
      <c r="C586" s="6" t="s">
        <v>12</v>
      </c>
      <c r="D586" s="6" t="str">
        <f t="shared" si="9"/>
        <v>001</v>
      </c>
      <c r="E586" s="6" t="str">
        <f>"符加卫"</f>
        <v>符加卫</v>
      </c>
      <c r="F586" s="6" t="str">
        <f>"202311181206"</f>
        <v>202311181206</v>
      </c>
      <c r="G586" s="7">
        <v>0</v>
      </c>
      <c r="H586" s="9" t="s">
        <v>13</v>
      </c>
      <c r="I586" s="10" t="s">
        <v>14</v>
      </c>
    </row>
    <row r="587" spans="1:9" ht="24.75" customHeight="1">
      <c r="A587" s="5">
        <v>584</v>
      </c>
      <c r="B587" s="6" t="s">
        <v>11</v>
      </c>
      <c r="C587" s="6" t="s">
        <v>12</v>
      </c>
      <c r="D587" s="6" t="str">
        <f t="shared" si="9"/>
        <v>001</v>
      </c>
      <c r="E587" s="6" t="str">
        <f>"卢健阳"</f>
        <v>卢健阳</v>
      </c>
      <c r="F587" s="6" t="str">
        <f>"202311181207"</f>
        <v>202311181207</v>
      </c>
      <c r="G587" s="7">
        <v>0</v>
      </c>
      <c r="H587" s="9" t="s">
        <v>13</v>
      </c>
      <c r="I587" s="10" t="s">
        <v>14</v>
      </c>
    </row>
    <row r="588" spans="1:9" ht="24.75" customHeight="1">
      <c r="A588" s="5">
        <v>585</v>
      </c>
      <c r="B588" s="6" t="s">
        <v>11</v>
      </c>
      <c r="C588" s="6" t="s">
        <v>12</v>
      </c>
      <c r="D588" s="6" t="str">
        <f t="shared" si="9"/>
        <v>001</v>
      </c>
      <c r="E588" s="6" t="str">
        <f>"陈谦"</f>
        <v>陈谦</v>
      </c>
      <c r="F588" s="6" t="str">
        <f>"202311181210"</f>
        <v>202311181210</v>
      </c>
      <c r="G588" s="7">
        <v>0</v>
      </c>
      <c r="H588" s="9" t="s">
        <v>13</v>
      </c>
      <c r="I588" s="10" t="s">
        <v>14</v>
      </c>
    </row>
    <row r="589" spans="1:9" ht="24.75" customHeight="1">
      <c r="A589" s="5">
        <v>586</v>
      </c>
      <c r="B589" s="6" t="s">
        <v>11</v>
      </c>
      <c r="C589" s="6" t="s">
        <v>12</v>
      </c>
      <c r="D589" s="6" t="str">
        <f t="shared" si="9"/>
        <v>001</v>
      </c>
      <c r="E589" s="6" t="str">
        <f>"曾守德"</f>
        <v>曾守德</v>
      </c>
      <c r="F589" s="6" t="str">
        <f>"202311181212"</f>
        <v>202311181212</v>
      </c>
      <c r="G589" s="7">
        <v>0</v>
      </c>
      <c r="H589" s="9" t="s">
        <v>13</v>
      </c>
      <c r="I589" s="10" t="s">
        <v>14</v>
      </c>
    </row>
    <row r="590" spans="1:9" ht="24.75" customHeight="1">
      <c r="A590" s="5">
        <v>587</v>
      </c>
      <c r="B590" s="6" t="s">
        <v>11</v>
      </c>
      <c r="C590" s="6" t="s">
        <v>12</v>
      </c>
      <c r="D590" s="6" t="str">
        <f t="shared" si="9"/>
        <v>001</v>
      </c>
      <c r="E590" s="6" t="str">
        <f>"郑丽菊"</f>
        <v>郑丽菊</v>
      </c>
      <c r="F590" s="6" t="str">
        <f>"202311181213"</f>
        <v>202311181213</v>
      </c>
      <c r="G590" s="7">
        <v>0</v>
      </c>
      <c r="H590" s="9" t="s">
        <v>13</v>
      </c>
      <c r="I590" s="10" t="s">
        <v>14</v>
      </c>
    </row>
    <row r="591" spans="1:9" ht="24.75" customHeight="1">
      <c r="A591" s="5">
        <v>588</v>
      </c>
      <c r="B591" s="6" t="s">
        <v>11</v>
      </c>
      <c r="C591" s="6" t="s">
        <v>12</v>
      </c>
      <c r="D591" s="6" t="str">
        <f t="shared" si="9"/>
        <v>001</v>
      </c>
      <c r="E591" s="6" t="str">
        <f>"何帆"</f>
        <v>何帆</v>
      </c>
      <c r="F591" s="6" t="str">
        <f>"202311181216"</f>
        <v>202311181216</v>
      </c>
      <c r="G591" s="7">
        <v>0</v>
      </c>
      <c r="H591" s="9" t="s">
        <v>13</v>
      </c>
      <c r="I591" s="10" t="s">
        <v>14</v>
      </c>
    </row>
    <row r="592" spans="1:9" ht="24.75" customHeight="1">
      <c r="A592" s="5">
        <v>589</v>
      </c>
      <c r="B592" s="6" t="s">
        <v>11</v>
      </c>
      <c r="C592" s="6" t="s">
        <v>12</v>
      </c>
      <c r="D592" s="6" t="str">
        <f t="shared" si="9"/>
        <v>001</v>
      </c>
      <c r="E592" s="6" t="str">
        <f>"吴淑娇"</f>
        <v>吴淑娇</v>
      </c>
      <c r="F592" s="6" t="str">
        <f>"202311181218"</f>
        <v>202311181218</v>
      </c>
      <c r="G592" s="7">
        <v>0</v>
      </c>
      <c r="H592" s="9" t="s">
        <v>13</v>
      </c>
      <c r="I592" s="10" t="s">
        <v>14</v>
      </c>
    </row>
    <row r="593" spans="1:9" ht="24.75" customHeight="1">
      <c r="A593" s="5">
        <v>590</v>
      </c>
      <c r="B593" s="6" t="s">
        <v>11</v>
      </c>
      <c r="C593" s="6" t="s">
        <v>12</v>
      </c>
      <c r="D593" s="6" t="str">
        <f t="shared" si="9"/>
        <v>001</v>
      </c>
      <c r="E593" s="6" t="str">
        <f>"陈霏"</f>
        <v>陈霏</v>
      </c>
      <c r="F593" s="6" t="str">
        <f>"202311181219"</f>
        <v>202311181219</v>
      </c>
      <c r="G593" s="7">
        <v>0</v>
      </c>
      <c r="H593" s="9" t="s">
        <v>13</v>
      </c>
      <c r="I593" s="10" t="s">
        <v>14</v>
      </c>
    </row>
    <row r="594" spans="1:9" ht="24.75" customHeight="1">
      <c r="A594" s="5">
        <v>591</v>
      </c>
      <c r="B594" s="6" t="s">
        <v>11</v>
      </c>
      <c r="C594" s="6" t="s">
        <v>12</v>
      </c>
      <c r="D594" s="6" t="str">
        <f t="shared" si="9"/>
        <v>001</v>
      </c>
      <c r="E594" s="6" t="str">
        <f>"林昌爱"</f>
        <v>林昌爱</v>
      </c>
      <c r="F594" s="6" t="str">
        <f>"202311181220"</f>
        <v>202311181220</v>
      </c>
      <c r="G594" s="7">
        <v>0</v>
      </c>
      <c r="H594" s="9" t="s">
        <v>13</v>
      </c>
      <c r="I594" s="10" t="s">
        <v>14</v>
      </c>
    </row>
    <row r="595" spans="1:9" ht="24.75" customHeight="1">
      <c r="A595" s="5">
        <v>592</v>
      </c>
      <c r="B595" s="6" t="s">
        <v>11</v>
      </c>
      <c r="C595" s="6" t="s">
        <v>12</v>
      </c>
      <c r="D595" s="6" t="str">
        <f t="shared" si="9"/>
        <v>001</v>
      </c>
      <c r="E595" s="6" t="str">
        <f>"陈海山"</f>
        <v>陈海山</v>
      </c>
      <c r="F595" s="6" t="str">
        <f>"202311181222"</f>
        <v>202311181222</v>
      </c>
      <c r="G595" s="7">
        <v>0</v>
      </c>
      <c r="H595" s="9" t="s">
        <v>13</v>
      </c>
      <c r="I595" s="10" t="s">
        <v>14</v>
      </c>
    </row>
    <row r="596" spans="1:9" ht="24.75" customHeight="1">
      <c r="A596" s="5">
        <v>593</v>
      </c>
      <c r="B596" s="6" t="s">
        <v>11</v>
      </c>
      <c r="C596" s="6" t="s">
        <v>12</v>
      </c>
      <c r="D596" s="6" t="str">
        <f t="shared" si="9"/>
        <v>001</v>
      </c>
      <c r="E596" s="6" t="str">
        <f>"陈海莹"</f>
        <v>陈海莹</v>
      </c>
      <c r="F596" s="6" t="str">
        <f>"202311181225"</f>
        <v>202311181225</v>
      </c>
      <c r="G596" s="7">
        <v>0</v>
      </c>
      <c r="H596" s="9" t="s">
        <v>13</v>
      </c>
      <c r="I596" s="10" t="s">
        <v>14</v>
      </c>
    </row>
    <row r="597" spans="1:9" ht="24.75" customHeight="1">
      <c r="A597" s="5">
        <v>594</v>
      </c>
      <c r="B597" s="6" t="s">
        <v>11</v>
      </c>
      <c r="C597" s="6" t="s">
        <v>12</v>
      </c>
      <c r="D597" s="6" t="str">
        <f t="shared" si="9"/>
        <v>001</v>
      </c>
      <c r="E597" s="6" t="str">
        <f>"林光庭"</f>
        <v>林光庭</v>
      </c>
      <c r="F597" s="6" t="str">
        <f>"202311181226"</f>
        <v>202311181226</v>
      </c>
      <c r="G597" s="7">
        <v>0</v>
      </c>
      <c r="H597" s="9" t="s">
        <v>13</v>
      </c>
      <c r="I597" s="10" t="s">
        <v>14</v>
      </c>
    </row>
    <row r="598" spans="1:9" ht="24.75" customHeight="1">
      <c r="A598" s="5">
        <v>595</v>
      </c>
      <c r="B598" s="6" t="s">
        <v>11</v>
      </c>
      <c r="C598" s="6" t="s">
        <v>12</v>
      </c>
      <c r="D598" s="6" t="str">
        <f t="shared" si="9"/>
        <v>001</v>
      </c>
      <c r="E598" s="6" t="str">
        <f>"王春琴"</f>
        <v>王春琴</v>
      </c>
      <c r="F598" s="6" t="str">
        <f>"202311181301"</f>
        <v>202311181301</v>
      </c>
      <c r="G598" s="7">
        <v>0</v>
      </c>
      <c r="H598" s="9" t="s">
        <v>13</v>
      </c>
      <c r="I598" s="10" t="s">
        <v>14</v>
      </c>
    </row>
    <row r="599" spans="1:9" ht="24.75" customHeight="1">
      <c r="A599" s="5">
        <v>596</v>
      </c>
      <c r="B599" s="6" t="s">
        <v>11</v>
      </c>
      <c r="C599" s="6" t="s">
        <v>12</v>
      </c>
      <c r="D599" s="6" t="str">
        <f t="shared" si="9"/>
        <v>001</v>
      </c>
      <c r="E599" s="6" t="str">
        <f>"陈莹"</f>
        <v>陈莹</v>
      </c>
      <c r="F599" s="6" t="str">
        <f>"202311181302"</f>
        <v>202311181302</v>
      </c>
      <c r="G599" s="7">
        <v>0</v>
      </c>
      <c r="H599" s="9" t="s">
        <v>13</v>
      </c>
      <c r="I599" s="10" t="s">
        <v>14</v>
      </c>
    </row>
    <row r="600" spans="1:9" ht="24.75" customHeight="1">
      <c r="A600" s="5">
        <v>597</v>
      </c>
      <c r="B600" s="6" t="s">
        <v>11</v>
      </c>
      <c r="C600" s="6" t="s">
        <v>12</v>
      </c>
      <c r="D600" s="6" t="str">
        <f t="shared" si="9"/>
        <v>001</v>
      </c>
      <c r="E600" s="6" t="str">
        <f>"唐柳妹"</f>
        <v>唐柳妹</v>
      </c>
      <c r="F600" s="6" t="str">
        <f>"202311181303"</f>
        <v>202311181303</v>
      </c>
      <c r="G600" s="7">
        <v>0</v>
      </c>
      <c r="H600" s="9" t="s">
        <v>13</v>
      </c>
      <c r="I600" s="10" t="s">
        <v>14</v>
      </c>
    </row>
    <row r="601" spans="1:9" ht="24.75" customHeight="1">
      <c r="A601" s="5">
        <v>598</v>
      </c>
      <c r="B601" s="6" t="s">
        <v>11</v>
      </c>
      <c r="C601" s="6" t="s">
        <v>12</v>
      </c>
      <c r="D601" s="6" t="str">
        <f t="shared" si="9"/>
        <v>001</v>
      </c>
      <c r="E601" s="6" t="str">
        <f>"王小芬"</f>
        <v>王小芬</v>
      </c>
      <c r="F601" s="6" t="str">
        <f>"202311181309"</f>
        <v>202311181309</v>
      </c>
      <c r="G601" s="7">
        <v>0</v>
      </c>
      <c r="H601" s="9" t="s">
        <v>13</v>
      </c>
      <c r="I601" s="10" t="s">
        <v>14</v>
      </c>
    </row>
    <row r="602" spans="1:9" ht="24.75" customHeight="1">
      <c r="A602" s="5">
        <v>599</v>
      </c>
      <c r="B602" s="6" t="s">
        <v>11</v>
      </c>
      <c r="C602" s="6" t="s">
        <v>12</v>
      </c>
      <c r="D602" s="6" t="str">
        <f t="shared" si="9"/>
        <v>001</v>
      </c>
      <c r="E602" s="6" t="str">
        <f>"许绩骏"</f>
        <v>许绩骏</v>
      </c>
      <c r="F602" s="6" t="str">
        <f>"202311181310"</f>
        <v>202311181310</v>
      </c>
      <c r="G602" s="7">
        <v>0</v>
      </c>
      <c r="H602" s="9" t="s">
        <v>13</v>
      </c>
      <c r="I602" s="10" t="s">
        <v>14</v>
      </c>
    </row>
    <row r="603" spans="1:9" ht="24.75" customHeight="1">
      <c r="A603" s="5">
        <v>600</v>
      </c>
      <c r="B603" s="6" t="s">
        <v>11</v>
      </c>
      <c r="C603" s="6" t="s">
        <v>12</v>
      </c>
      <c r="D603" s="6" t="str">
        <f t="shared" si="9"/>
        <v>001</v>
      </c>
      <c r="E603" s="6" t="str">
        <f>"唐群茜"</f>
        <v>唐群茜</v>
      </c>
      <c r="F603" s="6" t="str">
        <f>"202311181311"</f>
        <v>202311181311</v>
      </c>
      <c r="G603" s="7">
        <v>0</v>
      </c>
      <c r="H603" s="9" t="s">
        <v>13</v>
      </c>
      <c r="I603" s="10" t="s">
        <v>14</v>
      </c>
    </row>
    <row r="604" spans="1:9" ht="24.75" customHeight="1">
      <c r="A604" s="5">
        <v>601</v>
      </c>
      <c r="B604" s="6" t="s">
        <v>11</v>
      </c>
      <c r="C604" s="6" t="s">
        <v>12</v>
      </c>
      <c r="D604" s="6" t="str">
        <f t="shared" si="9"/>
        <v>001</v>
      </c>
      <c r="E604" s="6" t="str">
        <f>"黄伟"</f>
        <v>黄伟</v>
      </c>
      <c r="F604" s="6" t="str">
        <f>"202311181312"</f>
        <v>202311181312</v>
      </c>
      <c r="G604" s="7">
        <v>0</v>
      </c>
      <c r="H604" s="9" t="s">
        <v>13</v>
      </c>
      <c r="I604" s="10" t="s">
        <v>14</v>
      </c>
    </row>
    <row r="605" spans="1:9" ht="24.75" customHeight="1">
      <c r="A605" s="5">
        <v>602</v>
      </c>
      <c r="B605" s="6" t="s">
        <v>11</v>
      </c>
      <c r="C605" s="6" t="s">
        <v>12</v>
      </c>
      <c r="D605" s="6" t="str">
        <f t="shared" si="9"/>
        <v>001</v>
      </c>
      <c r="E605" s="6" t="str">
        <f>"符芸子"</f>
        <v>符芸子</v>
      </c>
      <c r="F605" s="6" t="str">
        <f>"202311181314"</f>
        <v>202311181314</v>
      </c>
      <c r="G605" s="7">
        <v>0</v>
      </c>
      <c r="H605" s="9" t="s">
        <v>13</v>
      </c>
      <c r="I605" s="10" t="s">
        <v>14</v>
      </c>
    </row>
    <row r="606" spans="1:9" ht="24.75" customHeight="1">
      <c r="A606" s="5">
        <v>603</v>
      </c>
      <c r="B606" s="6" t="s">
        <v>11</v>
      </c>
      <c r="C606" s="6" t="s">
        <v>12</v>
      </c>
      <c r="D606" s="6" t="str">
        <f t="shared" si="9"/>
        <v>001</v>
      </c>
      <c r="E606" s="6" t="str">
        <f>"洪世发"</f>
        <v>洪世发</v>
      </c>
      <c r="F606" s="6" t="str">
        <f>"202311181317"</f>
        <v>202311181317</v>
      </c>
      <c r="G606" s="7">
        <v>0</v>
      </c>
      <c r="H606" s="9" t="s">
        <v>13</v>
      </c>
      <c r="I606" s="10" t="s">
        <v>14</v>
      </c>
    </row>
    <row r="607" spans="1:9" ht="24.75" customHeight="1">
      <c r="A607" s="5">
        <v>604</v>
      </c>
      <c r="B607" s="6" t="s">
        <v>11</v>
      </c>
      <c r="C607" s="6" t="s">
        <v>12</v>
      </c>
      <c r="D607" s="6" t="str">
        <f t="shared" si="9"/>
        <v>001</v>
      </c>
      <c r="E607" s="6" t="str">
        <f>"唐健"</f>
        <v>唐健</v>
      </c>
      <c r="F607" s="6" t="str">
        <f>"202311181318"</f>
        <v>202311181318</v>
      </c>
      <c r="G607" s="7">
        <v>0</v>
      </c>
      <c r="H607" s="9" t="s">
        <v>13</v>
      </c>
      <c r="I607" s="10" t="s">
        <v>14</v>
      </c>
    </row>
    <row r="608" spans="1:9" ht="24.75" customHeight="1">
      <c r="A608" s="5">
        <v>605</v>
      </c>
      <c r="B608" s="6" t="s">
        <v>11</v>
      </c>
      <c r="C608" s="6" t="s">
        <v>12</v>
      </c>
      <c r="D608" s="6" t="str">
        <f t="shared" si="9"/>
        <v>001</v>
      </c>
      <c r="E608" s="6" t="str">
        <f>"刘洋"</f>
        <v>刘洋</v>
      </c>
      <c r="F608" s="6" t="str">
        <f>"202311181319"</f>
        <v>202311181319</v>
      </c>
      <c r="G608" s="7">
        <v>0</v>
      </c>
      <c r="H608" s="9" t="s">
        <v>13</v>
      </c>
      <c r="I608" s="10" t="s">
        <v>14</v>
      </c>
    </row>
    <row r="609" spans="1:9" ht="24.75" customHeight="1">
      <c r="A609" s="5">
        <v>606</v>
      </c>
      <c r="B609" s="6" t="s">
        <v>11</v>
      </c>
      <c r="C609" s="6" t="s">
        <v>12</v>
      </c>
      <c r="D609" s="6" t="str">
        <f t="shared" si="9"/>
        <v>001</v>
      </c>
      <c r="E609" s="6" t="str">
        <f>"冯婷婷"</f>
        <v>冯婷婷</v>
      </c>
      <c r="F609" s="6" t="str">
        <f>"202311181321"</f>
        <v>202311181321</v>
      </c>
      <c r="G609" s="7">
        <v>0</v>
      </c>
      <c r="H609" s="9" t="s">
        <v>13</v>
      </c>
      <c r="I609" s="10" t="s">
        <v>14</v>
      </c>
    </row>
    <row r="610" spans="1:9" ht="24.75" customHeight="1">
      <c r="A610" s="5">
        <v>607</v>
      </c>
      <c r="B610" s="6" t="s">
        <v>11</v>
      </c>
      <c r="C610" s="6" t="s">
        <v>12</v>
      </c>
      <c r="D610" s="6" t="str">
        <f t="shared" si="9"/>
        <v>001</v>
      </c>
      <c r="E610" s="6" t="str">
        <f>"陈云"</f>
        <v>陈云</v>
      </c>
      <c r="F610" s="6" t="str">
        <f>"202311181324"</f>
        <v>202311181324</v>
      </c>
      <c r="G610" s="7">
        <v>0</v>
      </c>
      <c r="H610" s="9" t="s">
        <v>13</v>
      </c>
      <c r="I610" s="10" t="s">
        <v>14</v>
      </c>
    </row>
    <row r="611" spans="1:9" ht="24.75" customHeight="1">
      <c r="A611" s="5">
        <v>608</v>
      </c>
      <c r="B611" s="6" t="s">
        <v>11</v>
      </c>
      <c r="C611" s="6" t="s">
        <v>12</v>
      </c>
      <c r="D611" s="6" t="str">
        <f t="shared" si="9"/>
        <v>001</v>
      </c>
      <c r="E611" s="6" t="str">
        <f>"黄云清"</f>
        <v>黄云清</v>
      </c>
      <c r="F611" s="6" t="str">
        <f>"202311181325"</f>
        <v>202311181325</v>
      </c>
      <c r="G611" s="7">
        <v>0</v>
      </c>
      <c r="H611" s="9" t="s">
        <v>13</v>
      </c>
      <c r="I611" s="10" t="s">
        <v>14</v>
      </c>
    </row>
    <row r="612" spans="1:9" ht="24.75" customHeight="1">
      <c r="A612" s="5">
        <v>609</v>
      </c>
      <c r="B612" s="6" t="s">
        <v>11</v>
      </c>
      <c r="C612" s="6" t="s">
        <v>12</v>
      </c>
      <c r="D612" s="6" t="str">
        <f t="shared" si="9"/>
        <v>001</v>
      </c>
      <c r="E612" s="6" t="str">
        <f>"蒲才喜"</f>
        <v>蒲才喜</v>
      </c>
      <c r="F612" s="6" t="str">
        <f>"202311181404"</f>
        <v>202311181404</v>
      </c>
      <c r="G612" s="7">
        <v>0</v>
      </c>
      <c r="H612" s="9" t="s">
        <v>13</v>
      </c>
      <c r="I612" s="10" t="s">
        <v>14</v>
      </c>
    </row>
    <row r="613" spans="1:9" ht="24.75" customHeight="1">
      <c r="A613" s="5">
        <v>610</v>
      </c>
      <c r="B613" s="6" t="s">
        <v>11</v>
      </c>
      <c r="C613" s="6" t="s">
        <v>12</v>
      </c>
      <c r="D613" s="6" t="str">
        <f t="shared" si="9"/>
        <v>001</v>
      </c>
      <c r="E613" s="6" t="str">
        <f>"冯丽颖"</f>
        <v>冯丽颖</v>
      </c>
      <c r="F613" s="6" t="str">
        <f>"202311181407"</f>
        <v>202311181407</v>
      </c>
      <c r="G613" s="7">
        <v>0</v>
      </c>
      <c r="H613" s="9" t="s">
        <v>13</v>
      </c>
      <c r="I613" s="10" t="s">
        <v>14</v>
      </c>
    </row>
    <row r="614" spans="1:9" ht="24.75" customHeight="1">
      <c r="A614" s="5">
        <v>611</v>
      </c>
      <c r="B614" s="6" t="s">
        <v>11</v>
      </c>
      <c r="C614" s="6" t="s">
        <v>12</v>
      </c>
      <c r="D614" s="6" t="str">
        <f t="shared" si="9"/>
        <v>001</v>
      </c>
      <c r="E614" s="6" t="str">
        <f>"邢贝贝"</f>
        <v>邢贝贝</v>
      </c>
      <c r="F614" s="6" t="str">
        <f>"202311181413"</f>
        <v>202311181413</v>
      </c>
      <c r="G614" s="7">
        <v>0</v>
      </c>
      <c r="H614" s="9" t="s">
        <v>13</v>
      </c>
      <c r="I614" s="10" t="s">
        <v>14</v>
      </c>
    </row>
    <row r="615" spans="1:9" ht="24.75" customHeight="1">
      <c r="A615" s="5">
        <v>612</v>
      </c>
      <c r="B615" s="6" t="s">
        <v>11</v>
      </c>
      <c r="C615" s="6" t="s">
        <v>12</v>
      </c>
      <c r="D615" s="6" t="str">
        <f t="shared" si="9"/>
        <v>001</v>
      </c>
      <c r="E615" s="6" t="str">
        <f>"蔡丰泽"</f>
        <v>蔡丰泽</v>
      </c>
      <c r="F615" s="6" t="str">
        <f>"202311181414"</f>
        <v>202311181414</v>
      </c>
      <c r="G615" s="7">
        <v>0</v>
      </c>
      <c r="H615" s="9" t="s">
        <v>13</v>
      </c>
      <c r="I615" s="10" t="s">
        <v>14</v>
      </c>
    </row>
    <row r="616" spans="1:9" ht="24.75" customHeight="1">
      <c r="A616" s="5">
        <v>613</v>
      </c>
      <c r="B616" s="6" t="s">
        <v>11</v>
      </c>
      <c r="C616" s="6" t="s">
        <v>12</v>
      </c>
      <c r="D616" s="6" t="str">
        <f t="shared" si="9"/>
        <v>001</v>
      </c>
      <c r="E616" s="6" t="str">
        <f>"陈继瑞"</f>
        <v>陈继瑞</v>
      </c>
      <c r="F616" s="6" t="str">
        <f>"202311181416"</f>
        <v>202311181416</v>
      </c>
      <c r="G616" s="7">
        <v>0</v>
      </c>
      <c r="H616" s="9" t="s">
        <v>13</v>
      </c>
      <c r="I616" s="10" t="s">
        <v>14</v>
      </c>
    </row>
    <row r="617" spans="1:9" ht="24.75" customHeight="1">
      <c r="A617" s="5">
        <v>614</v>
      </c>
      <c r="B617" s="6" t="s">
        <v>11</v>
      </c>
      <c r="C617" s="6" t="s">
        <v>12</v>
      </c>
      <c r="D617" s="6" t="str">
        <f t="shared" si="9"/>
        <v>001</v>
      </c>
      <c r="E617" s="6" t="str">
        <f>"杜路军"</f>
        <v>杜路军</v>
      </c>
      <c r="F617" s="6" t="str">
        <f>"202311181417"</f>
        <v>202311181417</v>
      </c>
      <c r="G617" s="7">
        <v>0</v>
      </c>
      <c r="H617" s="9" t="s">
        <v>13</v>
      </c>
      <c r="I617" s="10" t="s">
        <v>14</v>
      </c>
    </row>
    <row r="618" spans="1:9" ht="24.75" customHeight="1">
      <c r="A618" s="5">
        <v>615</v>
      </c>
      <c r="B618" s="6" t="s">
        <v>11</v>
      </c>
      <c r="C618" s="6" t="s">
        <v>12</v>
      </c>
      <c r="D618" s="6" t="str">
        <f t="shared" si="9"/>
        <v>001</v>
      </c>
      <c r="E618" s="6" t="str">
        <f>"杨泽鑫"</f>
        <v>杨泽鑫</v>
      </c>
      <c r="F618" s="6" t="str">
        <f>"202311181419"</f>
        <v>202311181419</v>
      </c>
      <c r="G618" s="7">
        <v>0</v>
      </c>
      <c r="H618" s="9" t="s">
        <v>13</v>
      </c>
      <c r="I618" s="10" t="s">
        <v>14</v>
      </c>
    </row>
    <row r="619" spans="1:9" ht="24.75" customHeight="1">
      <c r="A619" s="5">
        <v>616</v>
      </c>
      <c r="B619" s="6" t="s">
        <v>11</v>
      </c>
      <c r="C619" s="6" t="s">
        <v>12</v>
      </c>
      <c r="D619" s="6" t="str">
        <f t="shared" si="9"/>
        <v>001</v>
      </c>
      <c r="E619" s="6" t="str">
        <f>"王国威"</f>
        <v>王国威</v>
      </c>
      <c r="F619" s="6" t="str">
        <f>"202311181422"</f>
        <v>202311181422</v>
      </c>
      <c r="G619" s="7">
        <v>0</v>
      </c>
      <c r="H619" s="9" t="s">
        <v>13</v>
      </c>
      <c r="I619" s="10" t="s">
        <v>14</v>
      </c>
    </row>
    <row r="620" spans="1:9" ht="24.75" customHeight="1">
      <c r="A620" s="5">
        <v>617</v>
      </c>
      <c r="B620" s="6" t="s">
        <v>11</v>
      </c>
      <c r="C620" s="6" t="s">
        <v>12</v>
      </c>
      <c r="D620" s="6" t="str">
        <f t="shared" si="9"/>
        <v>001</v>
      </c>
      <c r="E620" s="6" t="str">
        <f>"李甜甜"</f>
        <v>李甜甜</v>
      </c>
      <c r="F620" s="6" t="str">
        <f>"202311181424"</f>
        <v>202311181424</v>
      </c>
      <c r="G620" s="7">
        <v>0</v>
      </c>
      <c r="H620" s="9" t="s">
        <v>13</v>
      </c>
      <c r="I620" s="10" t="s">
        <v>14</v>
      </c>
    </row>
    <row r="621" spans="1:9" ht="24.75" customHeight="1">
      <c r="A621" s="5">
        <v>618</v>
      </c>
      <c r="B621" s="6" t="s">
        <v>11</v>
      </c>
      <c r="C621" s="6" t="s">
        <v>12</v>
      </c>
      <c r="D621" s="6" t="str">
        <f t="shared" si="9"/>
        <v>001</v>
      </c>
      <c r="E621" s="6" t="str">
        <f>"蔡期章"</f>
        <v>蔡期章</v>
      </c>
      <c r="F621" s="6" t="str">
        <f>"202311181425"</f>
        <v>202311181425</v>
      </c>
      <c r="G621" s="7">
        <v>0</v>
      </c>
      <c r="H621" s="9" t="s">
        <v>13</v>
      </c>
      <c r="I621" s="10" t="s">
        <v>14</v>
      </c>
    </row>
    <row r="622" spans="1:9" ht="24.75" customHeight="1">
      <c r="A622" s="5">
        <v>619</v>
      </c>
      <c r="B622" s="6" t="s">
        <v>11</v>
      </c>
      <c r="C622" s="6" t="s">
        <v>12</v>
      </c>
      <c r="D622" s="6" t="str">
        <f t="shared" si="9"/>
        <v>001</v>
      </c>
      <c r="E622" s="6" t="str">
        <f>"钟胜"</f>
        <v>钟胜</v>
      </c>
      <c r="F622" s="6" t="str">
        <f>"202311181426"</f>
        <v>202311181426</v>
      </c>
      <c r="G622" s="7">
        <v>0</v>
      </c>
      <c r="H622" s="9" t="s">
        <v>13</v>
      </c>
      <c r="I622" s="10" t="s">
        <v>14</v>
      </c>
    </row>
    <row r="623" spans="1:9" ht="24.75" customHeight="1">
      <c r="A623" s="5">
        <v>620</v>
      </c>
      <c r="B623" s="6" t="s">
        <v>11</v>
      </c>
      <c r="C623" s="6" t="s">
        <v>12</v>
      </c>
      <c r="D623" s="6" t="str">
        <f t="shared" si="9"/>
        <v>001</v>
      </c>
      <c r="E623" s="6" t="str">
        <f>"郑安彤"</f>
        <v>郑安彤</v>
      </c>
      <c r="F623" s="6" t="str">
        <f>"202311181427"</f>
        <v>202311181427</v>
      </c>
      <c r="G623" s="7">
        <v>0</v>
      </c>
      <c r="H623" s="9" t="s">
        <v>13</v>
      </c>
      <c r="I623" s="10" t="s">
        <v>14</v>
      </c>
    </row>
    <row r="624" spans="1:9" ht="24.75" customHeight="1">
      <c r="A624" s="5">
        <v>621</v>
      </c>
      <c r="B624" s="6" t="s">
        <v>11</v>
      </c>
      <c r="C624" s="6" t="s">
        <v>12</v>
      </c>
      <c r="D624" s="6" t="str">
        <f t="shared" si="9"/>
        <v>001</v>
      </c>
      <c r="E624" s="6" t="str">
        <f>"王方雷"</f>
        <v>王方雷</v>
      </c>
      <c r="F624" s="6" t="str">
        <f>"202311181501"</f>
        <v>202311181501</v>
      </c>
      <c r="G624" s="7">
        <v>0</v>
      </c>
      <c r="H624" s="9" t="s">
        <v>13</v>
      </c>
      <c r="I624" s="10" t="s">
        <v>14</v>
      </c>
    </row>
    <row r="625" spans="1:9" ht="24.75" customHeight="1">
      <c r="A625" s="5">
        <v>622</v>
      </c>
      <c r="B625" s="6" t="s">
        <v>11</v>
      </c>
      <c r="C625" s="6" t="s">
        <v>12</v>
      </c>
      <c r="D625" s="6" t="str">
        <f t="shared" si="9"/>
        <v>001</v>
      </c>
      <c r="E625" s="6" t="str">
        <f>"叶世旺"</f>
        <v>叶世旺</v>
      </c>
      <c r="F625" s="6" t="str">
        <f>"202311181503"</f>
        <v>202311181503</v>
      </c>
      <c r="G625" s="7">
        <v>0</v>
      </c>
      <c r="H625" s="9" t="s">
        <v>13</v>
      </c>
      <c r="I625" s="10" t="s">
        <v>14</v>
      </c>
    </row>
    <row r="626" spans="1:9" ht="24.75" customHeight="1">
      <c r="A626" s="5">
        <v>623</v>
      </c>
      <c r="B626" s="6" t="s">
        <v>11</v>
      </c>
      <c r="C626" s="6" t="s">
        <v>12</v>
      </c>
      <c r="D626" s="6" t="str">
        <f t="shared" si="9"/>
        <v>001</v>
      </c>
      <c r="E626" s="6" t="str">
        <f>"朱清"</f>
        <v>朱清</v>
      </c>
      <c r="F626" s="6" t="str">
        <f>"202311181505"</f>
        <v>202311181505</v>
      </c>
      <c r="G626" s="7">
        <v>0</v>
      </c>
      <c r="H626" s="9" t="s">
        <v>13</v>
      </c>
      <c r="I626" s="10" t="s">
        <v>14</v>
      </c>
    </row>
    <row r="627" spans="1:9" ht="24.75" customHeight="1">
      <c r="A627" s="5">
        <v>624</v>
      </c>
      <c r="B627" s="6" t="s">
        <v>11</v>
      </c>
      <c r="C627" s="6" t="s">
        <v>12</v>
      </c>
      <c r="D627" s="6" t="str">
        <f t="shared" si="9"/>
        <v>001</v>
      </c>
      <c r="E627" s="6" t="str">
        <f>"赖舒愉"</f>
        <v>赖舒愉</v>
      </c>
      <c r="F627" s="6" t="str">
        <f>"202311181506"</f>
        <v>202311181506</v>
      </c>
      <c r="G627" s="7">
        <v>0</v>
      </c>
      <c r="H627" s="9" t="s">
        <v>13</v>
      </c>
      <c r="I627" s="10" t="s">
        <v>14</v>
      </c>
    </row>
    <row r="628" spans="1:9" ht="24.75" customHeight="1">
      <c r="A628" s="5">
        <v>625</v>
      </c>
      <c r="B628" s="6" t="s">
        <v>11</v>
      </c>
      <c r="C628" s="6" t="s">
        <v>12</v>
      </c>
      <c r="D628" s="6" t="str">
        <f t="shared" si="9"/>
        <v>001</v>
      </c>
      <c r="E628" s="6" t="str">
        <f>"符佩佩"</f>
        <v>符佩佩</v>
      </c>
      <c r="F628" s="6" t="str">
        <f>"202311181507"</f>
        <v>202311181507</v>
      </c>
      <c r="G628" s="7">
        <v>0</v>
      </c>
      <c r="H628" s="9" t="s">
        <v>13</v>
      </c>
      <c r="I628" s="10" t="s">
        <v>14</v>
      </c>
    </row>
    <row r="629" spans="1:9" ht="24.75" customHeight="1">
      <c r="A629" s="5">
        <v>626</v>
      </c>
      <c r="B629" s="6" t="s">
        <v>11</v>
      </c>
      <c r="C629" s="6" t="s">
        <v>12</v>
      </c>
      <c r="D629" s="6" t="str">
        <f t="shared" si="9"/>
        <v>001</v>
      </c>
      <c r="E629" s="6" t="str">
        <f>"李颖珏"</f>
        <v>李颖珏</v>
      </c>
      <c r="F629" s="6" t="str">
        <f>"202311181509"</f>
        <v>202311181509</v>
      </c>
      <c r="G629" s="7">
        <v>0</v>
      </c>
      <c r="H629" s="9" t="s">
        <v>13</v>
      </c>
      <c r="I629" s="10" t="s">
        <v>14</v>
      </c>
    </row>
    <row r="630" spans="1:9" ht="24.75" customHeight="1">
      <c r="A630" s="5">
        <v>627</v>
      </c>
      <c r="B630" s="6" t="s">
        <v>11</v>
      </c>
      <c r="C630" s="6" t="s">
        <v>12</v>
      </c>
      <c r="D630" s="6" t="str">
        <f t="shared" si="9"/>
        <v>001</v>
      </c>
      <c r="E630" s="6" t="str">
        <f>"符翎"</f>
        <v>符翎</v>
      </c>
      <c r="F630" s="6" t="str">
        <f>"202311181511"</f>
        <v>202311181511</v>
      </c>
      <c r="G630" s="7">
        <v>0</v>
      </c>
      <c r="H630" s="9" t="s">
        <v>13</v>
      </c>
      <c r="I630" s="10" t="s">
        <v>14</v>
      </c>
    </row>
    <row r="631" spans="1:9" ht="24.75" customHeight="1">
      <c r="A631" s="5">
        <v>628</v>
      </c>
      <c r="B631" s="6" t="s">
        <v>11</v>
      </c>
      <c r="C631" s="6" t="s">
        <v>12</v>
      </c>
      <c r="D631" s="6" t="str">
        <f t="shared" si="9"/>
        <v>001</v>
      </c>
      <c r="E631" s="6" t="str">
        <f>"李玉冰"</f>
        <v>李玉冰</v>
      </c>
      <c r="F631" s="6" t="str">
        <f>"202311181519"</f>
        <v>202311181519</v>
      </c>
      <c r="G631" s="7">
        <v>0</v>
      </c>
      <c r="H631" s="9" t="s">
        <v>13</v>
      </c>
      <c r="I631" s="10" t="s">
        <v>14</v>
      </c>
    </row>
    <row r="632" spans="1:9" ht="24.75" customHeight="1">
      <c r="A632" s="5">
        <v>629</v>
      </c>
      <c r="B632" s="6" t="s">
        <v>11</v>
      </c>
      <c r="C632" s="6" t="s">
        <v>12</v>
      </c>
      <c r="D632" s="6" t="str">
        <f t="shared" si="9"/>
        <v>001</v>
      </c>
      <c r="E632" s="6" t="str">
        <f>"翁连敏"</f>
        <v>翁连敏</v>
      </c>
      <c r="F632" s="6" t="str">
        <f>"202311181524"</f>
        <v>202311181524</v>
      </c>
      <c r="G632" s="7">
        <v>0</v>
      </c>
      <c r="H632" s="9" t="s">
        <v>13</v>
      </c>
      <c r="I632" s="10" t="s">
        <v>14</v>
      </c>
    </row>
    <row r="633" spans="1:9" ht="24.75" customHeight="1">
      <c r="A633" s="5">
        <v>630</v>
      </c>
      <c r="B633" s="6" t="s">
        <v>11</v>
      </c>
      <c r="C633" s="6" t="s">
        <v>12</v>
      </c>
      <c r="D633" s="6" t="str">
        <f t="shared" si="9"/>
        <v>001</v>
      </c>
      <c r="E633" s="6" t="str">
        <f>"魏宁"</f>
        <v>魏宁</v>
      </c>
      <c r="F633" s="6" t="str">
        <f>"202311181528"</f>
        <v>202311181528</v>
      </c>
      <c r="G633" s="7">
        <v>0</v>
      </c>
      <c r="H633" s="9" t="s">
        <v>13</v>
      </c>
      <c r="I633" s="10" t="s">
        <v>14</v>
      </c>
    </row>
    <row r="634" spans="1:9" ht="24.75" customHeight="1">
      <c r="A634" s="5">
        <v>631</v>
      </c>
      <c r="B634" s="6" t="s">
        <v>11</v>
      </c>
      <c r="C634" s="6" t="s">
        <v>12</v>
      </c>
      <c r="D634" s="6" t="str">
        <f t="shared" si="9"/>
        <v>001</v>
      </c>
      <c r="E634" s="6" t="str">
        <f>"陈晓曦"</f>
        <v>陈晓曦</v>
      </c>
      <c r="F634" s="6" t="str">
        <f>"202311181529"</f>
        <v>202311181529</v>
      </c>
      <c r="G634" s="7">
        <v>0</v>
      </c>
      <c r="H634" s="9" t="s">
        <v>13</v>
      </c>
      <c r="I634" s="10" t="s">
        <v>14</v>
      </c>
    </row>
    <row r="635" spans="1:9" ht="24.75" customHeight="1">
      <c r="A635" s="5">
        <v>632</v>
      </c>
      <c r="B635" s="6" t="s">
        <v>11</v>
      </c>
      <c r="C635" s="6" t="s">
        <v>12</v>
      </c>
      <c r="D635" s="6" t="str">
        <f t="shared" si="9"/>
        <v>001</v>
      </c>
      <c r="E635" s="6" t="str">
        <f>"李运顺"</f>
        <v>李运顺</v>
      </c>
      <c r="F635" s="6" t="str">
        <f>"202311181606"</f>
        <v>202311181606</v>
      </c>
      <c r="G635" s="7">
        <v>0</v>
      </c>
      <c r="H635" s="9" t="s">
        <v>13</v>
      </c>
      <c r="I635" s="10" t="s">
        <v>14</v>
      </c>
    </row>
    <row r="636" spans="1:9" ht="24.75" customHeight="1">
      <c r="A636" s="5">
        <v>633</v>
      </c>
      <c r="B636" s="6" t="s">
        <v>11</v>
      </c>
      <c r="C636" s="6" t="s">
        <v>12</v>
      </c>
      <c r="D636" s="6" t="str">
        <f t="shared" si="9"/>
        <v>001</v>
      </c>
      <c r="E636" s="6" t="str">
        <f>"李逢酉"</f>
        <v>李逢酉</v>
      </c>
      <c r="F636" s="6" t="str">
        <f>"202311181609"</f>
        <v>202311181609</v>
      </c>
      <c r="G636" s="7">
        <v>0</v>
      </c>
      <c r="H636" s="9" t="s">
        <v>13</v>
      </c>
      <c r="I636" s="10" t="s">
        <v>14</v>
      </c>
    </row>
    <row r="637" spans="1:9" ht="24.75" customHeight="1">
      <c r="A637" s="5">
        <v>634</v>
      </c>
      <c r="B637" s="6" t="s">
        <v>11</v>
      </c>
      <c r="C637" s="6" t="s">
        <v>12</v>
      </c>
      <c r="D637" s="6" t="str">
        <f t="shared" si="9"/>
        <v>001</v>
      </c>
      <c r="E637" s="6" t="str">
        <f>"封美仪"</f>
        <v>封美仪</v>
      </c>
      <c r="F637" s="6" t="str">
        <f>"202311181610"</f>
        <v>202311181610</v>
      </c>
      <c r="G637" s="7">
        <v>0</v>
      </c>
      <c r="H637" s="9" t="s">
        <v>13</v>
      </c>
      <c r="I637" s="10" t="s">
        <v>14</v>
      </c>
    </row>
    <row r="638" spans="1:9" ht="24.75" customHeight="1">
      <c r="A638" s="5">
        <v>635</v>
      </c>
      <c r="B638" s="6" t="s">
        <v>11</v>
      </c>
      <c r="C638" s="6" t="s">
        <v>12</v>
      </c>
      <c r="D638" s="6" t="str">
        <f t="shared" si="9"/>
        <v>001</v>
      </c>
      <c r="E638" s="6" t="str">
        <f>"王普晖"</f>
        <v>王普晖</v>
      </c>
      <c r="F638" s="6" t="str">
        <f>"202311181613"</f>
        <v>202311181613</v>
      </c>
      <c r="G638" s="7">
        <v>0</v>
      </c>
      <c r="H638" s="9" t="s">
        <v>13</v>
      </c>
      <c r="I638" s="10" t="s">
        <v>14</v>
      </c>
    </row>
    <row r="639" spans="1:9" ht="24.75" customHeight="1">
      <c r="A639" s="5">
        <v>636</v>
      </c>
      <c r="B639" s="6" t="s">
        <v>11</v>
      </c>
      <c r="C639" s="6" t="s">
        <v>12</v>
      </c>
      <c r="D639" s="6" t="str">
        <f t="shared" si="9"/>
        <v>001</v>
      </c>
      <c r="E639" s="6" t="str">
        <f>"陈圣平"</f>
        <v>陈圣平</v>
      </c>
      <c r="F639" s="6" t="str">
        <f>"202311181614"</f>
        <v>202311181614</v>
      </c>
      <c r="G639" s="7">
        <v>0</v>
      </c>
      <c r="H639" s="9" t="s">
        <v>13</v>
      </c>
      <c r="I639" s="10" t="s">
        <v>14</v>
      </c>
    </row>
    <row r="640" spans="1:9" ht="24.75" customHeight="1">
      <c r="A640" s="5">
        <v>637</v>
      </c>
      <c r="B640" s="6" t="s">
        <v>11</v>
      </c>
      <c r="C640" s="6" t="s">
        <v>12</v>
      </c>
      <c r="D640" s="6" t="str">
        <f t="shared" si="9"/>
        <v>001</v>
      </c>
      <c r="E640" s="6" t="str">
        <f>"邓如环"</f>
        <v>邓如环</v>
      </c>
      <c r="F640" s="6" t="str">
        <f>"202311181616"</f>
        <v>202311181616</v>
      </c>
      <c r="G640" s="7">
        <v>0</v>
      </c>
      <c r="H640" s="9" t="s">
        <v>13</v>
      </c>
      <c r="I640" s="10" t="s">
        <v>14</v>
      </c>
    </row>
    <row r="641" spans="1:9" ht="24.75" customHeight="1">
      <c r="A641" s="5">
        <v>638</v>
      </c>
      <c r="B641" s="6" t="s">
        <v>11</v>
      </c>
      <c r="C641" s="6" t="s">
        <v>12</v>
      </c>
      <c r="D641" s="6" t="str">
        <f t="shared" si="9"/>
        <v>001</v>
      </c>
      <c r="E641" s="6" t="str">
        <f>"江佳虹"</f>
        <v>江佳虹</v>
      </c>
      <c r="F641" s="6" t="str">
        <f>"202311181625"</f>
        <v>202311181625</v>
      </c>
      <c r="G641" s="7">
        <v>0</v>
      </c>
      <c r="H641" s="9" t="s">
        <v>13</v>
      </c>
      <c r="I641" s="10" t="s">
        <v>14</v>
      </c>
    </row>
    <row r="642" spans="1:9" ht="24.75" customHeight="1">
      <c r="A642" s="5">
        <v>639</v>
      </c>
      <c r="B642" s="6" t="s">
        <v>11</v>
      </c>
      <c r="C642" s="6" t="s">
        <v>12</v>
      </c>
      <c r="D642" s="6" t="str">
        <f t="shared" si="9"/>
        <v>001</v>
      </c>
      <c r="E642" s="6" t="str">
        <f>"廖文华"</f>
        <v>廖文华</v>
      </c>
      <c r="F642" s="6" t="str">
        <f>"202311181626"</f>
        <v>202311181626</v>
      </c>
      <c r="G642" s="7">
        <v>0</v>
      </c>
      <c r="H642" s="9" t="s">
        <v>13</v>
      </c>
      <c r="I642" s="10" t="s">
        <v>14</v>
      </c>
    </row>
    <row r="643" spans="1:9" ht="24.75" customHeight="1">
      <c r="A643" s="5">
        <v>640</v>
      </c>
      <c r="B643" s="6" t="s">
        <v>11</v>
      </c>
      <c r="C643" s="6" t="s">
        <v>12</v>
      </c>
      <c r="D643" s="6" t="str">
        <f t="shared" si="9"/>
        <v>001</v>
      </c>
      <c r="E643" s="6" t="str">
        <f>"钟义高"</f>
        <v>钟义高</v>
      </c>
      <c r="F643" s="6" t="str">
        <f>"202311181628"</f>
        <v>202311181628</v>
      </c>
      <c r="G643" s="7">
        <v>0</v>
      </c>
      <c r="H643" s="9" t="s">
        <v>13</v>
      </c>
      <c r="I643" s="10" t="s">
        <v>14</v>
      </c>
    </row>
    <row r="644" spans="1:9" ht="24.75" customHeight="1">
      <c r="A644" s="5">
        <v>641</v>
      </c>
      <c r="B644" s="6" t="s">
        <v>11</v>
      </c>
      <c r="C644" s="6" t="s">
        <v>12</v>
      </c>
      <c r="D644" s="6" t="str">
        <f aca="true" t="shared" si="10" ref="D644:D707">"001"</f>
        <v>001</v>
      </c>
      <c r="E644" s="6" t="str">
        <f>"刘佳琪"</f>
        <v>刘佳琪</v>
      </c>
      <c r="F644" s="6" t="str">
        <f>"202311181630"</f>
        <v>202311181630</v>
      </c>
      <c r="G644" s="7">
        <v>0</v>
      </c>
      <c r="H644" s="9" t="s">
        <v>13</v>
      </c>
      <c r="I644" s="10" t="s">
        <v>14</v>
      </c>
    </row>
    <row r="645" spans="1:9" ht="24.75" customHeight="1">
      <c r="A645" s="5">
        <v>642</v>
      </c>
      <c r="B645" s="6" t="s">
        <v>11</v>
      </c>
      <c r="C645" s="6" t="s">
        <v>12</v>
      </c>
      <c r="D645" s="6" t="str">
        <f t="shared" si="10"/>
        <v>001</v>
      </c>
      <c r="E645" s="6" t="str">
        <f>"廖宝通"</f>
        <v>廖宝通</v>
      </c>
      <c r="F645" s="6" t="str">
        <f>"202311181701"</f>
        <v>202311181701</v>
      </c>
      <c r="G645" s="7">
        <v>0</v>
      </c>
      <c r="H645" s="9" t="s">
        <v>13</v>
      </c>
      <c r="I645" s="10" t="s">
        <v>14</v>
      </c>
    </row>
    <row r="646" spans="1:9" ht="24.75" customHeight="1">
      <c r="A646" s="5">
        <v>643</v>
      </c>
      <c r="B646" s="6" t="s">
        <v>11</v>
      </c>
      <c r="C646" s="6" t="s">
        <v>12</v>
      </c>
      <c r="D646" s="6" t="str">
        <f t="shared" si="10"/>
        <v>001</v>
      </c>
      <c r="E646" s="6" t="str">
        <f>"陈明创"</f>
        <v>陈明创</v>
      </c>
      <c r="F646" s="6" t="str">
        <f>"202311181703"</f>
        <v>202311181703</v>
      </c>
      <c r="G646" s="7">
        <v>0</v>
      </c>
      <c r="H646" s="9" t="s">
        <v>13</v>
      </c>
      <c r="I646" s="10" t="s">
        <v>14</v>
      </c>
    </row>
    <row r="647" spans="1:9" ht="24.75" customHeight="1">
      <c r="A647" s="5">
        <v>644</v>
      </c>
      <c r="B647" s="6" t="s">
        <v>11</v>
      </c>
      <c r="C647" s="6" t="s">
        <v>12</v>
      </c>
      <c r="D647" s="6" t="str">
        <f t="shared" si="10"/>
        <v>001</v>
      </c>
      <c r="E647" s="6" t="str">
        <f>"梁曼"</f>
        <v>梁曼</v>
      </c>
      <c r="F647" s="6" t="str">
        <f>"202311181705"</f>
        <v>202311181705</v>
      </c>
      <c r="G647" s="7">
        <v>0</v>
      </c>
      <c r="H647" s="9" t="s">
        <v>13</v>
      </c>
      <c r="I647" s="10" t="s">
        <v>14</v>
      </c>
    </row>
    <row r="648" spans="1:9" ht="24.75" customHeight="1">
      <c r="A648" s="5">
        <v>645</v>
      </c>
      <c r="B648" s="6" t="s">
        <v>11</v>
      </c>
      <c r="C648" s="6" t="s">
        <v>12</v>
      </c>
      <c r="D648" s="6" t="str">
        <f t="shared" si="10"/>
        <v>001</v>
      </c>
      <c r="E648" s="6" t="str">
        <f>"李冬岩"</f>
        <v>李冬岩</v>
      </c>
      <c r="F648" s="6" t="str">
        <f>"202311181707"</f>
        <v>202311181707</v>
      </c>
      <c r="G648" s="7">
        <v>0</v>
      </c>
      <c r="H648" s="9" t="s">
        <v>13</v>
      </c>
      <c r="I648" s="10" t="s">
        <v>14</v>
      </c>
    </row>
    <row r="649" spans="1:9" ht="24.75" customHeight="1">
      <c r="A649" s="5">
        <v>646</v>
      </c>
      <c r="B649" s="6" t="s">
        <v>11</v>
      </c>
      <c r="C649" s="6" t="s">
        <v>12</v>
      </c>
      <c r="D649" s="6" t="str">
        <f t="shared" si="10"/>
        <v>001</v>
      </c>
      <c r="E649" s="6" t="str">
        <f>"陈丹丹"</f>
        <v>陈丹丹</v>
      </c>
      <c r="F649" s="6" t="str">
        <f>"202311181709"</f>
        <v>202311181709</v>
      </c>
      <c r="G649" s="7">
        <v>0</v>
      </c>
      <c r="H649" s="9" t="s">
        <v>13</v>
      </c>
      <c r="I649" s="10" t="s">
        <v>14</v>
      </c>
    </row>
    <row r="650" spans="1:9" ht="24.75" customHeight="1">
      <c r="A650" s="5">
        <v>647</v>
      </c>
      <c r="B650" s="6" t="s">
        <v>11</v>
      </c>
      <c r="C650" s="6" t="s">
        <v>12</v>
      </c>
      <c r="D650" s="6" t="str">
        <f t="shared" si="10"/>
        <v>001</v>
      </c>
      <c r="E650" s="6" t="str">
        <f>"周婷"</f>
        <v>周婷</v>
      </c>
      <c r="F650" s="6" t="str">
        <f>"202311181710"</f>
        <v>202311181710</v>
      </c>
      <c r="G650" s="7">
        <v>0</v>
      </c>
      <c r="H650" s="9" t="s">
        <v>13</v>
      </c>
      <c r="I650" s="10" t="s">
        <v>14</v>
      </c>
    </row>
    <row r="651" spans="1:9" ht="24.75" customHeight="1">
      <c r="A651" s="5">
        <v>648</v>
      </c>
      <c r="B651" s="6" t="s">
        <v>11</v>
      </c>
      <c r="C651" s="6" t="s">
        <v>12</v>
      </c>
      <c r="D651" s="6" t="str">
        <f t="shared" si="10"/>
        <v>001</v>
      </c>
      <c r="E651" s="6" t="str">
        <f>"雷家善"</f>
        <v>雷家善</v>
      </c>
      <c r="F651" s="6" t="str">
        <f>"202311181713"</f>
        <v>202311181713</v>
      </c>
      <c r="G651" s="7">
        <v>0</v>
      </c>
      <c r="H651" s="9" t="s">
        <v>13</v>
      </c>
      <c r="I651" s="10" t="s">
        <v>14</v>
      </c>
    </row>
    <row r="652" spans="1:9" ht="24.75" customHeight="1">
      <c r="A652" s="5">
        <v>649</v>
      </c>
      <c r="B652" s="6" t="s">
        <v>11</v>
      </c>
      <c r="C652" s="6" t="s">
        <v>12</v>
      </c>
      <c r="D652" s="6" t="str">
        <f t="shared" si="10"/>
        <v>001</v>
      </c>
      <c r="E652" s="6" t="str">
        <f>"王思婕"</f>
        <v>王思婕</v>
      </c>
      <c r="F652" s="6" t="str">
        <f>"202311181715"</f>
        <v>202311181715</v>
      </c>
      <c r="G652" s="7">
        <v>0</v>
      </c>
      <c r="H652" s="9" t="s">
        <v>13</v>
      </c>
      <c r="I652" s="10" t="s">
        <v>14</v>
      </c>
    </row>
    <row r="653" spans="1:9" ht="24.75" customHeight="1">
      <c r="A653" s="5">
        <v>650</v>
      </c>
      <c r="B653" s="6" t="s">
        <v>11</v>
      </c>
      <c r="C653" s="6" t="s">
        <v>12</v>
      </c>
      <c r="D653" s="6" t="str">
        <f t="shared" si="10"/>
        <v>001</v>
      </c>
      <c r="E653" s="6" t="str">
        <f>"黎肇前"</f>
        <v>黎肇前</v>
      </c>
      <c r="F653" s="6" t="str">
        <f>"202311181717"</f>
        <v>202311181717</v>
      </c>
      <c r="G653" s="7">
        <v>0</v>
      </c>
      <c r="H653" s="9" t="s">
        <v>13</v>
      </c>
      <c r="I653" s="10" t="s">
        <v>14</v>
      </c>
    </row>
    <row r="654" spans="1:9" ht="24.75" customHeight="1">
      <c r="A654" s="5">
        <v>651</v>
      </c>
      <c r="B654" s="6" t="s">
        <v>11</v>
      </c>
      <c r="C654" s="6" t="s">
        <v>12</v>
      </c>
      <c r="D654" s="6" t="str">
        <f t="shared" si="10"/>
        <v>001</v>
      </c>
      <c r="E654" s="6" t="str">
        <f>"黄琼莹"</f>
        <v>黄琼莹</v>
      </c>
      <c r="F654" s="6" t="str">
        <f>"202311181718"</f>
        <v>202311181718</v>
      </c>
      <c r="G654" s="7">
        <v>0</v>
      </c>
      <c r="H654" s="9" t="s">
        <v>13</v>
      </c>
      <c r="I654" s="10" t="s">
        <v>14</v>
      </c>
    </row>
    <row r="655" spans="1:9" ht="24.75" customHeight="1">
      <c r="A655" s="5">
        <v>652</v>
      </c>
      <c r="B655" s="6" t="s">
        <v>11</v>
      </c>
      <c r="C655" s="6" t="s">
        <v>12</v>
      </c>
      <c r="D655" s="6" t="str">
        <f t="shared" si="10"/>
        <v>001</v>
      </c>
      <c r="E655" s="6" t="str">
        <f>"吴淑新"</f>
        <v>吴淑新</v>
      </c>
      <c r="F655" s="6" t="str">
        <f>"202311181720"</f>
        <v>202311181720</v>
      </c>
      <c r="G655" s="7">
        <v>0</v>
      </c>
      <c r="H655" s="9" t="s">
        <v>13</v>
      </c>
      <c r="I655" s="10" t="s">
        <v>14</v>
      </c>
    </row>
    <row r="656" spans="1:9" ht="24.75" customHeight="1">
      <c r="A656" s="5">
        <v>653</v>
      </c>
      <c r="B656" s="6" t="s">
        <v>11</v>
      </c>
      <c r="C656" s="6" t="s">
        <v>12</v>
      </c>
      <c r="D656" s="6" t="str">
        <f t="shared" si="10"/>
        <v>001</v>
      </c>
      <c r="E656" s="6" t="str">
        <f>"吴莫伊"</f>
        <v>吴莫伊</v>
      </c>
      <c r="F656" s="6" t="str">
        <f>"202311181721"</f>
        <v>202311181721</v>
      </c>
      <c r="G656" s="7">
        <v>0</v>
      </c>
      <c r="H656" s="9" t="s">
        <v>13</v>
      </c>
      <c r="I656" s="10" t="s">
        <v>14</v>
      </c>
    </row>
    <row r="657" spans="1:9" ht="24.75" customHeight="1">
      <c r="A657" s="5">
        <v>654</v>
      </c>
      <c r="B657" s="6" t="s">
        <v>11</v>
      </c>
      <c r="C657" s="6" t="s">
        <v>12</v>
      </c>
      <c r="D657" s="6" t="str">
        <f t="shared" si="10"/>
        <v>001</v>
      </c>
      <c r="E657" s="6" t="str">
        <f>"曾敏"</f>
        <v>曾敏</v>
      </c>
      <c r="F657" s="6" t="str">
        <f>"202311181726"</f>
        <v>202311181726</v>
      </c>
      <c r="G657" s="7">
        <v>0</v>
      </c>
      <c r="H657" s="9" t="s">
        <v>13</v>
      </c>
      <c r="I657" s="10" t="s">
        <v>14</v>
      </c>
    </row>
    <row r="658" spans="1:9" ht="24.75" customHeight="1">
      <c r="A658" s="5">
        <v>655</v>
      </c>
      <c r="B658" s="6" t="s">
        <v>11</v>
      </c>
      <c r="C658" s="6" t="s">
        <v>12</v>
      </c>
      <c r="D658" s="6" t="str">
        <f t="shared" si="10"/>
        <v>001</v>
      </c>
      <c r="E658" s="6" t="str">
        <f>"方翠"</f>
        <v>方翠</v>
      </c>
      <c r="F658" s="6" t="str">
        <f>"202311181727"</f>
        <v>202311181727</v>
      </c>
      <c r="G658" s="7">
        <v>0</v>
      </c>
      <c r="H658" s="9" t="s">
        <v>13</v>
      </c>
      <c r="I658" s="10" t="s">
        <v>14</v>
      </c>
    </row>
    <row r="659" spans="1:9" ht="24.75" customHeight="1">
      <c r="A659" s="5">
        <v>656</v>
      </c>
      <c r="B659" s="6" t="s">
        <v>11</v>
      </c>
      <c r="C659" s="6" t="s">
        <v>12</v>
      </c>
      <c r="D659" s="6" t="str">
        <f t="shared" si="10"/>
        <v>001</v>
      </c>
      <c r="E659" s="6" t="str">
        <f>"沈利兵"</f>
        <v>沈利兵</v>
      </c>
      <c r="F659" s="6" t="str">
        <f>"202311181728"</f>
        <v>202311181728</v>
      </c>
      <c r="G659" s="7">
        <v>0</v>
      </c>
      <c r="H659" s="9" t="s">
        <v>13</v>
      </c>
      <c r="I659" s="10" t="s">
        <v>14</v>
      </c>
    </row>
    <row r="660" spans="1:9" ht="24.75" customHeight="1">
      <c r="A660" s="5">
        <v>657</v>
      </c>
      <c r="B660" s="6" t="s">
        <v>11</v>
      </c>
      <c r="C660" s="6" t="s">
        <v>12</v>
      </c>
      <c r="D660" s="6" t="str">
        <f t="shared" si="10"/>
        <v>001</v>
      </c>
      <c r="E660" s="6" t="str">
        <f>"李梦怡"</f>
        <v>李梦怡</v>
      </c>
      <c r="F660" s="6" t="str">
        <f>"202311181730"</f>
        <v>202311181730</v>
      </c>
      <c r="G660" s="7">
        <v>0</v>
      </c>
      <c r="H660" s="9" t="s">
        <v>13</v>
      </c>
      <c r="I660" s="10" t="s">
        <v>14</v>
      </c>
    </row>
    <row r="661" spans="1:9" ht="24.75" customHeight="1">
      <c r="A661" s="5">
        <v>658</v>
      </c>
      <c r="B661" s="6" t="s">
        <v>11</v>
      </c>
      <c r="C661" s="6" t="s">
        <v>12</v>
      </c>
      <c r="D661" s="6" t="str">
        <f t="shared" si="10"/>
        <v>001</v>
      </c>
      <c r="E661" s="6" t="str">
        <f>"李召慧"</f>
        <v>李召慧</v>
      </c>
      <c r="F661" s="6" t="str">
        <f>"202311181802"</f>
        <v>202311181802</v>
      </c>
      <c r="G661" s="7">
        <v>0</v>
      </c>
      <c r="H661" s="9" t="s">
        <v>13</v>
      </c>
      <c r="I661" s="10" t="s">
        <v>14</v>
      </c>
    </row>
    <row r="662" spans="1:9" ht="24.75" customHeight="1">
      <c r="A662" s="5">
        <v>659</v>
      </c>
      <c r="B662" s="6" t="s">
        <v>11</v>
      </c>
      <c r="C662" s="6" t="s">
        <v>12</v>
      </c>
      <c r="D662" s="6" t="str">
        <f t="shared" si="10"/>
        <v>001</v>
      </c>
      <c r="E662" s="6" t="str">
        <f>"朱颖"</f>
        <v>朱颖</v>
      </c>
      <c r="F662" s="6" t="str">
        <f>"202311181807"</f>
        <v>202311181807</v>
      </c>
      <c r="G662" s="7">
        <v>0</v>
      </c>
      <c r="H662" s="9" t="s">
        <v>13</v>
      </c>
      <c r="I662" s="10" t="s">
        <v>14</v>
      </c>
    </row>
    <row r="663" spans="1:9" ht="24.75" customHeight="1">
      <c r="A663" s="5">
        <v>660</v>
      </c>
      <c r="B663" s="6" t="s">
        <v>11</v>
      </c>
      <c r="C663" s="6" t="s">
        <v>12</v>
      </c>
      <c r="D663" s="6" t="str">
        <f t="shared" si="10"/>
        <v>001</v>
      </c>
      <c r="E663" s="6" t="str">
        <f>"林小颖"</f>
        <v>林小颖</v>
      </c>
      <c r="F663" s="6" t="str">
        <f>"202311181810"</f>
        <v>202311181810</v>
      </c>
      <c r="G663" s="7">
        <v>0</v>
      </c>
      <c r="H663" s="9" t="s">
        <v>13</v>
      </c>
      <c r="I663" s="10" t="s">
        <v>14</v>
      </c>
    </row>
    <row r="664" spans="1:9" ht="24.75" customHeight="1">
      <c r="A664" s="5">
        <v>661</v>
      </c>
      <c r="B664" s="6" t="s">
        <v>11</v>
      </c>
      <c r="C664" s="6" t="s">
        <v>12</v>
      </c>
      <c r="D664" s="6" t="str">
        <f t="shared" si="10"/>
        <v>001</v>
      </c>
      <c r="E664" s="6" t="str">
        <f>"陈琳"</f>
        <v>陈琳</v>
      </c>
      <c r="F664" s="6" t="str">
        <f>"202311181813"</f>
        <v>202311181813</v>
      </c>
      <c r="G664" s="7">
        <v>0</v>
      </c>
      <c r="H664" s="9" t="s">
        <v>13</v>
      </c>
      <c r="I664" s="10" t="s">
        <v>14</v>
      </c>
    </row>
    <row r="665" spans="1:9" ht="24.75" customHeight="1">
      <c r="A665" s="5">
        <v>662</v>
      </c>
      <c r="B665" s="6" t="s">
        <v>11</v>
      </c>
      <c r="C665" s="6" t="s">
        <v>12</v>
      </c>
      <c r="D665" s="6" t="str">
        <f t="shared" si="10"/>
        <v>001</v>
      </c>
      <c r="E665" s="6" t="str">
        <f>"曹炫"</f>
        <v>曹炫</v>
      </c>
      <c r="F665" s="6" t="str">
        <f>"202311181817"</f>
        <v>202311181817</v>
      </c>
      <c r="G665" s="7">
        <v>0</v>
      </c>
      <c r="H665" s="9" t="s">
        <v>13</v>
      </c>
      <c r="I665" s="10" t="s">
        <v>14</v>
      </c>
    </row>
    <row r="666" spans="1:9" ht="24.75" customHeight="1">
      <c r="A666" s="5">
        <v>663</v>
      </c>
      <c r="B666" s="6" t="s">
        <v>11</v>
      </c>
      <c r="C666" s="6" t="s">
        <v>12</v>
      </c>
      <c r="D666" s="6" t="str">
        <f t="shared" si="10"/>
        <v>001</v>
      </c>
      <c r="E666" s="6" t="str">
        <f>"熊悠兰"</f>
        <v>熊悠兰</v>
      </c>
      <c r="F666" s="6" t="str">
        <f>"202311181818"</f>
        <v>202311181818</v>
      </c>
      <c r="G666" s="7">
        <v>0</v>
      </c>
      <c r="H666" s="9" t="s">
        <v>13</v>
      </c>
      <c r="I666" s="10" t="s">
        <v>14</v>
      </c>
    </row>
    <row r="667" spans="1:9" ht="24.75" customHeight="1">
      <c r="A667" s="5">
        <v>664</v>
      </c>
      <c r="B667" s="6" t="s">
        <v>11</v>
      </c>
      <c r="C667" s="6" t="s">
        <v>12</v>
      </c>
      <c r="D667" s="6" t="str">
        <f t="shared" si="10"/>
        <v>001</v>
      </c>
      <c r="E667" s="6" t="str">
        <f>"曾乙陇"</f>
        <v>曾乙陇</v>
      </c>
      <c r="F667" s="6" t="str">
        <f>"202311181821"</f>
        <v>202311181821</v>
      </c>
      <c r="G667" s="7">
        <v>0</v>
      </c>
      <c r="H667" s="9" t="s">
        <v>13</v>
      </c>
      <c r="I667" s="10" t="s">
        <v>14</v>
      </c>
    </row>
    <row r="668" spans="1:9" ht="24.75" customHeight="1">
      <c r="A668" s="5">
        <v>665</v>
      </c>
      <c r="B668" s="6" t="s">
        <v>11</v>
      </c>
      <c r="C668" s="6" t="s">
        <v>12</v>
      </c>
      <c r="D668" s="6" t="str">
        <f t="shared" si="10"/>
        <v>001</v>
      </c>
      <c r="E668" s="6" t="str">
        <f>"钟雪菲"</f>
        <v>钟雪菲</v>
      </c>
      <c r="F668" s="6" t="str">
        <f>"202311181822"</f>
        <v>202311181822</v>
      </c>
      <c r="G668" s="7">
        <v>0</v>
      </c>
      <c r="H668" s="9" t="s">
        <v>13</v>
      </c>
      <c r="I668" s="10" t="s">
        <v>14</v>
      </c>
    </row>
    <row r="669" spans="1:9" ht="24.75" customHeight="1">
      <c r="A669" s="5">
        <v>666</v>
      </c>
      <c r="B669" s="6" t="s">
        <v>11</v>
      </c>
      <c r="C669" s="6" t="s">
        <v>12</v>
      </c>
      <c r="D669" s="6" t="str">
        <f t="shared" si="10"/>
        <v>001</v>
      </c>
      <c r="E669" s="6" t="str">
        <f>"许秀莲"</f>
        <v>许秀莲</v>
      </c>
      <c r="F669" s="6" t="str">
        <f>"202311181823"</f>
        <v>202311181823</v>
      </c>
      <c r="G669" s="7">
        <v>0</v>
      </c>
      <c r="H669" s="9" t="s">
        <v>13</v>
      </c>
      <c r="I669" s="10" t="s">
        <v>14</v>
      </c>
    </row>
    <row r="670" spans="1:9" ht="24.75" customHeight="1">
      <c r="A670" s="5">
        <v>667</v>
      </c>
      <c r="B670" s="6" t="s">
        <v>11</v>
      </c>
      <c r="C670" s="6" t="s">
        <v>12</v>
      </c>
      <c r="D670" s="6" t="str">
        <f t="shared" si="10"/>
        <v>001</v>
      </c>
      <c r="E670" s="6" t="str">
        <f>"黄茹"</f>
        <v>黄茹</v>
      </c>
      <c r="F670" s="6" t="str">
        <f>"202311181826"</f>
        <v>202311181826</v>
      </c>
      <c r="G670" s="7">
        <v>0</v>
      </c>
      <c r="H670" s="9" t="s">
        <v>13</v>
      </c>
      <c r="I670" s="10" t="s">
        <v>14</v>
      </c>
    </row>
    <row r="671" spans="1:9" ht="24.75" customHeight="1">
      <c r="A671" s="5">
        <v>668</v>
      </c>
      <c r="B671" s="6" t="s">
        <v>11</v>
      </c>
      <c r="C671" s="6" t="s">
        <v>12</v>
      </c>
      <c r="D671" s="6" t="str">
        <f t="shared" si="10"/>
        <v>001</v>
      </c>
      <c r="E671" s="6" t="str">
        <f>"陈玉宝"</f>
        <v>陈玉宝</v>
      </c>
      <c r="F671" s="6" t="str">
        <f>"202311181829"</f>
        <v>202311181829</v>
      </c>
      <c r="G671" s="7">
        <v>0</v>
      </c>
      <c r="H671" s="9" t="s">
        <v>13</v>
      </c>
      <c r="I671" s="10" t="s">
        <v>14</v>
      </c>
    </row>
    <row r="672" spans="1:9" ht="24.75" customHeight="1">
      <c r="A672" s="5">
        <v>669</v>
      </c>
      <c r="B672" s="6" t="s">
        <v>11</v>
      </c>
      <c r="C672" s="6" t="s">
        <v>12</v>
      </c>
      <c r="D672" s="6" t="str">
        <f t="shared" si="10"/>
        <v>001</v>
      </c>
      <c r="E672" s="6" t="str">
        <f>"伍牡丹"</f>
        <v>伍牡丹</v>
      </c>
      <c r="F672" s="6" t="str">
        <f>"202311181901"</f>
        <v>202311181901</v>
      </c>
      <c r="G672" s="7">
        <v>0</v>
      </c>
      <c r="H672" s="9" t="s">
        <v>13</v>
      </c>
      <c r="I672" s="10" t="s">
        <v>14</v>
      </c>
    </row>
    <row r="673" spans="1:9" ht="24.75" customHeight="1">
      <c r="A673" s="5">
        <v>670</v>
      </c>
      <c r="B673" s="6" t="s">
        <v>11</v>
      </c>
      <c r="C673" s="6" t="s">
        <v>12</v>
      </c>
      <c r="D673" s="6" t="str">
        <f t="shared" si="10"/>
        <v>001</v>
      </c>
      <c r="E673" s="6" t="str">
        <f>"曾瑞文"</f>
        <v>曾瑞文</v>
      </c>
      <c r="F673" s="6" t="str">
        <f>"202311181903"</f>
        <v>202311181903</v>
      </c>
      <c r="G673" s="7">
        <v>0</v>
      </c>
      <c r="H673" s="9" t="s">
        <v>13</v>
      </c>
      <c r="I673" s="10" t="s">
        <v>14</v>
      </c>
    </row>
    <row r="674" spans="1:9" ht="24.75" customHeight="1">
      <c r="A674" s="5">
        <v>671</v>
      </c>
      <c r="B674" s="6" t="s">
        <v>11</v>
      </c>
      <c r="C674" s="6" t="s">
        <v>12</v>
      </c>
      <c r="D674" s="6" t="str">
        <f t="shared" si="10"/>
        <v>001</v>
      </c>
      <c r="E674" s="6" t="str">
        <f>"龙官钢"</f>
        <v>龙官钢</v>
      </c>
      <c r="F674" s="6" t="str">
        <f>"202311181909"</f>
        <v>202311181909</v>
      </c>
      <c r="G674" s="7">
        <v>0</v>
      </c>
      <c r="H674" s="9" t="s">
        <v>13</v>
      </c>
      <c r="I674" s="10" t="s">
        <v>14</v>
      </c>
    </row>
    <row r="675" spans="1:9" ht="24.75" customHeight="1">
      <c r="A675" s="5">
        <v>672</v>
      </c>
      <c r="B675" s="6" t="s">
        <v>11</v>
      </c>
      <c r="C675" s="6" t="s">
        <v>12</v>
      </c>
      <c r="D675" s="6" t="str">
        <f t="shared" si="10"/>
        <v>001</v>
      </c>
      <c r="E675" s="6" t="str">
        <f>"许昭靖"</f>
        <v>许昭靖</v>
      </c>
      <c r="F675" s="6" t="str">
        <f>"202311181912"</f>
        <v>202311181912</v>
      </c>
      <c r="G675" s="7">
        <v>0</v>
      </c>
      <c r="H675" s="9" t="s">
        <v>13</v>
      </c>
      <c r="I675" s="10" t="s">
        <v>14</v>
      </c>
    </row>
    <row r="676" spans="1:9" ht="24.75" customHeight="1">
      <c r="A676" s="5">
        <v>673</v>
      </c>
      <c r="B676" s="6" t="s">
        <v>11</v>
      </c>
      <c r="C676" s="6" t="s">
        <v>12</v>
      </c>
      <c r="D676" s="6" t="str">
        <f t="shared" si="10"/>
        <v>001</v>
      </c>
      <c r="E676" s="6" t="str">
        <f>"黄利广"</f>
        <v>黄利广</v>
      </c>
      <c r="F676" s="6" t="str">
        <f>"202311181916"</f>
        <v>202311181916</v>
      </c>
      <c r="G676" s="7">
        <v>0</v>
      </c>
      <c r="H676" s="9" t="s">
        <v>13</v>
      </c>
      <c r="I676" s="10" t="s">
        <v>14</v>
      </c>
    </row>
    <row r="677" spans="1:9" ht="24.75" customHeight="1">
      <c r="A677" s="5">
        <v>674</v>
      </c>
      <c r="B677" s="6" t="s">
        <v>11</v>
      </c>
      <c r="C677" s="6" t="s">
        <v>12</v>
      </c>
      <c r="D677" s="6" t="str">
        <f t="shared" si="10"/>
        <v>001</v>
      </c>
      <c r="E677" s="6" t="str">
        <f>"符其再"</f>
        <v>符其再</v>
      </c>
      <c r="F677" s="6" t="str">
        <f>"202311181918"</f>
        <v>202311181918</v>
      </c>
      <c r="G677" s="7">
        <v>0</v>
      </c>
      <c r="H677" s="9" t="s">
        <v>13</v>
      </c>
      <c r="I677" s="10" t="s">
        <v>14</v>
      </c>
    </row>
    <row r="678" spans="1:9" ht="24.75" customHeight="1">
      <c r="A678" s="5">
        <v>675</v>
      </c>
      <c r="B678" s="6" t="s">
        <v>11</v>
      </c>
      <c r="C678" s="6" t="s">
        <v>12</v>
      </c>
      <c r="D678" s="6" t="str">
        <f t="shared" si="10"/>
        <v>001</v>
      </c>
      <c r="E678" s="6" t="str">
        <f>"吴钰"</f>
        <v>吴钰</v>
      </c>
      <c r="F678" s="6" t="str">
        <f>"202311181919"</f>
        <v>202311181919</v>
      </c>
      <c r="G678" s="7">
        <v>0</v>
      </c>
      <c r="H678" s="9" t="s">
        <v>13</v>
      </c>
      <c r="I678" s="10" t="s">
        <v>14</v>
      </c>
    </row>
    <row r="679" spans="1:9" ht="24.75" customHeight="1">
      <c r="A679" s="5">
        <v>676</v>
      </c>
      <c r="B679" s="6" t="s">
        <v>11</v>
      </c>
      <c r="C679" s="6" t="s">
        <v>12</v>
      </c>
      <c r="D679" s="6" t="str">
        <f t="shared" si="10"/>
        <v>001</v>
      </c>
      <c r="E679" s="6" t="str">
        <f>"何才丁"</f>
        <v>何才丁</v>
      </c>
      <c r="F679" s="6" t="str">
        <f>"202311181923"</f>
        <v>202311181923</v>
      </c>
      <c r="G679" s="7">
        <v>0</v>
      </c>
      <c r="H679" s="9" t="s">
        <v>13</v>
      </c>
      <c r="I679" s="10" t="s">
        <v>14</v>
      </c>
    </row>
    <row r="680" spans="1:9" ht="24.75" customHeight="1">
      <c r="A680" s="5">
        <v>677</v>
      </c>
      <c r="B680" s="6" t="s">
        <v>11</v>
      </c>
      <c r="C680" s="6" t="s">
        <v>12</v>
      </c>
      <c r="D680" s="6" t="str">
        <f t="shared" si="10"/>
        <v>001</v>
      </c>
      <c r="E680" s="6" t="str">
        <f>"吴茂娜"</f>
        <v>吴茂娜</v>
      </c>
      <c r="F680" s="6" t="str">
        <f>"202311181926"</f>
        <v>202311181926</v>
      </c>
      <c r="G680" s="7">
        <v>0</v>
      </c>
      <c r="H680" s="9" t="s">
        <v>13</v>
      </c>
      <c r="I680" s="10" t="s">
        <v>14</v>
      </c>
    </row>
    <row r="681" spans="1:9" ht="24.75" customHeight="1">
      <c r="A681" s="5">
        <v>678</v>
      </c>
      <c r="B681" s="6" t="s">
        <v>11</v>
      </c>
      <c r="C681" s="6" t="s">
        <v>12</v>
      </c>
      <c r="D681" s="6" t="str">
        <f t="shared" si="10"/>
        <v>001</v>
      </c>
      <c r="E681" s="6" t="str">
        <f>"李秋瑜"</f>
        <v>李秋瑜</v>
      </c>
      <c r="F681" s="6" t="str">
        <f>"202311181927"</f>
        <v>202311181927</v>
      </c>
      <c r="G681" s="7">
        <v>0</v>
      </c>
      <c r="H681" s="9" t="s">
        <v>13</v>
      </c>
      <c r="I681" s="10" t="s">
        <v>14</v>
      </c>
    </row>
    <row r="682" spans="1:9" ht="24.75" customHeight="1">
      <c r="A682" s="5">
        <v>679</v>
      </c>
      <c r="B682" s="6" t="s">
        <v>11</v>
      </c>
      <c r="C682" s="6" t="s">
        <v>12</v>
      </c>
      <c r="D682" s="6" t="str">
        <f t="shared" si="10"/>
        <v>001</v>
      </c>
      <c r="E682" s="6" t="str">
        <f>"曾洁"</f>
        <v>曾洁</v>
      </c>
      <c r="F682" s="6" t="str">
        <f>"202311181928"</f>
        <v>202311181928</v>
      </c>
      <c r="G682" s="7">
        <v>0</v>
      </c>
      <c r="H682" s="9" t="s">
        <v>13</v>
      </c>
      <c r="I682" s="10" t="s">
        <v>14</v>
      </c>
    </row>
    <row r="683" spans="1:9" ht="24.75" customHeight="1">
      <c r="A683" s="5">
        <v>680</v>
      </c>
      <c r="B683" s="6" t="s">
        <v>11</v>
      </c>
      <c r="C683" s="6" t="s">
        <v>12</v>
      </c>
      <c r="D683" s="6" t="str">
        <f t="shared" si="10"/>
        <v>001</v>
      </c>
      <c r="E683" s="6" t="str">
        <f>"李宛金"</f>
        <v>李宛金</v>
      </c>
      <c r="F683" s="6" t="str">
        <f>"202311181930"</f>
        <v>202311181930</v>
      </c>
      <c r="G683" s="7">
        <v>0</v>
      </c>
      <c r="H683" s="9" t="s">
        <v>13</v>
      </c>
      <c r="I683" s="10" t="s">
        <v>14</v>
      </c>
    </row>
    <row r="684" spans="1:9" ht="24.75" customHeight="1">
      <c r="A684" s="5">
        <v>681</v>
      </c>
      <c r="B684" s="6" t="s">
        <v>11</v>
      </c>
      <c r="C684" s="6" t="s">
        <v>12</v>
      </c>
      <c r="D684" s="6" t="str">
        <f t="shared" si="10"/>
        <v>001</v>
      </c>
      <c r="E684" s="6" t="str">
        <f>"王帮潇"</f>
        <v>王帮潇</v>
      </c>
      <c r="F684" s="6" t="str">
        <f>"202311182004"</f>
        <v>202311182004</v>
      </c>
      <c r="G684" s="7">
        <v>0</v>
      </c>
      <c r="H684" s="9" t="s">
        <v>13</v>
      </c>
      <c r="I684" s="10" t="s">
        <v>14</v>
      </c>
    </row>
    <row r="685" spans="1:9" ht="24.75" customHeight="1">
      <c r="A685" s="5">
        <v>682</v>
      </c>
      <c r="B685" s="6" t="s">
        <v>11</v>
      </c>
      <c r="C685" s="6" t="s">
        <v>12</v>
      </c>
      <c r="D685" s="6" t="str">
        <f t="shared" si="10"/>
        <v>001</v>
      </c>
      <c r="E685" s="6" t="str">
        <f>"陈升"</f>
        <v>陈升</v>
      </c>
      <c r="F685" s="6" t="str">
        <f>"202311182005"</f>
        <v>202311182005</v>
      </c>
      <c r="G685" s="7">
        <v>0</v>
      </c>
      <c r="H685" s="9" t="s">
        <v>13</v>
      </c>
      <c r="I685" s="10" t="s">
        <v>14</v>
      </c>
    </row>
    <row r="686" spans="1:9" ht="24.75" customHeight="1">
      <c r="A686" s="5">
        <v>683</v>
      </c>
      <c r="B686" s="6" t="s">
        <v>11</v>
      </c>
      <c r="C686" s="6" t="s">
        <v>12</v>
      </c>
      <c r="D686" s="6" t="str">
        <f t="shared" si="10"/>
        <v>001</v>
      </c>
      <c r="E686" s="6" t="str">
        <f>"吴云丹"</f>
        <v>吴云丹</v>
      </c>
      <c r="F686" s="6" t="str">
        <f>"202311182007"</f>
        <v>202311182007</v>
      </c>
      <c r="G686" s="7">
        <v>0</v>
      </c>
      <c r="H686" s="9" t="s">
        <v>13</v>
      </c>
      <c r="I686" s="10" t="s">
        <v>14</v>
      </c>
    </row>
    <row r="687" spans="1:9" ht="24.75" customHeight="1">
      <c r="A687" s="5">
        <v>684</v>
      </c>
      <c r="B687" s="6" t="s">
        <v>11</v>
      </c>
      <c r="C687" s="6" t="s">
        <v>12</v>
      </c>
      <c r="D687" s="6" t="str">
        <f t="shared" si="10"/>
        <v>001</v>
      </c>
      <c r="E687" s="6" t="str">
        <f>"王品熙"</f>
        <v>王品熙</v>
      </c>
      <c r="F687" s="6" t="str">
        <f>"202311182008"</f>
        <v>202311182008</v>
      </c>
      <c r="G687" s="7">
        <v>0</v>
      </c>
      <c r="H687" s="9" t="s">
        <v>13</v>
      </c>
      <c r="I687" s="10" t="s">
        <v>14</v>
      </c>
    </row>
    <row r="688" spans="1:9" ht="24.75" customHeight="1">
      <c r="A688" s="5">
        <v>685</v>
      </c>
      <c r="B688" s="6" t="s">
        <v>11</v>
      </c>
      <c r="C688" s="6" t="s">
        <v>12</v>
      </c>
      <c r="D688" s="6" t="str">
        <f t="shared" si="10"/>
        <v>001</v>
      </c>
      <c r="E688" s="6" t="str">
        <f>"磨艺祈"</f>
        <v>磨艺祈</v>
      </c>
      <c r="F688" s="6" t="str">
        <f>"202311182010"</f>
        <v>202311182010</v>
      </c>
      <c r="G688" s="7">
        <v>0</v>
      </c>
      <c r="H688" s="9" t="s">
        <v>13</v>
      </c>
      <c r="I688" s="10" t="s">
        <v>14</v>
      </c>
    </row>
    <row r="689" spans="1:9" ht="24.75" customHeight="1">
      <c r="A689" s="5">
        <v>686</v>
      </c>
      <c r="B689" s="6" t="s">
        <v>11</v>
      </c>
      <c r="C689" s="6" t="s">
        <v>12</v>
      </c>
      <c r="D689" s="6" t="str">
        <f t="shared" si="10"/>
        <v>001</v>
      </c>
      <c r="E689" s="6" t="str">
        <f>"甘祖栋"</f>
        <v>甘祖栋</v>
      </c>
      <c r="F689" s="6" t="str">
        <f>"202311182012"</f>
        <v>202311182012</v>
      </c>
      <c r="G689" s="7">
        <v>0</v>
      </c>
      <c r="H689" s="9" t="s">
        <v>13</v>
      </c>
      <c r="I689" s="10" t="s">
        <v>14</v>
      </c>
    </row>
    <row r="690" spans="1:9" ht="24.75" customHeight="1">
      <c r="A690" s="5">
        <v>687</v>
      </c>
      <c r="B690" s="6" t="s">
        <v>11</v>
      </c>
      <c r="C690" s="6" t="s">
        <v>12</v>
      </c>
      <c r="D690" s="6" t="str">
        <f t="shared" si="10"/>
        <v>001</v>
      </c>
      <c r="E690" s="6" t="str">
        <f>"符燕娇"</f>
        <v>符燕娇</v>
      </c>
      <c r="F690" s="6" t="str">
        <f>"202311182014"</f>
        <v>202311182014</v>
      </c>
      <c r="G690" s="7">
        <v>0</v>
      </c>
      <c r="H690" s="9" t="s">
        <v>13</v>
      </c>
      <c r="I690" s="10" t="s">
        <v>14</v>
      </c>
    </row>
    <row r="691" spans="1:9" ht="24.75" customHeight="1">
      <c r="A691" s="5">
        <v>688</v>
      </c>
      <c r="B691" s="6" t="s">
        <v>11</v>
      </c>
      <c r="C691" s="6" t="s">
        <v>12</v>
      </c>
      <c r="D691" s="6" t="str">
        <f t="shared" si="10"/>
        <v>001</v>
      </c>
      <c r="E691" s="6" t="str">
        <f>"王全能"</f>
        <v>王全能</v>
      </c>
      <c r="F691" s="6" t="str">
        <f>"202311182017"</f>
        <v>202311182017</v>
      </c>
      <c r="G691" s="7">
        <v>0</v>
      </c>
      <c r="H691" s="9" t="s">
        <v>13</v>
      </c>
      <c r="I691" s="10" t="s">
        <v>14</v>
      </c>
    </row>
    <row r="692" spans="1:9" ht="24.75" customHeight="1">
      <c r="A692" s="5">
        <v>689</v>
      </c>
      <c r="B692" s="6" t="s">
        <v>11</v>
      </c>
      <c r="C692" s="6" t="s">
        <v>12</v>
      </c>
      <c r="D692" s="6" t="str">
        <f t="shared" si="10"/>
        <v>001</v>
      </c>
      <c r="E692" s="6" t="str">
        <f>"杜林森"</f>
        <v>杜林森</v>
      </c>
      <c r="F692" s="6" t="str">
        <f>"202311182018"</f>
        <v>202311182018</v>
      </c>
      <c r="G692" s="7">
        <v>0</v>
      </c>
      <c r="H692" s="9" t="s">
        <v>13</v>
      </c>
      <c r="I692" s="10" t="s">
        <v>14</v>
      </c>
    </row>
    <row r="693" spans="1:9" ht="24.75" customHeight="1">
      <c r="A693" s="5">
        <v>690</v>
      </c>
      <c r="B693" s="6" t="s">
        <v>11</v>
      </c>
      <c r="C693" s="6" t="s">
        <v>12</v>
      </c>
      <c r="D693" s="6" t="str">
        <f t="shared" si="10"/>
        <v>001</v>
      </c>
      <c r="E693" s="6" t="str">
        <f>"王达培"</f>
        <v>王达培</v>
      </c>
      <c r="F693" s="6" t="str">
        <f>"202311182019"</f>
        <v>202311182019</v>
      </c>
      <c r="G693" s="7">
        <v>0</v>
      </c>
      <c r="H693" s="9" t="s">
        <v>13</v>
      </c>
      <c r="I693" s="10" t="s">
        <v>14</v>
      </c>
    </row>
    <row r="694" spans="1:9" ht="24.75" customHeight="1">
      <c r="A694" s="5">
        <v>691</v>
      </c>
      <c r="B694" s="6" t="s">
        <v>11</v>
      </c>
      <c r="C694" s="6" t="s">
        <v>12</v>
      </c>
      <c r="D694" s="6" t="str">
        <f t="shared" si="10"/>
        <v>001</v>
      </c>
      <c r="E694" s="6" t="str">
        <f>"王艺霞"</f>
        <v>王艺霞</v>
      </c>
      <c r="F694" s="6" t="str">
        <f>"202311182024"</f>
        <v>202311182024</v>
      </c>
      <c r="G694" s="7">
        <v>0</v>
      </c>
      <c r="H694" s="9" t="s">
        <v>13</v>
      </c>
      <c r="I694" s="10" t="s">
        <v>14</v>
      </c>
    </row>
    <row r="695" spans="1:9" ht="24.75" customHeight="1">
      <c r="A695" s="5">
        <v>692</v>
      </c>
      <c r="B695" s="6" t="s">
        <v>11</v>
      </c>
      <c r="C695" s="6" t="s">
        <v>12</v>
      </c>
      <c r="D695" s="6" t="str">
        <f t="shared" si="10"/>
        <v>001</v>
      </c>
      <c r="E695" s="6" t="str">
        <f>"吴武"</f>
        <v>吴武</v>
      </c>
      <c r="F695" s="6" t="str">
        <f>"202311182026"</f>
        <v>202311182026</v>
      </c>
      <c r="G695" s="7">
        <v>0</v>
      </c>
      <c r="H695" s="9" t="s">
        <v>13</v>
      </c>
      <c r="I695" s="10" t="s">
        <v>14</v>
      </c>
    </row>
    <row r="696" spans="1:9" ht="24.75" customHeight="1">
      <c r="A696" s="5">
        <v>693</v>
      </c>
      <c r="B696" s="6" t="s">
        <v>11</v>
      </c>
      <c r="C696" s="6" t="s">
        <v>12</v>
      </c>
      <c r="D696" s="6" t="str">
        <f t="shared" si="10"/>
        <v>001</v>
      </c>
      <c r="E696" s="6" t="str">
        <f>"李晶晶"</f>
        <v>李晶晶</v>
      </c>
      <c r="F696" s="6" t="str">
        <f>"202311182027"</f>
        <v>202311182027</v>
      </c>
      <c r="G696" s="7">
        <v>0</v>
      </c>
      <c r="H696" s="9" t="s">
        <v>13</v>
      </c>
      <c r="I696" s="10" t="s">
        <v>14</v>
      </c>
    </row>
    <row r="697" spans="1:9" ht="24.75" customHeight="1">
      <c r="A697" s="5">
        <v>694</v>
      </c>
      <c r="B697" s="6" t="s">
        <v>11</v>
      </c>
      <c r="C697" s="6" t="s">
        <v>12</v>
      </c>
      <c r="D697" s="6" t="str">
        <f t="shared" si="10"/>
        <v>001</v>
      </c>
      <c r="E697" s="6" t="str">
        <f>"林声钧"</f>
        <v>林声钧</v>
      </c>
      <c r="F697" s="6" t="str">
        <f>"202311182028"</f>
        <v>202311182028</v>
      </c>
      <c r="G697" s="7">
        <v>0</v>
      </c>
      <c r="H697" s="9" t="s">
        <v>13</v>
      </c>
      <c r="I697" s="10" t="s">
        <v>14</v>
      </c>
    </row>
    <row r="698" spans="1:9" ht="24.75" customHeight="1">
      <c r="A698" s="5">
        <v>695</v>
      </c>
      <c r="B698" s="6" t="s">
        <v>11</v>
      </c>
      <c r="C698" s="6" t="s">
        <v>12</v>
      </c>
      <c r="D698" s="6" t="str">
        <f t="shared" si="10"/>
        <v>001</v>
      </c>
      <c r="E698" s="6" t="str">
        <f>"陈泰洋"</f>
        <v>陈泰洋</v>
      </c>
      <c r="F698" s="6" t="str">
        <f>"202311182030"</f>
        <v>202311182030</v>
      </c>
      <c r="G698" s="7">
        <v>0</v>
      </c>
      <c r="H698" s="9" t="s">
        <v>13</v>
      </c>
      <c r="I698" s="10" t="s">
        <v>14</v>
      </c>
    </row>
    <row r="699" spans="1:9" ht="24.75" customHeight="1">
      <c r="A699" s="5">
        <v>696</v>
      </c>
      <c r="B699" s="6" t="s">
        <v>11</v>
      </c>
      <c r="C699" s="6" t="s">
        <v>12</v>
      </c>
      <c r="D699" s="6" t="str">
        <f t="shared" si="10"/>
        <v>001</v>
      </c>
      <c r="E699" s="6" t="str">
        <f>"陈姗姗"</f>
        <v>陈姗姗</v>
      </c>
      <c r="F699" s="6" t="str">
        <f>"202311182103"</f>
        <v>202311182103</v>
      </c>
      <c r="G699" s="7">
        <v>0</v>
      </c>
      <c r="H699" s="9" t="s">
        <v>13</v>
      </c>
      <c r="I699" s="10" t="s">
        <v>14</v>
      </c>
    </row>
    <row r="700" spans="1:9" ht="24.75" customHeight="1">
      <c r="A700" s="5">
        <v>697</v>
      </c>
      <c r="B700" s="6" t="s">
        <v>11</v>
      </c>
      <c r="C700" s="6" t="s">
        <v>12</v>
      </c>
      <c r="D700" s="6" t="str">
        <f t="shared" si="10"/>
        <v>001</v>
      </c>
      <c r="E700" s="6" t="str">
        <f>"陈帅宙"</f>
        <v>陈帅宙</v>
      </c>
      <c r="F700" s="6" t="str">
        <f>"202311182104"</f>
        <v>202311182104</v>
      </c>
      <c r="G700" s="7">
        <v>0</v>
      </c>
      <c r="H700" s="9" t="s">
        <v>13</v>
      </c>
      <c r="I700" s="10" t="s">
        <v>14</v>
      </c>
    </row>
    <row r="701" spans="1:9" ht="24.75" customHeight="1">
      <c r="A701" s="5">
        <v>698</v>
      </c>
      <c r="B701" s="6" t="s">
        <v>11</v>
      </c>
      <c r="C701" s="6" t="s">
        <v>12</v>
      </c>
      <c r="D701" s="6" t="str">
        <f t="shared" si="10"/>
        <v>001</v>
      </c>
      <c r="E701" s="6" t="str">
        <f>"郑桔鸾"</f>
        <v>郑桔鸾</v>
      </c>
      <c r="F701" s="6" t="str">
        <f>"202311182105"</f>
        <v>202311182105</v>
      </c>
      <c r="G701" s="7">
        <v>0</v>
      </c>
      <c r="H701" s="9" t="s">
        <v>13</v>
      </c>
      <c r="I701" s="10" t="s">
        <v>14</v>
      </c>
    </row>
    <row r="702" spans="1:9" ht="24.75" customHeight="1">
      <c r="A702" s="5">
        <v>699</v>
      </c>
      <c r="B702" s="6" t="s">
        <v>11</v>
      </c>
      <c r="C702" s="6" t="s">
        <v>12</v>
      </c>
      <c r="D702" s="6" t="str">
        <f t="shared" si="10"/>
        <v>001</v>
      </c>
      <c r="E702" s="6" t="str">
        <f>"吴蕊"</f>
        <v>吴蕊</v>
      </c>
      <c r="F702" s="6" t="str">
        <f>"202311182107"</f>
        <v>202311182107</v>
      </c>
      <c r="G702" s="7">
        <v>0</v>
      </c>
      <c r="H702" s="9" t="s">
        <v>13</v>
      </c>
      <c r="I702" s="10" t="s">
        <v>14</v>
      </c>
    </row>
    <row r="703" spans="1:9" ht="24.75" customHeight="1">
      <c r="A703" s="5">
        <v>700</v>
      </c>
      <c r="B703" s="6" t="s">
        <v>11</v>
      </c>
      <c r="C703" s="6" t="s">
        <v>12</v>
      </c>
      <c r="D703" s="6" t="str">
        <f t="shared" si="10"/>
        <v>001</v>
      </c>
      <c r="E703" s="6" t="str">
        <f>"张淑贞"</f>
        <v>张淑贞</v>
      </c>
      <c r="F703" s="6" t="str">
        <f>"202311182108"</f>
        <v>202311182108</v>
      </c>
      <c r="G703" s="7">
        <v>0</v>
      </c>
      <c r="H703" s="9" t="s">
        <v>13</v>
      </c>
      <c r="I703" s="10" t="s">
        <v>14</v>
      </c>
    </row>
    <row r="704" spans="1:9" ht="24.75" customHeight="1">
      <c r="A704" s="5">
        <v>701</v>
      </c>
      <c r="B704" s="6" t="s">
        <v>11</v>
      </c>
      <c r="C704" s="6" t="s">
        <v>12</v>
      </c>
      <c r="D704" s="6" t="str">
        <f t="shared" si="10"/>
        <v>001</v>
      </c>
      <c r="E704" s="6" t="str">
        <f>"麦昌发"</f>
        <v>麦昌发</v>
      </c>
      <c r="F704" s="6" t="str">
        <f>"202311182109"</f>
        <v>202311182109</v>
      </c>
      <c r="G704" s="7">
        <v>0</v>
      </c>
      <c r="H704" s="9" t="s">
        <v>13</v>
      </c>
      <c r="I704" s="10" t="s">
        <v>14</v>
      </c>
    </row>
    <row r="705" spans="1:9" ht="24.75" customHeight="1">
      <c r="A705" s="5">
        <v>702</v>
      </c>
      <c r="B705" s="6" t="s">
        <v>11</v>
      </c>
      <c r="C705" s="6" t="s">
        <v>12</v>
      </c>
      <c r="D705" s="6" t="str">
        <f t="shared" si="10"/>
        <v>001</v>
      </c>
      <c r="E705" s="6" t="str">
        <f>"陈雅琪"</f>
        <v>陈雅琪</v>
      </c>
      <c r="F705" s="6" t="str">
        <f>"202311182110"</f>
        <v>202311182110</v>
      </c>
      <c r="G705" s="7">
        <v>0</v>
      </c>
      <c r="H705" s="9" t="s">
        <v>13</v>
      </c>
      <c r="I705" s="10" t="s">
        <v>14</v>
      </c>
    </row>
    <row r="706" spans="1:9" ht="24.75" customHeight="1">
      <c r="A706" s="5">
        <v>703</v>
      </c>
      <c r="B706" s="6" t="s">
        <v>11</v>
      </c>
      <c r="C706" s="6" t="s">
        <v>12</v>
      </c>
      <c r="D706" s="6" t="str">
        <f t="shared" si="10"/>
        <v>001</v>
      </c>
      <c r="E706" s="6" t="str">
        <f>"陈虹"</f>
        <v>陈虹</v>
      </c>
      <c r="F706" s="6" t="str">
        <f>"202311182112"</f>
        <v>202311182112</v>
      </c>
      <c r="G706" s="7">
        <v>0</v>
      </c>
      <c r="H706" s="9" t="s">
        <v>13</v>
      </c>
      <c r="I706" s="10" t="s">
        <v>14</v>
      </c>
    </row>
    <row r="707" spans="1:9" ht="24.75" customHeight="1">
      <c r="A707" s="5">
        <v>704</v>
      </c>
      <c r="B707" s="6" t="s">
        <v>11</v>
      </c>
      <c r="C707" s="6" t="s">
        <v>12</v>
      </c>
      <c r="D707" s="6" t="str">
        <f t="shared" si="10"/>
        <v>001</v>
      </c>
      <c r="E707" s="6" t="str">
        <f>"杨望"</f>
        <v>杨望</v>
      </c>
      <c r="F707" s="6" t="str">
        <f>"202311182113"</f>
        <v>202311182113</v>
      </c>
      <c r="G707" s="7">
        <v>0</v>
      </c>
      <c r="H707" s="9" t="s">
        <v>13</v>
      </c>
      <c r="I707" s="10" t="s">
        <v>14</v>
      </c>
    </row>
    <row r="708" spans="1:9" ht="24.75" customHeight="1">
      <c r="A708" s="5">
        <v>705</v>
      </c>
      <c r="B708" s="6" t="s">
        <v>11</v>
      </c>
      <c r="C708" s="6" t="s">
        <v>12</v>
      </c>
      <c r="D708" s="6" t="str">
        <f aca="true" t="shared" si="11" ref="D708:D771">"001"</f>
        <v>001</v>
      </c>
      <c r="E708" s="6" t="str">
        <f>"陈俊肖"</f>
        <v>陈俊肖</v>
      </c>
      <c r="F708" s="6" t="str">
        <f>"202311182117"</f>
        <v>202311182117</v>
      </c>
      <c r="G708" s="7">
        <v>0</v>
      </c>
      <c r="H708" s="9" t="s">
        <v>13</v>
      </c>
      <c r="I708" s="10" t="s">
        <v>14</v>
      </c>
    </row>
    <row r="709" spans="1:9" ht="24.75" customHeight="1">
      <c r="A709" s="5">
        <v>706</v>
      </c>
      <c r="B709" s="6" t="s">
        <v>11</v>
      </c>
      <c r="C709" s="6" t="s">
        <v>12</v>
      </c>
      <c r="D709" s="6" t="str">
        <f t="shared" si="11"/>
        <v>001</v>
      </c>
      <c r="E709" s="6" t="str">
        <f>"周文丹"</f>
        <v>周文丹</v>
      </c>
      <c r="F709" s="6" t="str">
        <f>"202311182119"</f>
        <v>202311182119</v>
      </c>
      <c r="G709" s="7">
        <v>0</v>
      </c>
      <c r="H709" s="9" t="s">
        <v>13</v>
      </c>
      <c r="I709" s="10" t="s">
        <v>14</v>
      </c>
    </row>
    <row r="710" spans="1:9" ht="24.75" customHeight="1">
      <c r="A710" s="5">
        <v>707</v>
      </c>
      <c r="B710" s="6" t="s">
        <v>11</v>
      </c>
      <c r="C710" s="6" t="s">
        <v>12</v>
      </c>
      <c r="D710" s="6" t="str">
        <f t="shared" si="11"/>
        <v>001</v>
      </c>
      <c r="E710" s="6" t="str">
        <f>"吴淑新"</f>
        <v>吴淑新</v>
      </c>
      <c r="F710" s="6" t="str">
        <f>"202311182120"</f>
        <v>202311182120</v>
      </c>
      <c r="G710" s="7">
        <v>0</v>
      </c>
      <c r="H710" s="9" t="s">
        <v>13</v>
      </c>
      <c r="I710" s="10" t="s">
        <v>14</v>
      </c>
    </row>
    <row r="711" spans="1:9" ht="24.75" customHeight="1">
      <c r="A711" s="5">
        <v>708</v>
      </c>
      <c r="B711" s="6" t="s">
        <v>11</v>
      </c>
      <c r="C711" s="6" t="s">
        <v>12</v>
      </c>
      <c r="D711" s="6" t="str">
        <f t="shared" si="11"/>
        <v>001</v>
      </c>
      <c r="E711" s="6" t="str">
        <f>"陈冠岳"</f>
        <v>陈冠岳</v>
      </c>
      <c r="F711" s="6" t="str">
        <f>"202311182124"</f>
        <v>202311182124</v>
      </c>
      <c r="G711" s="7">
        <v>0</v>
      </c>
      <c r="H711" s="9" t="s">
        <v>13</v>
      </c>
      <c r="I711" s="10" t="s">
        <v>14</v>
      </c>
    </row>
    <row r="712" spans="1:9" ht="24.75" customHeight="1">
      <c r="A712" s="5">
        <v>709</v>
      </c>
      <c r="B712" s="6" t="s">
        <v>11</v>
      </c>
      <c r="C712" s="6" t="s">
        <v>12</v>
      </c>
      <c r="D712" s="6" t="str">
        <f t="shared" si="11"/>
        <v>001</v>
      </c>
      <c r="E712" s="6" t="str">
        <f>"罗忠恒"</f>
        <v>罗忠恒</v>
      </c>
      <c r="F712" s="6" t="str">
        <f>"202311182125"</f>
        <v>202311182125</v>
      </c>
      <c r="G712" s="7">
        <v>0</v>
      </c>
      <c r="H712" s="9" t="s">
        <v>13</v>
      </c>
      <c r="I712" s="10" t="s">
        <v>14</v>
      </c>
    </row>
    <row r="713" spans="1:9" ht="24.75" customHeight="1">
      <c r="A713" s="5">
        <v>710</v>
      </c>
      <c r="B713" s="6" t="s">
        <v>11</v>
      </c>
      <c r="C713" s="6" t="s">
        <v>12</v>
      </c>
      <c r="D713" s="6" t="str">
        <f t="shared" si="11"/>
        <v>001</v>
      </c>
      <c r="E713" s="6" t="str">
        <f>"张丹"</f>
        <v>张丹</v>
      </c>
      <c r="F713" s="6" t="str">
        <f>"202311182127"</f>
        <v>202311182127</v>
      </c>
      <c r="G713" s="7">
        <v>0</v>
      </c>
      <c r="H713" s="9" t="s">
        <v>13</v>
      </c>
      <c r="I713" s="10" t="s">
        <v>14</v>
      </c>
    </row>
    <row r="714" spans="1:9" ht="24.75" customHeight="1">
      <c r="A714" s="5">
        <v>711</v>
      </c>
      <c r="B714" s="6" t="s">
        <v>11</v>
      </c>
      <c r="C714" s="6" t="s">
        <v>12</v>
      </c>
      <c r="D714" s="6" t="str">
        <f t="shared" si="11"/>
        <v>001</v>
      </c>
      <c r="E714" s="6" t="str">
        <f>"韩望畴"</f>
        <v>韩望畴</v>
      </c>
      <c r="F714" s="6" t="str">
        <f>"202311182130"</f>
        <v>202311182130</v>
      </c>
      <c r="G714" s="7">
        <v>0</v>
      </c>
      <c r="H714" s="9" t="s">
        <v>13</v>
      </c>
      <c r="I714" s="10" t="s">
        <v>14</v>
      </c>
    </row>
    <row r="715" spans="1:9" ht="24.75" customHeight="1">
      <c r="A715" s="5">
        <v>712</v>
      </c>
      <c r="B715" s="6" t="s">
        <v>11</v>
      </c>
      <c r="C715" s="6" t="s">
        <v>12</v>
      </c>
      <c r="D715" s="6" t="str">
        <f t="shared" si="11"/>
        <v>001</v>
      </c>
      <c r="E715" s="6" t="str">
        <f>"林光海"</f>
        <v>林光海</v>
      </c>
      <c r="F715" s="6" t="str">
        <f>"202311182203"</f>
        <v>202311182203</v>
      </c>
      <c r="G715" s="7">
        <v>0</v>
      </c>
      <c r="H715" s="9" t="s">
        <v>13</v>
      </c>
      <c r="I715" s="10" t="s">
        <v>14</v>
      </c>
    </row>
    <row r="716" spans="1:9" ht="24.75" customHeight="1">
      <c r="A716" s="5">
        <v>713</v>
      </c>
      <c r="B716" s="6" t="s">
        <v>11</v>
      </c>
      <c r="C716" s="6" t="s">
        <v>12</v>
      </c>
      <c r="D716" s="6" t="str">
        <f t="shared" si="11"/>
        <v>001</v>
      </c>
      <c r="E716" s="6" t="str">
        <f>"王磊"</f>
        <v>王磊</v>
      </c>
      <c r="F716" s="6" t="str">
        <f>"202311182204"</f>
        <v>202311182204</v>
      </c>
      <c r="G716" s="7">
        <v>0</v>
      </c>
      <c r="H716" s="9" t="s">
        <v>13</v>
      </c>
      <c r="I716" s="10" t="s">
        <v>14</v>
      </c>
    </row>
    <row r="717" spans="1:9" ht="24.75" customHeight="1">
      <c r="A717" s="5">
        <v>714</v>
      </c>
      <c r="B717" s="6" t="s">
        <v>11</v>
      </c>
      <c r="C717" s="6" t="s">
        <v>12</v>
      </c>
      <c r="D717" s="6" t="str">
        <f t="shared" si="11"/>
        <v>001</v>
      </c>
      <c r="E717" s="6" t="str">
        <f>"孙小净"</f>
        <v>孙小净</v>
      </c>
      <c r="F717" s="6" t="str">
        <f>"202311182208"</f>
        <v>202311182208</v>
      </c>
      <c r="G717" s="7">
        <v>0</v>
      </c>
      <c r="H717" s="9" t="s">
        <v>13</v>
      </c>
      <c r="I717" s="10" t="s">
        <v>14</v>
      </c>
    </row>
    <row r="718" spans="1:9" ht="24.75" customHeight="1">
      <c r="A718" s="5">
        <v>715</v>
      </c>
      <c r="B718" s="6" t="s">
        <v>11</v>
      </c>
      <c r="C718" s="6" t="s">
        <v>12</v>
      </c>
      <c r="D718" s="6" t="str">
        <f t="shared" si="11"/>
        <v>001</v>
      </c>
      <c r="E718" s="6" t="str">
        <f>"黄垂敏"</f>
        <v>黄垂敏</v>
      </c>
      <c r="F718" s="6" t="str">
        <f>"202311182209"</f>
        <v>202311182209</v>
      </c>
      <c r="G718" s="7">
        <v>0</v>
      </c>
      <c r="H718" s="9" t="s">
        <v>13</v>
      </c>
      <c r="I718" s="10" t="s">
        <v>14</v>
      </c>
    </row>
    <row r="719" spans="1:9" ht="24.75" customHeight="1">
      <c r="A719" s="5">
        <v>716</v>
      </c>
      <c r="B719" s="6" t="s">
        <v>11</v>
      </c>
      <c r="C719" s="6" t="s">
        <v>12</v>
      </c>
      <c r="D719" s="6" t="str">
        <f t="shared" si="11"/>
        <v>001</v>
      </c>
      <c r="E719" s="6" t="str">
        <f>"叶家辉"</f>
        <v>叶家辉</v>
      </c>
      <c r="F719" s="6" t="str">
        <f>"202311182210"</f>
        <v>202311182210</v>
      </c>
      <c r="G719" s="7">
        <v>0</v>
      </c>
      <c r="H719" s="9" t="s">
        <v>13</v>
      </c>
      <c r="I719" s="10" t="s">
        <v>14</v>
      </c>
    </row>
    <row r="720" spans="1:9" ht="24.75" customHeight="1">
      <c r="A720" s="5">
        <v>717</v>
      </c>
      <c r="B720" s="6" t="s">
        <v>11</v>
      </c>
      <c r="C720" s="6" t="s">
        <v>12</v>
      </c>
      <c r="D720" s="6" t="str">
        <f t="shared" si="11"/>
        <v>001</v>
      </c>
      <c r="E720" s="6" t="str">
        <f>"陈均建"</f>
        <v>陈均建</v>
      </c>
      <c r="F720" s="6" t="str">
        <f>"202311182213"</f>
        <v>202311182213</v>
      </c>
      <c r="G720" s="7">
        <v>0</v>
      </c>
      <c r="H720" s="9" t="s">
        <v>13</v>
      </c>
      <c r="I720" s="10" t="s">
        <v>14</v>
      </c>
    </row>
    <row r="721" spans="1:9" ht="24.75" customHeight="1">
      <c r="A721" s="5">
        <v>718</v>
      </c>
      <c r="B721" s="6" t="s">
        <v>11</v>
      </c>
      <c r="C721" s="6" t="s">
        <v>12</v>
      </c>
      <c r="D721" s="6" t="str">
        <f t="shared" si="11"/>
        <v>001</v>
      </c>
      <c r="E721" s="6" t="str">
        <f>"郑璐璐"</f>
        <v>郑璐璐</v>
      </c>
      <c r="F721" s="6" t="str">
        <f>"202311182214"</f>
        <v>202311182214</v>
      </c>
      <c r="G721" s="7">
        <v>0</v>
      </c>
      <c r="H721" s="9" t="s">
        <v>13</v>
      </c>
      <c r="I721" s="10" t="s">
        <v>14</v>
      </c>
    </row>
    <row r="722" spans="1:9" ht="24.75" customHeight="1">
      <c r="A722" s="5">
        <v>719</v>
      </c>
      <c r="B722" s="6" t="s">
        <v>11</v>
      </c>
      <c r="C722" s="6" t="s">
        <v>12</v>
      </c>
      <c r="D722" s="6" t="str">
        <f t="shared" si="11"/>
        <v>001</v>
      </c>
      <c r="E722" s="6" t="str">
        <f>"刘秀丽"</f>
        <v>刘秀丽</v>
      </c>
      <c r="F722" s="6" t="str">
        <f>"202311182215"</f>
        <v>202311182215</v>
      </c>
      <c r="G722" s="7">
        <v>0</v>
      </c>
      <c r="H722" s="9" t="s">
        <v>13</v>
      </c>
      <c r="I722" s="10" t="s">
        <v>14</v>
      </c>
    </row>
    <row r="723" spans="1:9" ht="24.75" customHeight="1">
      <c r="A723" s="5">
        <v>720</v>
      </c>
      <c r="B723" s="6" t="s">
        <v>11</v>
      </c>
      <c r="C723" s="6" t="s">
        <v>12</v>
      </c>
      <c r="D723" s="6" t="str">
        <f t="shared" si="11"/>
        <v>001</v>
      </c>
      <c r="E723" s="6" t="str">
        <f>"卓圆梦"</f>
        <v>卓圆梦</v>
      </c>
      <c r="F723" s="6" t="str">
        <f>"202311182216"</f>
        <v>202311182216</v>
      </c>
      <c r="G723" s="7">
        <v>0</v>
      </c>
      <c r="H723" s="9" t="s">
        <v>13</v>
      </c>
      <c r="I723" s="10" t="s">
        <v>14</v>
      </c>
    </row>
    <row r="724" spans="1:9" ht="24.75" customHeight="1">
      <c r="A724" s="5">
        <v>721</v>
      </c>
      <c r="B724" s="6" t="s">
        <v>11</v>
      </c>
      <c r="C724" s="6" t="s">
        <v>12</v>
      </c>
      <c r="D724" s="6" t="str">
        <f t="shared" si="11"/>
        <v>001</v>
      </c>
      <c r="E724" s="6" t="str">
        <f>"陈颖颖"</f>
        <v>陈颖颖</v>
      </c>
      <c r="F724" s="6" t="str">
        <f>"202311182219"</f>
        <v>202311182219</v>
      </c>
      <c r="G724" s="7">
        <v>0</v>
      </c>
      <c r="H724" s="9" t="s">
        <v>13</v>
      </c>
      <c r="I724" s="10" t="s">
        <v>14</v>
      </c>
    </row>
    <row r="725" spans="1:9" ht="24.75" customHeight="1">
      <c r="A725" s="5">
        <v>722</v>
      </c>
      <c r="B725" s="6" t="s">
        <v>11</v>
      </c>
      <c r="C725" s="6" t="s">
        <v>12</v>
      </c>
      <c r="D725" s="6" t="str">
        <f t="shared" si="11"/>
        <v>001</v>
      </c>
      <c r="E725" s="6" t="str">
        <f>"陈晓琳"</f>
        <v>陈晓琳</v>
      </c>
      <c r="F725" s="6" t="str">
        <f>"202311182220"</f>
        <v>202311182220</v>
      </c>
      <c r="G725" s="7">
        <v>0</v>
      </c>
      <c r="H725" s="9" t="s">
        <v>13</v>
      </c>
      <c r="I725" s="10" t="s">
        <v>14</v>
      </c>
    </row>
    <row r="726" spans="1:9" ht="24.75" customHeight="1">
      <c r="A726" s="5">
        <v>723</v>
      </c>
      <c r="B726" s="6" t="s">
        <v>11</v>
      </c>
      <c r="C726" s="6" t="s">
        <v>12</v>
      </c>
      <c r="D726" s="6" t="str">
        <f t="shared" si="11"/>
        <v>001</v>
      </c>
      <c r="E726" s="6" t="str">
        <f>"何丽平"</f>
        <v>何丽平</v>
      </c>
      <c r="F726" s="6" t="str">
        <f>"202311182222"</f>
        <v>202311182222</v>
      </c>
      <c r="G726" s="7">
        <v>0</v>
      </c>
      <c r="H726" s="9" t="s">
        <v>13</v>
      </c>
      <c r="I726" s="10" t="s">
        <v>14</v>
      </c>
    </row>
    <row r="727" spans="1:9" ht="24.75" customHeight="1">
      <c r="A727" s="5">
        <v>724</v>
      </c>
      <c r="B727" s="6" t="s">
        <v>11</v>
      </c>
      <c r="C727" s="6" t="s">
        <v>12</v>
      </c>
      <c r="D727" s="6" t="str">
        <f t="shared" si="11"/>
        <v>001</v>
      </c>
      <c r="E727" s="6" t="str">
        <f>"劳晓杰"</f>
        <v>劳晓杰</v>
      </c>
      <c r="F727" s="6" t="str">
        <f>"202311182227"</f>
        <v>202311182227</v>
      </c>
      <c r="G727" s="7">
        <v>0</v>
      </c>
      <c r="H727" s="9" t="s">
        <v>13</v>
      </c>
      <c r="I727" s="10" t="s">
        <v>14</v>
      </c>
    </row>
    <row r="728" spans="1:9" ht="24.75" customHeight="1">
      <c r="A728" s="5">
        <v>725</v>
      </c>
      <c r="B728" s="6" t="s">
        <v>11</v>
      </c>
      <c r="C728" s="6" t="s">
        <v>12</v>
      </c>
      <c r="D728" s="6" t="str">
        <f t="shared" si="11"/>
        <v>001</v>
      </c>
      <c r="E728" s="6" t="str">
        <f>"肖瑞琼"</f>
        <v>肖瑞琼</v>
      </c>
      <c r="F728" s="6" t="str">
        <f>"202311182228"</f>
        <v>202311182228</v>
      </c>
      <c r="G728" s="7">
        <v>0</v>
      </c>
      <c r="H728" s="9" t="s">
        <v>13</v>
      </c>
      <c r="I728" s="10" t="s">
        <v>14</v>
      </c>
    </row>
    <row r="729" spans="1:9" ht="24.75" customHeight="1">
      <c r="A729" s="5">
        <v>726</v>
      </c>
      <c r="B729" s="6" t="s">
        <v>11</v>
      </c>
      <c r="C729" s="6" t="s">
        <v>12</v>
      </c>
      <c r="D729" s="6" t="str">
        <f t="shared" si="11"/>
        <v>001</v>
      </c>
      <c r="E729" s="6" t="str">
        <f>"吴毓禄"</f>
        <v>吴毓禄</v>
      </c>
      <c r="F729" s="6" t="str">
        <f>"202311182301"</f>
        <v>202311182301</v>
      </c>
      <c r="G729" s="7">
        <v>0</v>
      </c>
      <c r="H729" s="9" t="s">
        <v>13</v>
      </c>
      <c r="I729" s="10" t="s">
        <v>14</v>
      </c>
    </row>
    <row r="730" spans="1:9" ht="24.75" customHeight="1">
      <c r="A730" s="5">
        <v>727</v>
      </c>
      <c r="B730" s="6" t="s">
        <v>11</v>
      </c>
      <c r="C730" s="6" t="s">
        <v>12</v>
      </c>
      <c r="D730" s="6" t="str">
        <f t="shared" si="11"/>
        <v>001</v>
      </c>
      <c r="E730" s="6" t="str">
        <f>"瞿晓娟"</f>
        <v>瞿晓娟</v>
      </c>
      <c r="F730" s="6" t="str">
        <f>"202311182305"</f>
        <v>202311182305</v>
      </c>
      <c r="G730" s="7">
        <v>0</v>
      </c>
      <c r="H730" s="9" t="s">
        <v>13</v>
      </c>
      <c r="I730" s="10" t="s">
        <v>14</v>
      </c>
    </row>
    <row r="731" spans="1:9" ht="24.75" customHeight="1">
      <c r="A731" s="5">
        <v>728</v>
      </c>
      <c r="B731" s="6" t="s">
        <v>11</v>
      </c>
      <c r="C731" s="6" t="s">
        <v>12</v>
      </c>
      <c r="D731" s="6" t="str">
        <f t="shared" si="11"/>
        <v>001</v>
      </c>
      <c r="E731" s="6" t="str">
        <f>"符力文"</f>
        <v>符力文</v>
      </c>
      <c r="F731" s="6" t="str">
        <f>"202311182308"</f>
        <v>202311182308</v>
      </c>
      <c r="G731" s="7">
        <v>0</v>
      </c>
      <c r="H731" s="9" t="s">
        <v>13</v>
      </c>
      <c r="I731" s="10" t="s">
        <v>14</v>
      </c>
    </row>
    <row r="732" spans="1:9" ht="24.75" customHeight="1">
      <c r="A732" s="5">
        <v>729</v>
      </c>
      <c r="B732" s="6" t="s">
        <v>11</v>
      </c>
      <c r="C732" s="6" t="s">
        <v>12</v>
      </c>
      <c r="D732" s="6" t="str">
        <f t="shared" si="11"/>
        <v>001</v>
      </c>
      <c r="E732" s="6" t="str">
        <f>"李万欢"</f>
        <v>李万欢</v>
      </c>
      <c r="F732" s="6" t="str">
        <f>"202311182309"</f>
        <v>202311182309</v>
      </c>
      <c r="G732" s="7">
        <v>0</v>
      </c>
      <c r="H732" s="9" t="s">
        <v>13</v>
      </c>
      <c r="I732" s="10" t="s">
        <v>14</v>
      </c>
    </row>
    <row r="733" spans="1:9" ht="24.75" customHeight="1">
      <c r="A733" s="5">
        <v>730</v>
      </c>
      <c r="B733" s="6" t="s">
        <v>11</v>
      </c>
      <c r="C733" s="6" t="s">
        <v>12</v>
      </c>
      <c r="D733" s="6" t="str">
        <f t="shared" si="11"/>
        <v>001</v>
      </c>
      <c r="E733" s="6" t="str">
        <f>"刘玉欣"</f>
        <v>刘玉欣</v>
      </c>
      <c r="F733" s="6" t="str">
        <f>"202311182312"</f>
        <v>202311182312</v>
      </c>
      <c r="G733" s="7">
        <v>0</v>
      </c>
      <c r="H733" s="9" t="s">
        <v>13</v>
      </c>
      <c r="I733" s="10" t="s">
        <v>14</v>
      </c>
    </row>
    <row r="734" spans="1:9" ht="24.75" customHeight="1">
      <c r="A734" s="5">
        <v>731</v>
      </c>
      <c r="B734" s="6" t="s">
        <v>11</v>
      </c>
      <c r="C734" s="6" t="s">
        <v>12</v>
      </c>
      <c r="D734" s="6" t="str">
        <f t="shared" si="11"/>
        <v>001</v>
      </c>
      <c r="E734" s="6" t="str">
        <f>"颜惜珍"</f>
        <v>颜惜珍</v>
      </c>
      <c r="F734" s="6" t="str">
        <f>"202311182314"</f>
        <v>202311182314</v>
      </c>
      <c r="G734" s="7">
        <v>0</v>
      </c>
      <c r="H734" s="9" t="s">
        <v>13</v>
      </c>
      <c r="I734" s="10" t="s">
        <v>14</v>
      </c>
    </row>
    <row r="735" spans="1:9" ht="24.75" customHeight="1">
      <c r="A735" s="5">
        <v>732</v>
      </c>
      <c r="B735" s="6" t="s">
        <v>11</v>
      </c>
      <c r="C735" s="6" t="s">
        <v>12</v>
      </c>
      <c r="D735" s="6" t="str">
        <f t="shared" si="11"/>
        <v>001</v>
      </c>
      <c r="E735" s="6" t="str">
        <f>"李欣红"</f>
        <v>李欣红</v>
      </c>
      <c r="F735" s="6" t="str">
        <f>"202311182319"</f>
        <v>202311182319</v>
      </c>
      <c r="G735" s="7">
        <v>0</v>
      </c>
      <c r="H735" s="9" t="s">
        <v>13</v>
      </c>
      <c r="I735" s="10" t="s">
        <v>14</v>
      </c>
    </row>
    <row r="736" spans="1:9" ht="24.75" customHeight="1">
      <c r="A736" s="5">
        <v>733</v>
      </c>
      <c r="B736" s="6" t="s">
        <v>11</v>
      </c>
      <c r="C736" s="6" t="s">
        <v>12</v>
      </c>
      <c r="D736" s="6" t="str">
        <f t="shared" si="11"/>
        <v>001</v>
      </c>
      <c r="E736" s="6" t="str">
        <f>"庞青青"</f>
        <v>庞青青</v>
      </c>
      <c r="F736" s="6" t="str">
        <f>"202311182326"</f>
        <v>202311182326</v>
      </c>
      <c r="G736" s="7">
        <v>0</v>
      </c>
      <c r="H736" s="9" t="s">
        <v>13</v>
      </c>
      <c r="I736" s="10" t="s">
        <v>14</v>
      </c>
    </row>
    <row r="737" spans="1:9" ht="24.75" customHeight="1">
      <c r="A737" s="5">
        <v>734</v>
      </c>
      <c r="B737" s="6" t="s">
        <v>11</v>
      </c>
      <c r="C737" s="6" t="s">
        <v>12</v>
      </c>
      <c r="D737" s="6" t="str">
        <f t="shared" si="11"/>
        <v>001</v>
      </c>
      <c r="E737" s="6" t="str">
        <f>"陈世珲"</f>
        <v>陈世珲</v>
      </c>
      <c r="F737" s="6" t="str">
        <f>"202311182327"</f>
        <v>202311182327</v>
      </c>
      <c r="G737" s="7">
        <v>0</v>
      </c>
      <c r="H737" s="9" t="s">
        <v>13</v>
      </c>
      <c r="I737" s="10" t="s">
        <v>14</v>
      </c>
    </row>
    <row r="738" spans="1:9" ht="24.75" customHeight="1">
      <c r="A738" s="5">
        <v>735</v>
      </c>
      <c r="B738" s="6" t="s">
        <v>11</v>
      </c>
      <c r="C738" s="6" t="s">
        <v>12</v>
      </c>
      <c r="D738" s="6" t="str">
        <f t="shared" si="11"/>
        <v>001</v>
      </c>
      <c r="E738" s="6" t="str">
        <f>"张齐杏"</f>
        <v>张齐杏</v>
      </c>
      <c r="F738" s="6" t="str">
        <f>"202311182328"</f>
        <v>202311182328</v>
      </c>
      <c r="G738" s="7">
        <v>0</v>
      </c>
      <c r="H738" s="9" t="s">
        <v>13</v>
      </c>
      <c r="I738" s="10" t="s">
        <v>14</v>
      </c>
    </row>
    <row r="739" spans="1:9" ht="24.75" customHeight="1">
      <c r="A739" s="5">
        <v>736</v>
      </c>
      <c r="B739" s="6" t="s">
        <v>11</v>
      </c>
      <c r="C739" s="6" t="s">
        <v>12</v>
      </c>
      <c r="D739" s="6" t="str">
        <f t="shared" si="11"/>
        <v>001</v>
      </c>
      <c r="E739" s="6" t="str">
        <f>"黄靖"</f>
        <v>黄靖</v>
      </c>
      <c r="F739" s="6" t="str">
        <f>"202311182401"</f>
        <v>202311182401</v>
      </c>
      <c r="G739" s="7">
        <v>0</v>
      </c>
      <c r="H739" s="9" t="s">
        <v>13</v>
      </c>
      <c r="I739" s="10" t="s">
        <v>14</v>
      </c>
    </row>
    <row r="740" spans="1:9" ht="24.75" customHeight="1">
      <c r="A740" s="5">
        <v>737</v>
      </c>
      <c r="B740" s="6" t="s">
        <v>11</v>
      </c>
      <c r="C740" s="6" t="s">
        <v>12</v>
      </c>
      <c r="D740" s="6" t="str">
        <f t="shared" si="11"/>
        <v>001</v>
      </c>
      <c r="E740" s="6" t="str">
        <f>"吉才少"</f>
        <v>吉才少</v>
      </c>
      <c r="F740" s="6" t="str">
        <f>"202311182402"</f>
        <v>202311182402</v>
      </c>
      <c r="G740" s="7">
        <v>0</v>
      </c>
      <c r="H740" s="9" t="s">
        <v>13</v>
      </c>
      <c r="I740" s="10" t="s">
        <v>14</v>
      </c>
    </row>
    <row r="741" spans="1:9" ht="24.75" customHeight="1">
      <c r="A741" s="5">
        <v>738</v>
      </c>
      <c r="B741" s="6" t="s">
        <v>11</v>
      </c>
      <c r="C741" s="6" t="s">
        <v>12</v>
      </c>
      <c r="D741" s="6" t="str">
        <f t="shared" si="11"/>
        <v>001</v>
      </c>
      <c r="E741" s="6" t="str">
        <f>"王雅丽"</f>
        <v>王雅丽</v>
      </c>
      <c r="F741" s="6" t="str">
        <f>"202311182403"</f>
        <v>202311182403</v>
      </c>
      <c r="G741" s="7">
        <v>0</v>
      </c>
      <c r="H741" s="9" t="s">
        <v>13</v>
      </c>
      <c r="I741" s="10" t="s">
        <v>14</v>
      </c>
    </row>
    <row r="742" spans="1:9" ht="24.75" customHeight="1">
      <c r="A742" s="5">
        <v>739</v>
      </c>
      <c r="B742" s="6" t="s">
        <v>11</v>
      </c>
      <c r="C742" s="6" t="s">
        <v>12</v>
      </c>
      <c r="D742" s="6" t="str">
        <f t="shared" si="11"/>
        <v>001</v>
      </c>
      <c r="E742" s="6" t="str">
        <f>"王韵"</f>
        <v>王韵</v>
      </c>
      <c r="F742" s="6" t="str">
        <f>"202311182409"</f>
        <v>202311182409</v>
      </c>
      <c r="G742" s="7">
        <v>0</v>
      </c>
      <c r="H742" s="9" t="s">
        <v>13</v>
      </c>
      <c r="I742" s="10" t="s">
        <v>14</v>
      </c>
    </row>
    <row r="743" spans="1:9" ht="24.75" customHeight="1">
      <c r="A743" s="5">
        <v>740</v>
      </c>
      <c r="B743" s="6" t="s">
        <v>11</v>
      </c>
      <c r="C743" s="6" t="s">
        <v>12</v>
      </c>
      <c r="D743" s="6" t="str">
        <f t="shared" si="11"/>
        <v>001</v>
      </c>
      <c r="E743" s="6" t="str">
        <f>"吴维新"</f>
        <v>吴维新</v>
      </c>
      <c r="F743" s="6" t="str">
        <f>"202311182412"</f>
        <v>202311182412</v>
      </c>
      <c r="G743" s="7">
        <v>0</v>
      </c>
      <c r="H743" s="9" t="s">
        <v>13</v>
      </c>
      <c r="I743" s="10" t="s">
        <v>14</v>
      </c>
    </row>
    <row r="744" spans="1:9" ht="24.75" customHeight="1">
      <c r="A744" s="5">
        <v>741</v>
      </c>
      <c r="B744" s="6" t="s">
        <v>11</v>
      </c>
      <c r="C744" s="6" t="s">
        <v>12</v>
      </c>
      <c r="D744" s="6" t="str">
        <f t="shared" si="11"/>
        <v>001</v>
      </c>
      <c r="E744" s="6" t="str">
        <f>"王侨源"</f>
        <v>王侨源</v>
      </c>
      <c r="F744" s="6" t="str">
        <f>"202311182413"</f>
        <v>202311182413</v>
      </c>
      <c r="G744" s="7">
        <v>0</v>
      </c>
      <c r="H744" s="9" t="s">
        <v>13</v>
      </c>
      <c r="I744" s="10" t="s">
        <v>14</v>
      </c>
    </row>
    <row r="745" spans="1:9" ht="24.75" customHeight="1">
      <c r="A745" s="5">
        <v>742</v>
      </c>
      <c r="B745" s="6" t="s">
        <v>11</v>
      </c>
      <c r="C745" s="6" t="s">
        <v>12</v>
      </c>
      <c r="D745" s="6" t="str">
        <f t="shared" si="11"/>
        <v>001</v>
      </c>
      <c r="E745" s="6" t="str">
        <f>"曾维广"</f>
        <v>曾维广</v>
      </c>
      <c r="F745" s="6" t="str">
        <f>"202311182416"</f>
        <v>202311182416</v>
      </c>
      <c r="G745" s="7">
        <v>0</v>
      </c>
      <c r="H745" s="9" t="s">
        <v>13</v>
      </c>
      <c r="I745" s="10" t="s">
        <v>14</v>
      </c>
    </row>
    <row r="746" spans="1:9" ht="24.75" customHeight="1">
      <c r="A746" s="5">
        <v>743</v>
      </c>
      <c r="B746" s="6" t="s">
        <v>11</v>
      </c>
      <c r="C746" s="6" t="s">
        <v>12</v>
      </c>
      <c r="D746" s="6" t="str">
        <f t="shared" si="11"/>
        <v>001</v>
      </c>
      <c r="E746" s="6" t="str">
        <f>"何奋"</f>
        <v>何奋</v>
      </c>
      <c r="F746" s="6" t="str">
        <f>"202311182419"</f>
        <v>202311182419</v>
      </c>
      <c r="G746" s="7">
        <v>0</v>
      </c>
      <c r="H746" s="9" t="s">
        <v>13</v>
      </c>
      <c r="I746" s="10" t="s">
        <v>14</v>
      </c>
    </row>
    <row r="747" spans="1:9" ht="24.75" customHeight="1">
      <c r="A747" s="5">
        <v>744</v>
      </c>
      <c r="B747" s="6" t="s">
        <v>11</v>
      </c>
      <c r="C747" s="6" t="s">
        <v>12</v>
      </c>
      <c r="D747" s="6" t="str">
        <f t="shared" si="11"/>
        <v>001</v>
      </c>
      <c r="E747" s="6" t="str">
        <f>"钟莹"</f>
        <v>钟莹</v>
      </c>
      <c r="F747" s="6" t="str">
        <f>"202311182420"</f>
        <v>202311182420</v>
      </c>
      <c r="G747" s="7">
        <v>0</v>
      </c>
      <c r="H747" s="9" t="s">
        <v>13</v>
      </c>
      <c r="I747" s="10" t="s">
        <v>14</v>
      </c>
    </row>
    <row r="748" spans="1:9" ht="24.75" customHeight="1">
      <c r="A748" s="5">
        <v>745</v>
      </c>
      <c r="B748" s="6" t="s">
        <v>11</v>
      </c>
      <c r="C748" s="6" t="s">
        <v>12</v>
      </c>
      <c r="D748" s="6" t="str">
        <f t="shared" si="11"/>
        <v>001</v>
      </c>
      <c r="E748" s="6" t="str">
        <f>"李香坦"</f>
        <v>李香坦</v>
      </c>
      <c r="F748" s="6" t="str">
        <f>"202311182421"</f>
        <v>202311182421</v>
      </c>
      <c r="G748" s="7">
        <v>0</v>
      </c>
      <c r="H748" s="9" t="s">
        <v>13</v>
      </c>
      <c r="I748" s="10" t="s">
        <v>14</v>
      </c>
    </row>
    <row r="749" spans="1:9" ht="24.75" customHeight="1">
      <c r="A749" s="5">
        <v>746</v>
      </c>
      <c r="B749" s="6" t="s">
        <v>11</v>
      </c>
      <c r="C749" s="6" t="s">
        <v>12</v>
      </c>
      <c r="D749" s="6" t="str">
        <f t="shared" si="11"/>
        <v>001</v>
      </c>
      <c r="E749" s="6" t="str">
        <f>"吴桐"</f>
        <v>吴桐</v>
      </c>
      <c r="F749" s="6" t="str">
        <f>"202311182424"</f>
        <v>202311182424</v>
      </c>
      <c r="G749" s="7">
        <v>0</v>
      </c>
      <c r="H749" s="9" t="s">
        <v>13</v>
      </c>
      <c r="I749" s="10" t="s">
        <v>14</v>
      </c>
    </row>
    <row r="750" spans="1:9" ht="24.75" customHeight="1">
      <c r="A750" s="5">
        <v>747</v>
      </c>
      <c r="B750" s="6" t="s">
        <v>11</v>
      </c>
      <c r="C750" s="6" t="s">
        <v>12</v>
      </c>
      <c r="D750" s="6" t="str">
        <f t="shared" si="11"/>
        <v>001</v>
      </c>
      <c r="E750" s="6" t="str">
        <f>"郑海婷"</f>
        <v>郑海婷</v>
      </c>
      <c r="F750" s="6" t="str">
        <f>"202311182425"</f>
        <v>202311182425</v>
      </c>
      <c r="G750" s="7">
        <v>0</v>
      </c>
      <c r="H750" s="9" t="s">
        <v>13</v>
      </c>
      <c r="I750" s="10" t="s">
        <v>14</v>
      </c>
    </row>
    <row r="751" spans="1:9" ht="24.75" customHeight="1">
      <c r="A751" s="5">
        <v>748</v>
      </c>
      <c r="B751" s="6" t="s">
        <v>11</v>
      </c>
      <c r="C751" s="6" t="s">
        <v>12</v>
      </c>
      <c r="D751" s="6" t="str">
        <f t="shared" si="11"/>
        <v>001</v>
      </c>
      <c r="E751" s="6" t="str">
        <f>"汪庆"</f>
        <v>汪庆</v>
      </c>
      <c r="F751" s="6" t="str">
        <f>"202311182426"</f>
        <v>202311182426</v>
      </c>
      <c r="G751" s="7">
        <v>0</v>
      </c>
      <c r="H751" s="9" t="s">
        <v>13</v>
      </c>
      <c r="I751" s="10" t="s">
        <v>14</v>
      </c>
    </row>
    <row r="752" spans="1:9" ht="24.75" customHeight="1">
      <c r="A752" s="5">
        <v>749</v>
      </c>
      <c r="B752" s="6" t="s">
        <v>11</v>
      </c>
      <c r="C752" s="6" t="s">
        <v>12</v>
      </c>
      <c r="D752" s="6" t="str">
        <f t="shared" si="11"/>
        <v>001</v>
      </c>
      <c r="E752" s="6" t="str">
        <f>"符小慧"</f>
        <v>符小慧</v>
      </c>
      <c r="F752" s="6" t="str">
        <f>"202311182429"</f>
        <v>202311182429</v>
      </c>
      <c r="G752" s="7">
        <v>0</v>
      </c>
      <c r="H752" s="9" t="s">
        <v>13</v>
      </c>
      <c r="I752" s="10" t="s">
        <v>14</v>
      </c>
    </row>
    <row r="753" spans="1:9" ht="24.75" customHeight="1">
      <c r="A753" s="5">
        <v>750</v>
      </c>
      <c r="B753" s="6" t="s">
        <v>11</v>
      </c>
      <c r="C753" s="6" t="s">
        <v>12</v>
      </c>
      <c r="D753" s="6" t="str">
        <f t="shared" si="11"/>
        <v>001</v>
      </c>
      <c r="E753" s="6" t="str">
        <f>"林文基"</f>
        <v>林文基</v>
      </c>
      <c r="F753" s="6" t="str">
        <f>"202311182430"</f>
        <v>202311182430</v>
      </c>
      <c r="G753" s="7">
        <v>0</v>
      </c>
      <c r="H753" s="9" t="s">
        <v>13</v>
      </c>
      <c r="I753" s="10" t="s">
        <v>14</v>
      </c>
    </row>
    <row r="754" spans="1:9" ht="24.75" customHeight="1">
      <c r="A754" s="5">
        <v>751</v>
      </c>
      <c r="B754" s="6" t="s">
        <v>11</v>
      </c>
      <c r="C754" s="6" t="s">
        <v>12</v>
      </c>
      <c r="D754" s="6" t="str">
        <f t="shared" si="11"/>
        <v>001</v>
      </c>
      <c r="E754" s="6" t="str">
        <f>"赵举三"</f>
        <v>赵举三</v>
      </c>
      <c r="F754" s="6" t="str">
        <f>"202311182501"</f>
        <v>202311182501</v>
      </c>
      <c r="G754" s="7">
        <v>0</v>
      </c>
      <c r="H754" s="9" t="s">
        <v>13</v>
      </c>
      <c r="I754" s="10" t="s">
        <v>14</v>
      </c>
    </row>
    <row r="755" spans="1:9" ht="24.75" customHeight="1">
      <c r="A755" s="5">
        <v>752</v>
      </c>
      <c r="B755" s="6" t="s">
        <v>11</v>
      </c>
      <c r="C755" s="6" t="s">
        <v>12</v>
      </c>
      <c r="D755" s="6" t="str">
        <f t="shared" si="11"/>
        <v>001</v>
      </c>
      <c r="E755" s="6" t="str">
        <f>"韩佩婷"</f>
        <v>韩佩婷</v>
      </c>
      <c r="F755" s="6" t="str">
        <f>"202311182502"</f>
        <v>202311182502</v>
      </c>
      <c r="G755" s="7">
        <v>0</v>
      </c>
      <c r="H755" s="9" t="s">
        <v>13</v>
      </c>
      <c r="I755" s="10" t="s">
        <v>14</v>
      </c>
    </row>
    <row r="756" spans="1:9" ht="24.75" customHeight="1">
      <c r="A756" s="5">
        <v>753</v>
      </c>
      <c r="B756" s="6" t="s">
        <v>11</v>
      </c>
      <c r="C756" s="6" t="s">
        <v>12</v>
      </c>
      <c r="D756" s="6" t="str">
        <f t="shared" si="11"/>
        <v>001</v>
      </c>
      <c r="E756" s="6" t="str">
        <f>"蔡丽娜"</f>
        <v>蔡丽娜</v>
      </c>
      <c r="F756" s="6" t="str">
        <f>"202311182503"</f>
        <v>202311182503</v>
      </c>
      <c r="G756" s="7">
        <v>0</v>
      </c>
      <c r="H756" s="9" t="s">
        <v>13</v>
      </c>
      <c r="I756" s="10" t="s">
        <v>14</v>
      </c>
    </row>
    <row r="757" spans="1:9" ht="24.75" customHeight="1">
      <c r="A757" s="5">
        <v>754</v>
      </c>
      <c r="B757" s="6" t="s">
        <v>11</v>
      </c>
      <c r="C757" s="6" t="s">
        <v>12</v>
      </c>
      <c r="D757" s="6" t="str">
        <f t="shared" si="11"/>
        <v>001</v>
      </c>
      <c r="E757" s="6" t="str">
        <f>"洪丽青"</f>
        <v>洪丽青</v>
      </c>
      <c r="F757" s="6" t="str">
        <f>"202311182504"</f>
        <v>202311182504</v>
      </c>
      <c r="G757" s="7">
        <v>0</v>
      </c>
      <c r="H757" s="9" t="s">
        <v>13</v>
      </c>
      <c r="I757" s="10" t="s">
        <v>14</v>
      </c>
    </row>
    <row r="758" spans="1:9" ht="24.75" customHeight="1">
      <c r="A758" s="5">
        <v>755</v>
      </c>
      <c r="B758" s="6" t="s">
        <v>11</v>
      </c>
      <c r="C758" s="6" t="s">
        <v>12</v>
      </c>
      <c r="D758" s="6" t="str">
        <f t="shared" si="11"/>
        <v>001</v>
      </c>
      <c r="E758" s="6" t="str">
        <f>"符紫凤"</f>
        <v>符紫凤</v>
      </c>
      <c r="F758" s="6" t="str">
        <f>"202311182507"</f>
        <v>202311182507</v>
      </c>
      <c r="G758" s="7">
        <v>0</v>
      </c>
      <c r="H758" s="9" t="s">
        <v>13</v>
      </c>
      <c r="I758" s="10" t="s">
        <v>14</v>
      </c>
    </row>
    <row r="759" spans="1:9" ht="24.75" customHeight="1">
      <c r="A759" s="5">
        <v>756</v>
      </c>
      <c r="B759" s="6" t="s">
        <v>11</v>
      </c>
      <c r="C759" s="6" t="s">
        <v>12</v>
      </c>
      <c r="D759" s="6" t="str">
        <f t="shared" si="11"/>
        <v>001</v>
      </c>
      <c r="E759" s="6" t="str">
        <f>"羊淑联"</f>
        <v>羊淑联</v>
      </c>
      <c r="F759" s="6" t="str">
        <f>"202311182509"</f>
        <v>202311182509</v>
      </c>
      <c r="G759" s="7">
        <v>0</v>
      </c>
      <c r="H759" s="9" t="s">
        <v>13</v>
      </c>
      <c r="I759" s="10" t="s">
        <v>14</v>
      </c>
    </row>
    <row r="760" spans="1:9" ht="24.75" customHeight="1">
      <c r="A760" s="5">
        <v>757</v>
      </c>
      <c r="B760" s="6" t="s">
        <v>11</v>
      </c>
      <c r="C760" s="6" t="s">
        <v>12</v>
      </c>
      <c r="D760" s="6" t="str">
        <f t="shared" si="11"/>
        <v>001</v>
      </c>
      <c r="E760" s="6" t="str">
        <f>"孙玲芝"</f>
        <v>孙玲芝</v>
      </c>
      <c r="F760" s="6" t="str">
        <f>"202311182510"</f>
        <v>202311182510</v>
      </c>
      <c r="G760" s="7">
        <v>0</v>
      </c>
      <c r="H760" s="9" t="s">
        <v>13</v>
      </c>
      <c r="I760" s="10" t="s">
        <v>14</v>
      </c>
    </row>
    <row r="761" spans="1:9" ht="24.75" customHeight="1">
      <c r="A761" s="5">
        <v>758</v>
      </c>
      <c r="B761" s="6" t="s">
        <v>11</v>
      </c>
      <c r="C761" s="6" t="s">
        <v>12</v>
      </c>
      <c r="D761" s="6" t="str">
        <f t="shared" si="11"/>
        <v>001</v>
      </c>
      <c r="E761" s="6" t="str">
        <f>"王娜"</f>
        <v>王娜</v>
      </c>
      <c r="F761" s="6" t="str">
        <f>"202311182511"</f>
        <v>202311182511</v>
      </c>
      <c r="G761" s="7">
        <v>0</v>
      </c>
      <c r="H761" s="9" t="s">
        <v>13</v>
      </c>
      <c r="I761" s="10" t="s">
        <v>14</v>
      </c>
    </row>
    <row r="762" spans="1:9" ht="24.75" customHeight="1">
      <c r="A762" s="5">
        <v>759</v>
      </c>
      <c r="B762" s="6" t="s">
        <v>11</v>
      </c>
      <c r="C762" s="6" t="s">
        <v>12</v>
      </c>
      <c r="D762" s="6" t="str">
        <f t="shared" si="11"/>
        <v>001</v>
      </c>
      <c r="E762" s="6" t="str">
        <f>"李菲"</f>
        <v>李菲</v>
      </c>
      <c r="F762" s="6" t="str">
        <f>"202311182515"</f>
        <v>202311182515</v>
      </c>
      <c r="G762" s="7">
        <v>0</v>
      </c>
      <c r="H762" s="9" t="s">
        <v>13</v>
      </c>
      <c r="I762" s="10" t="s">
        <v>14</v>
      </c>
    </row>
    <row r="763" spans="1:9" ht="24.75" customHeight="1">
      <c r="A763" s="5">
        <v>760</v>
      </c>
      <c r="B763" s="6" t="s">
        <v>11</v>
      </c>
      <c r="C763" s="6" t="s">
        <v>12</v>
      </c>
      <c r="D763" s="6" t="str">
        <f t="shared" si="11"/>
        <v>001</v>
      </c>
      <c r="E763" s="6" t="str">
        <f>"黄赋伦"</f>
        <v>黄赋伦</v>
      </c>
      <c r="F763" s="6" t="str">
        <f>"202311182516"</f>
        <v>202311182516</v>
      </c>
      <c r="G763" s="7">
        <v>0</v>
      </c>
      <c r="H763" s="9" t="s">
        <v>13</v>
      </c>
      <c r="I763" s="10" t="s">
        <v>14</v>
      </c>
    </row>
    <row r="764" spans="1:9" ht="24.75" customHeight="1">
      <c r="A764" s="5">
        <v>761</v>
      </c>
      <c r="B764" s="6" t="s">
        <v>11</v>
      </c>
      <c r="C764" s="6" t="s">
        <v>12</v>
      </c>
      <c r="D764" s="6" t="str">
        <f t="shared" si="11"/>
        <v>001</v>
      </c>
      <c r="E764" s="6" t="str">
        <f>"莫秀铖"</f>
        <v>莫秀铖</v>
      </c>
      <c r="F764" s="6" t="str">
        <f>"202311182518"</f>
        <v>202311182518</v>
      </c>
      <c r="G764" s="7">
        <v>0</v>
      </c>
      <c r="H764" s="9" t="s">
        <v>13</v>
      </c>
      <c r="I764" s="10" t="s">
        <v>14</v>
      </c>
    </row>
    <row r="765" spans="1:9" ht="24.75" customHeight="1">
      <c r="A765" s="5">
        <v>762</v>
      </c>
      <c r="B765" s="6" t="s">
        <v>11</v>
      </c>
      <c r="C765" s="6" t="s">
        <v>12</v>
      </c>
      <c r="D765" s="6" t="str">
        <f t="shared" si="11"/>
        <v>001</v>
      </c>
      <c r="E765" s="6" t="str">
        <f>"任玉涛"</f>
        <v>任玉涛</v>
      </c>
      <c r="F765" s="6" t="str">
        <f>"202311182519"</f>
        <v>202311182519</v>
      </c>
      <c r="G765" s="7">
        <v>0</v>
      </c>
      <c r="H765" s="9" t="s">
        <v>13</v>
      </c>
      <c r="I765" s="10" t="s">
        <v>14</v>
      </c>
    </row>
    <row r="766" spans="1:9" ht="24.75" customHeight="1">
      <c r="A766" s="5">
        <v>763</v>
      </c>
      <c r="B766" s="6" t="s">
        <v>11</v>
      </c>
      <c r="C766" s="6" t="s">
        <v>12</v>
      </c>
      <c r="D766" s="6" t="str">
        <f t="shared" si="11"/>
        <v>001</v>
      </c>
      <c r="E766" s="6" t="str">
        <f>"裴英娜"</f>
        <v>裴英娜</v>
      </c>
      <c r="F766" s="6" t="str">
        <f>"202311182529"</f>
        <v>202311182529</v>
      </c>
      <c r="G766" s="7">
        <v>0</v>
      </c>
      <c r="H766" s="9" t="s">
        <v>13</v>
      </c>
      <c r="I766" s="10" t="s">
        <v>14</v>
      </c>
    </row>
    <row r="767" spans="1:9" ht="24.75" customHeight="1">
      <c r="A767" s="5">
        <v>764</v>
      </c>
      <c r="B767" s="6" t="s">
        <v>11</v>
      </c>
      <c r="C767" s="6" t="s">
        <v>12</v>
      </c>
      <c r="D767" s="6" t="str">
        <f t="shared" si="11"/>
        <v>001</v>
      </c>
      <c r="E767" s="6" t="str">
        <f>"周德霖"</f>
        <v>周德霖</v>
      </c>
      <c r="F767" s="6" t="str">
        <f>"202311182530"</f>
        <v>202311182530</v>
      </c>
      <c r="G767" s="7">
        <v>0</v>
      </c>
      <c r="H767" s="9" t="s">
        <v>13</v>
      </c>
      <c r="I767" s="10" t="s">
        <v>14</v>
      </c>
    </row>
    <row r="768" spans="1:9" ht="24.75" customHeight="1">
      <c r="A768" s="5">
        <v>765</v>
      </c>
      <c r="B768" s="6" t="s">
        <v>11</v>
      </c>
      <c r="C768" s="6" t="s">
        <v>12</v>
      </c>
      <c r="D768" s="6" t="str">
        <f t="shared" si="11"/>
        <v>001</v>
      </c>
      <c r="E768" s="6" t="str">
        <f>"陈安洋"</f>
        <v>陈安洋</v>
      </c>
      <c r="F768" s="6" t="str">
        <f>"202311182609"</f>
        <v>202311182609</v>
      </c>
      <c r="G768" s="7">
        <v>0</v>
      </c>
      <c r="H768" s="9" t="s">
        <v>13</v>
      </c>
      <c r="I768" s="10" t="s">
        <v>14</v>
      </c>
    </row>
    <row r="769" spans="1:9" ht="24.75" customHeight="1">
      <c r="A769" s="5">
        <v>766</v>
      </c>
      <c r="B769" s="6" t="s">
        <v>11</v>
      </c>
      <c r="C769" s="6" t="s">
        <v>12</v>
      </c>
      <c r="D769" s="6" t="str">
        <f t="shared" si="11"/>
        <v>001</v>
      </c>
      <c r="E769" s="6" t="str">
        <f>"蒙冠文"</f>
        <v>蒙冠文</v>
      </c>
      <c r="F769" s="6" t="str">
        <f>"202311182610"</f>
        <v>202311182610</v>
      </c>
      <c r="G769" s="7">
        <v>0</v>
      </c>
      <c r="H769" s="9" t="s">
        <v>13</v>
      </c>
      <c r="I769" s="10" t="s">
        <v>14</v>
      </c>
    </row>
    <row r="770" spans="1:9" ht="24.75" customHeight="1">
      <c r="A770" s="5">
        <v>767</v>
      </c>
      <c r="B770" s="6" t="s">
        <v>11</v>
      </c>
      <c r="C770" s="6" t="s">
        <v>12</v>
      </c>
      <c r="D770" s="6" t="str">
        <f t="shared" si="11"/>
        <v>001</v>
      </c>
      <c r="E770" s="6" t="str">
        <f>"李彦霏"</f>
        <v>李彦霏</v>
      </c>
      <c r="F770" s="6" t="str">
        <f>"202311182611"</f>
        <v>202311182611</v>
      </c>
      <c r="G770" s="7">
        <v>0</v>
      </c>
      <c r="H770" s="9" t="s">
        <v>13</v>
      </c>
      <c r="I770" s="10" t="s">
        <v>14</v>
      </c>
    </row>
    <row r="771" spans="1:9" ht="24.75" customHeight="1">
      <c r="A771" s="5">
        <v>768</v>
      </c>
      <c r="B771" s="6" t="s">
        <v>11</v>
      </c>
      <c r="C771" s="6" t="s">
        <v>12</v>
      </c>
      <c r="D771" s="6" t="str">
        <f t="shared" si="11"/>
        <v>001</v>
      </c>
      <c r="E771" s="6" t="str">
        <f>"吴留连"</f>
        <v>吴留连</v>
      </c>
      <c r="F771" s="6" t="str">
        <f>"202311182612"</f>
        <v>202311182612</v>
      </c>
      <c r="G771" s="7">
        <v>0</v>
      </c>
      <c r="H771" s="9" t="s">
        <v>13</v>
      </c>
      <c r="I771" s="10" t="s">
        <v>14</v>
      </c>
    </row>
    <row r="772" spans="1:9" ht="24.75" customHeight="1">
      <c r="A772" s="5">
        <v>769</v>
      </c>
      <c r="B772" s="6" t="s">
        <v>11</v>
      </c>
      <c r="C772" s="6" t="s">
        <v>12</v>
      </c>
      <c r="D772" s="6" t="str">
        <f aca="true" t="shared" si="12" ref="D772:D775">"001"</f>
        <v>001</v>
      </c>
      <c r="E772" s="6" t="str">
        <f>"张哲"</f>
        <v>张哲</v>
      </c>
      <c r="F772" s="6" t="str">
        <f>"202311182613"</f>
        <v>202311182613</v>
      </c>
      <c r="G772" s="7">
        <v>0</v>
      </c>
      <c r="H772" s="9" t="s">
        <v>13</v>
      </c>
      <c r="I772" s="10" t="s">
        <v>14</v>
      </c>
    </row>
    <row r="773" spans="1:9" ht="24.75" customHeight="1">
      <c r="A773" s="5">
        <v>770</v>
      </c>
      <c r="B773" s="6" t="s">
        <v>11</v>
      </c>
      <c r="C773" s="6" t="s">
        <v>12</v>
      </c>
      <c r="D773" s="6" t="str">
        <f t="shared" si="12"/>
        <v>001</v>
      </c>
      <c r="E773" s="6" t="str">
        <f>"谢秋池"</f>
        <v>谢秋池</v>
      </c>
      <c r="F773" s="6" t="str">
        <f>"202311182614"</f>
        <v>202311182614</v>
      </c>
      <c r="G773" s="7">
        <v>0</v>
      </c>
      <c r="H773" s="9" t="s">
        <v>13</v>
      </c>
      <c r="I773" s="10" t="s">
        <v>14</v>
      </c>
    </row>
    <row r="774" spans="1:9" ht="24.75" customHeight="1">
      <c r="A774" s="5">
        <v>771</v>
      </c>
      <c r="B774" s="6" t="s">
        <v>11</v>
      </c>
      <c r="C774" s="6" t="s">
        <v>12</v>
      </c>
      <c r="D774" s="6" t="str">
        <f t="shared" si="12"/>
        <v>001</v>
      </c>
      <c r="E774" s="6" t="str">
        <f>"麦芬芬"</f>
        <v>麦芬芬</v>
      </c>
      <c r="F774" s="6" t="str">
        <f>"202311182616"</f>
        <v>202311182616</v>
      </c>
      <c r="G774" s="7">
        <v>0</v>
      </c>
      <c r="H774" s="9" t="s">
        <v>13</v>
      </c>
      <c r="I774" s="10" t="s">
        <v>14</v>
      </c>
    </row>
    <row r="775" spans="1:9" ht="24.75" customHeight="1">
      <c r="A775" s="5">
        <v>772</v>
      </c>
      <c r="B775" s="6" t="s">
        <v>11</v>
      </c>
      <c r="C775" s="6" t="s">
        <v>12</v>
      </c>
      <c r="D775" s="6" t="str">
        <f t="shared" si="12"/>
        <v>001</v>
      </c>
      <c r="E775" s="6" t="str">
        <f>"赖宇恒"</f>
        <v>赖宇恒</v>
      </c>
      <c r="F775" s="6" t="str">
        <f>"202311182618"</f>
        <v>202311182618</v>
      </c>
      <c r="G775" s="7">
        <v>0</v>
      </c>
      <c r="H775" s="9" t="s">
        <v>13</v>
      </c>
      <c r="I775" s="10" t="s">
        <v>14</v>
      </c>
    </row>
    <row r="776" spans="1:9" ht="24.75" customHeight="1">
      <c r="A776" s="5">
        <v>773</v>
      </c>
      <c r="B776" s="6" t="s">
        <v>11</v>
      </c>
      <c r="C776" s="6" t="s">
        <v>15</v>
      </c>
      <c r="D776" s="6" t="str">
        <f aca="true" t="shared" si="13" ref="D776:D839">"002"</f>
        <v>002</v>
      </c>
      <c r="E776" s="6" t="str">
        <f>"汪凤运"</f>
        <v>汪凤运</v>
      </c>
      <c r="F776" s="6" t="str">
        <f>"202311183016"</f>
        <v>202311183016</v>
      </c>
      <c r="G776" s="7">
        <v>76.75</v>
      </c>
      <c r="H776" s="8">
        <v>1</v>
      </c>
      <c r="I776" s="5"/>
    </row>
    <row r="777" spans="1:9" ht="24.75" customHeight="1">
      <c r="A777" s="5">
        <v>774</v>
      </c>
      <c r="B777" s="6" t="s">
        <v>11</v>
      </c>
      <c r="C777" s="6" t="s">
        <v>15</v>
      </c>
      <c r="D777" s="6" t="str">
        <f t="shared" si="13"/>
        <v>002</v>
      </c>
      <c r="E777" s="6" t="str">
        <f>"丁秀锦"</f>
        <v>丁秀锦</v>
      </c>
      <c r="F777" s="6" t="str">
        <f>"202311182816"</f>
        <v>202311182816</v>
      </c>
      <c r="G777" s="7">
        <v>76.5</v>
      </c>
      <c r="H777" s="8">
        <v>2</v>
      </c>
      <c r="I777" s="5"/>
    </row>
    <row r="778" spans="1:9" ht="24.75" customHeight="1">
      <c r="A778" s="5">
        <v>775</v>
      </c>
      <c r="B778" s="6" t="s">
        <v>11</v>
      </c>
      <c r="C778" s="6" t="s">
        <v>15</v>
      </c>
      <c r="D778" s="6" t="str">
        <f t="shared" si="13"/>
        <v>002</v>
      </c>
      <c r="E778" s="6" t="str">
        <f>"刘依帆"</f>
        <v>刘依帆</v>
      </c>
      <c r="F778" s="6" t="str">
        <f>"202311183023"</f>
        <v>202311183023</v>
      </c>
      <c r="G778" s="7">
        <v>75.75</v>
      </c>
      <c r="H778" s="8">
        <v>3</v>
      </c>
      <c r="I778" s="5"/>
    </row>
    <row r="779" spans="1:9" ht="24.75" customHeight="1">
      <c r="A779" s="5">
        <v>776</v>
      </c>
      <c r="B779" s="6" t="s">
        <v>11</v>
      </c>
      <c r="C779" s="6" t="s">
        <v>15</v>
      </c>
      <c r="D779" s="6" t="str">
        <f t="shared" si="13"/>
        <v>002</v>
      </c>
      <c r="E779" s="6" t="str">
        <f>"俞佳君"</f>
        <v>俞佳君</v>
      </c>
      <c r="F779" s="6" t="str">
        <f>"202311182715"</f>
        <v>202311182715</v>
      </c>
      <c r="G779" s="7">
        <v>75.5</v>
      </c>
      <c r="H779" s="8">
        <v>4</v>
      </c>
      <c r="I779" s="5"/>
    </row>
    <row r="780" spans="1:9" ht="24.75" customHeight="1">
      <c r="A780" s="5">
        <v>777</v>
      </c>
      <c r="B780" s="6" t="s">
        <v>11</v>
      </c>
      <c r="C780" s="6" t="s">
        <v>15</v>
      </c>
      <c r="D780" s="6" t="str">
        <f t="shared" si="13"/>
        <v>002</v>
      </c>
      <c r="E780" s="6" t="str">
        <f>"蔡祥"</f>
        <v>蔡祥</v>
      </c>
      <c r="F780" s="6" t="str">
        <f>"202311183022"</f>
        <v>202311183022</v>
      </c>
      <c r="G780" s="7">
        <v>75.25</v>
      </c>
      <c r="H780" s="8">
        <v>5</v>
      </c>
      <c r="I780" s="5"/>
    </row>
    <row r="781" spans="1:9" ht="24.75" customHeight="1">
      <c r="A781" s="5">
        <v>778</v>
      </c>
      <c r="B781" s="6" t="s">
        <v>11</v>
      </c>
      <c r="C781" s="6" t="s">
        <v>15</v>
      </c>
      <c r="D781" s="6" t="str">
        <f t="shared" si="13"/>
        <v>002</v>
      </c>
      <c r="E781" s="6" t="str">
        <f>"韩亦菲"</f>
        <v>韩亦菲</v>
      </c>
      <c r="F781" s="6" t="str">
        <f>"202311183129"</f>
        <v>202311183129</v>
      </c>
      <c r="G781" s="7">
        <v>75.25</v>
      </c>
      <c r="H781" s="8">
        <v>5</v>
      </c>
      <c r="I781" s="5"/>
    </row>
    <row r="782" spans="1:9" ht="24.75" customHeight="1">
      <c r="A782" s="5">
        <v>779</v>
      </c>
      <c r="B782" s="6" t="s">
        <v>11</v>
      </c>
      <c r="C782" s="6" t="s">
        <v>15</v>
      </c>
      <c r="D782" s="6" t="str">
        <f t="shared" si="13"/>
        <v>002</v>
      </c>
      <c r="E782" s="6" t="str">
        <f>"杨立业"</f>
        <v>杨立业</v>
      </c>
      <c r="F782" s="6" t="str">
        <f>"202311183216"</f>
        <v>202311183216</v>
      </c>
      <c r="G782" s="7">
        <v>72.5</v>
      </c>
      <c r="H782" s="8">
        <v>7</v>
      </c>
      <c r="I782" s="5"/>
    </row>
    <row r="783" spans="1:9" ht="24.75" customHeight="1">
      <c r="A783" s="5">
        <v>780</v>
      </c>
      <c r="B783" s="6" t="s">
        <v>11</v>
      </c>
      <c r="C783" s="6" t="s">
        <v>15</v>
      </c>
      <c r="D783" s="6" t="str">
        <f t="shared" si="13"/>
        <v>002</v>
      </c>
      <c r="E783" s="6" t="str">
        <f>"苏华鑫"</f>
        <v>苏华鑫</v>
      </c>
      <c r="F783" s="6" t="str">
        <f>"202311183104"</f>
        <v>202311183104</v>
      </c>
      <c r="G783" s="7">
        <v>71.75</v>
      </c>
      <c r="H783" s="8">
        <v>8</v>
      </c>
      <c r="I783" s="5"/>
    </row>
    <row r="784" spans="1:9" ht="24.75" customHeight="1">
      <c r="A784" s="5">
        <v>781</v>
      </c>
      <c r="B784" s="6" t="s">
        <v>11</v>
      </c>
      <c r="C784" s="6" t="s">
        <v>15</v>
      </c>
      <c r="D784" s="6" t="str">
        <f t="shared" si="13"/>
        <v>002</v>
      </c>
      <c r="E784" s="6" t="str">
        <f>"吴胜昔"</f>
        <v>吴胜昔</v>
      </c>
      <c r="F784" s="6" t="str">
        <f>"202311183112"</f>
        <v>202311183112</v>
      </c>
      <c r="G784" s="7">
        <v>71.75</v>
      </c>
      <c r="H784" s="8">
        <v>8</v>
      </c>
      <c r="I784" s="5"/>
    </row>
    <row r="785" spans="1:9" ht="24.75" customHeight="1">
      <c r="A785" s="5">
        <v>782</v>
      </c>
      <c r="B785" s="6" t="s">
        <v>11</v>
      </c>
      <c r="C785" s="6" t="s">
        <v>15</v>
      </c>
      <c r="D785" s="6" t="str">
        <f t="shared" si="13"/>
        <v>002</v>
      </c>
      <c r="E785" s="6" t="str">
        <f>"陈靖仪"</f>
        <v>陈靖仪</v>
      </c>
      <c r="F785" s="6" t="str">
        <f>"202311183204"</f>
        <v>202311183204</v>
      </c>
      <c r="G785" s="7">
        <v>71.5</v>
      </c>
      <c r="H785" s="8">
        <v>10</v>
      </c>
      <c r="I785" s="5"/>
    </row>
    <row r="786" spans="1:9" ht="24.75" customHeight="1">
      <c r="A786" s="5">
        <v>783</v>
      </c>
      <c r="B786" s="6" t="s">
        <v>11</v>
      </c>
      <c r="C786" s="6" t="s">
        <v>15</v>
      </c>
      <c r="D786" s="6" t="str">
        <f t="shared" si="13"/>
        <v>002</v>
      </c>
      <c r="E786" s="6" t="str">
        <f>"黄璜"</f>
        <v>黄璜</v>
      </c>
      <c r="F786" s="6" t="str">
        <f>"202311182729"</f>
        <v>202311182729</v>
      </c>
      <c r="G786" s="7">
        <v>71</v>
      </c>
      <c r="H786" s="8">
        <v>11</v>
      </c>
      <c r="I786" s="5"/>
    </row>
    <row r="787" spans="1:9" ht="24.75" customHeight="1">
      <c r="A787" s="5">
        <v>784</v>
      </c>
      <c r="B787" s="6" t="s">
        <v>11</v>
      </c>
      <c r="C787" s="6" t="s">
        <v>15</v>
      </c>
      <c r="D787" s="6" t="str">
        <f t="shared" si="13"/>
        <v>002</v>
      </c>
      <c r="E787" s="6" t="str">
        <f>"莫子莹"</f>
        <v>莫子莹</v>
      </c>
      <c r="F787" s="6" t="str">
        <f>"202311182815"</f>
        <v>202311182815</v>
      </c>
      <c r="G787" s="7">
        <v>70.25</v>
      </c>
      <c r="H787" s="8">
        <v>12</v>
      </c>
      <c r="I787" s="5"/>
    </row>
    <row r="788" spans="1:9" ht="24.75" customHeight="1">
      <c r="A788" s="5">
        <v>785</v>
      </c>
      <c r="B788" s="6" t="s">
        <v>11</v>
      </c>
      <c r="C788" s="6" t="s">
        <v>15</v>
      </c>
      <c r="D788" s="6" t="str">
        <f t="shared" si="13"/>
        <v>002</v>
      </c>
      <c r="E788" s="6" t="str">
        <f>"高生科"</f>
        <v>高生科</v>
      </c>
      <c r="F788" s="6" t="str">
        <f>"202311183020"</f>
        <v>202311183020</v>
      </c>
      <c r="G788" s="7">
        <v>70.25</v>
      </c>
      <c r="H788" s="8">
        <v>12</v>
      </c>
      <c r="I788" s="5"/>
    </row>
    <row r="789" spans="1:9" ht="24.75" customHeight="1">
      <c r="A789" s="5">
        <v>786</v>
      </c>
      <c r="B789" s="6" t="s">
        <v>11</v>
      </c>
      <c r="C789" s="6" t="s">
        <v>15</v>
      </c>
      <c r="D789" s="6" t="str">
        <f t="shared" si="13"/>
        <v>002</v>
      </c>
      <c r="E789" s="6" t="str">
        <f>"高佳"</f>
        <v>高佳</v>
      </c>
      <c r="F789" s="6" t="str">
        <f>"202311182916"</f>
        <v>202311182916</v>
      </c>
      <c r="G789" s="7">
        <v>70</v>
      </c>
      <c r="H789" s="8">
        <v>14</v>
      </c>
      <c r="I789" s="5"/>
    </row>
    <row r="790" spans="1:9" ht="24.75" customHeight="1">
      <c r="A790" s="5">
        <v>787</v>
      </c>
      <c r="B790" s="6" t="s">
        <v>11</v>
      </c>
      <c r="C790" s="6" t="s">
        <v>15</v>
      </c>
      <c r="D790" s="6" t="str">
        <f t="shared" si="13"/>
        <v>002</v>
      </c>
      <c r="E790" s="6" t="str">
        <f>"陈秋凤"</f>
        <v>陈秋凤</v>
      </c>
      <c r="F790" s="6" t="str">
        <f>"202311182825"</f>
        <v>202311182825</v>
      </c>
      <c r="G790" s="7">
        <v>69.75</v>
      </c>
      <c r="H790" s="8">
        <v>15</v>
      </c>
      <c r="I790" s="5"/>
    </row>
    <row r="791" spans="1:9" ht="24.75" customHeight="1">
      <c r="A791" s="5">
        <v>788</v>
      </c>
      <c r="B791" s="6" t="s">
        <v>11</v>
      </c>
      <c r="C791" s="6" t="s">
        <v>15</v>
      </c>
      <c r="D791" s="6" t="str">
        <f t="shared" si="13"/>
        <v>002</v>
      </c>
      <c r="E791" s="6" t="str">
        <f>"金康银"</f>
        <v>金康银</v>
      </c>
      <c r="F791" s="6" t="str">
        <f>"202311182806"</f>
        <v>202311182806</v>
      </c>
      <c r="G791" s="7">
        <v>69</v>
      </c>
      <c r="H791" s="8">
        <v>16</v>
      </c>
      <c r="I791" s="5"/>
    </row>
    <row r="792" spans="1:9" ht="24.75" customHeight="1">
      <c r="A792" s="5">
        <v>789</v>
      </c>
      <c r="B792" s="6" t="s">
        <v>11</v>
      </c>
      <c r="C792" s="6" t="s">
        <v>15</v>
      </c>
      <c r="D792" s="6" t="str">
        <f t="shared" si="13"/>
        <v>002</v>
      </c>
      <c r="E792" s="6" t="str">
        <f>"马健妮"</f>
        <v>马健妮</v>
      </c>
      <c r="F792" s="6" t="str">
        <f>"202311182703"</f>
        <v>202311182703</v>
      </c>
      <c r="G792" s="7">
        <v>68</v>
      </c>
      <c r="H792" s="8">
        <v>17</v>
      </c>
      <c r="I792" s="5"/>
    </row>
    <row r="793" spans="1:9" ht="24.75" customHeight="1">
      <c r="A793" s="5">
        <v>790</v>
      </c>
      <c r="B793" s="6" t="s">
        <v>11</v>
      </c>
      <c r="C793" s="6" t="s">
        <v>15</v>
      </c>
      <c r="D793" s="6" t="str">
        <f t="shared" si="13"/>
        <v>002</v>
      </c>
      <c r="E793" s="6" t="str">
        <f>"谢伶"</f>
        <v>谢伶</v>
      </c>
      <c r="F793" s="6" t="str">
        <f>"202311182921"</f>
        <v>202311182921</v>
      </c>
      <c r="G793" s="7">
        <v>67.75</v>
      </c>
      <c r="H793" s="8">
        <v>18</v>
      </c>
      <c r="I793" s="5"/>
    </row>
    <row r="794" spans="1:9" ht="24.75" customHeight="1">
      <c r="A794" s="5">
        <v>791</v>
      </c>
      <c r="B794" s="6" t="s">
        <v>11</v>
      </c>
      <c r="C794" s="6" t="s">
        <v>15</v>
      </c>
      <c r="D794" s="6" t="str">
        <f t="shared" si="13"/>
        <v>002</v>
      </c>
      <c r="E794" s="6" t="str">
        <f>"吴晓旸"</f>
        <v>吴晓旸</v>
      </c>
      <c r="F794" s="6" t="str">
        <f>"202311182905"</f>
        <v>202311182905</v>
      </c>
      <c r="G794" s="7">
        <v>67.5</v>
      </c>
      <c r="H794" s="8">
        <v>19</v>
      </c>
      <c r="I794" s="5"/>
    </row>
    <row r="795" spans="1:9" ht="24.75" customHeight="1">
      <c r="A795" s="5">
        <v>792</v>
      </c>
      <c r="B795" s="6" t="s">
        <v>11</v>
      </c>
      <c r="C795" s="6" t="s">
        <v>15</v>
      </c>
      <c r="D795" s="6" t="str">
        <f t="shared" si="13"/>
        <v>002</v>
      </c>
      <c r="E795" s="6" t="str">
        <f>"李晓婷"</f>
        <v>李晓婷</v>
      </c>
      <c r="F795" s="6" t="str">
        <f>"202311183018"</f>
        <v>202311183018</v>
      </c>
      <c r="G795" s="7">
        <v>67.5</v>
      </c>
      <c r="H795" s="8">
        <v>19</v>
      </c>
      <c r="I795" s="5"/>
    </row>
    <row r="796" spans="1:9" ht="24.75" customHeight="1">
      <c r="A796" s="5">
        <v>793</v>
      </c>
      <c r="B796" s="6" t="s">
        <v>11</v>
      </c>
      <c r="C796" s="6" t="s">
        <v>15</v>
      </c>
      <c r="D796" s="6" t="str">
        <f t="shared" si="13"/>
        <v>002</v>
      </c>
      <c r="E796" s="6" t="str">
        <f>"龙立琪"</f>
        <v>龙立琪</v>
      </c>
      <c r="F796" s="6" t="str">
        <f>"202311182814"</f>
        <v>202311182814</v>
      </c>
      <c r="G796" s="7">
        <v>67.25</v>
      </c>
      <c r="H796" s="8">
        <v>21</v>
      </c>
      <c r="I796" s="5"/>
    </row>
    <row r="797" spans="1:9" ht="24.75" customHeight="1">
      <c r="A797" s="5">
        <v>794</v>
      </c>
      <c r="B797" s="6" t="s">
        <v>11</v>
      </c>
      <c r="C797" s="6" t="s">
        <v>15</v>
      </c>
      <c r="D797" s="6" t="str">
        <f t="shared" si="13"/>
        <v>002</v>
      </c>
      <c r="E797" s="6" t="str">
        <f>"符乃凤"</f>
        <v>符乃凤</v>
      </c>
      <c r="F797" s="6" t="str">
        <f>"202311183210"</f>
        <v>202311183210</v>
      </c>
      <c r="G797" s="7">
        <v>67</v>
      </c>
      <c r="H797" s="8">
        <v>22</v>
      </c>
      <c r="I797" s="5"/>
    </row>
    <row r="798" spans="1:9" ht="24.75" customHeight="1">
      <c r="A798" s="5">
        <v>795</v>
      </c>
      <c r="B798" s="6" t="s">
        <v>11</v>
      </c>
      <c r="C798" s="6" t="s">
        <v>15</v>
      </c>
      <c r="D798" s="6" t="str">
        <f t="shared" si="13"/>
        <v>002</v>
      </c>
      <c r="E798" s="6" t="str">
        <f>"陈洁"</f>
        <v>陈洁</v>
      </c>
      <c r="F798" s="6" t="str">
        <f>"202311182706"</f>
        <v>202311182706</v>
      </c>
      <c r="G798" s="7">
        <v>66.75</v>
      </c>
      <c r="H798" s="8">
        <v>23</v>
      </c>
      <c r="I798" s="5"/>
    </row>
    <row r="799" spans="1:9" ht="24.75" customHeight="1">
      <c r="A799" s="5">
        <v>796</v>
      </c>
      <c r="B799" s="6" t="s">
        <v>11</v>
      </c>
      <c r="C799" s="6" t="s">
        <v>15</v>
      </c>
      <c r="D799" s="6" t="str">
        <f t="shared" si="13"/>
        <v>002</v>
      </c>
      <c r="E799" s="6" t="str">
        <f>"陈丹丹"</f>
        <v>陈丹丹</v>
      </c>
      <c r="F799" s="6" t="str">
        <f>"202311183007"</f>
        <v>202311183007</v>
      </c>
      <c r="G799" s="7">
        <v>66.5</v>
      </c>
      <c r="H799" s="8">
        <v>24</v>
      </c>
      <c r="I799" s="5"/>
    </row>
    <row r="800" spans="1:9" ht="24.75" customHeight="1">
      <c r="A800" s="5">
        <v>797</v>
      </c>
      <c r="B800" s="6" t="s">
        <v>11</v>
      </c>
      <c r="C800" s="6" t="s">
        <v>15</v>
      </c>
      <c r="D800" s="6" t="str">
        <f t="shared" si="13"/>
        <v>002</v>
      </c>
      <c r="E800" s="6" t="str">
        <f>"林小燕"</f>
        <v>林小燕</v>
      </c>
      <c r="F800" s="6" t="str">
        <f>"202311183021"</f>
        <v>202311183021</v>
      </c>
      <c r="G800" s="7">
        <v>66.5</v>
      </c>
      <c r="H800" s="8">
        <v>24</v>
      </c>
      <c r="I800" s="5"/>
    </row>
    <row r="801" spans="1:9" ht="24.75" customHeight="1">
      <c r="A801" s="5">
        <v>798</v>
      </c>
      <c r="B801" s="6" t="s">
        <v>11</v>
      </c>
      <c r="C801" s="6" t="s">
        <v>15</v>
      </c>
      <c r="D801" s="6" t="str">
        <f t="shared" si="13"/>
        <v>002</v>
      </c>
      <c r="E801" s="6" t="str">
        <f>"陈小荣"</f>
        <v>陈小荣</v>
      </c>
      <c r="F801" s="6" t="str">
        <f>"202311183211"</f>
        <v>202311183211</v>
      </c>
      <c r="G801" s="7">
        <v>66.25</v>
      </c>
      <c r="H801" s="8">
        <v>26</v>
      </c>
      <c r="I801" s="5"/>
    </row>
    <row r="802" spans="1:9" ht="24.75" customHeight="1">
      <c r="A802" s="5">
        <v>799</v>
      </c>
      <c r="B802" s="6" t="s">
        <v>11</v>
      </c>
      <c r="C802" s="6" t="s">
        <v>15</v>
      </c>
      <c r="D802" s="6" t="str">
        <f t="shared" si="13"/>
        <v>002</v>
      </c>
      <c r="E802" s="6" t="str">
        <f>"关月荷"</f>
        <v>关月荷</v>
      </c>
      <c r="F802" s="6" t="str">
        <f>"202311183122"</f>
        <v>202311183122</v>
      </c>
      <c r="G802" s="7">
        <v>66</v>
      </c>
      <c r="H802" s="8">
        <v>27</v>
      </c>
      <c r="I802" s="5"/>
    </row>
    <row r="803" spans="1:9" ht="24.75" customHeight="1">
      <c r="A803" s="5">
        <v>800</v>
      </c>
      <c r="B803" s="6" t="s">
        <v>11</v>
      </c>
      <c r="C803" s="6" t="s">
        <v>15</v>
      </c>
      <c r="D803" s="6" t="str">
        <f t="shared" si="13"/>
        <v>002</v>
      </c>
      <c r="E803" s="6" t="str">
        <f>"林静"</f>
        <v>林静</v>
      </c>
      <c r="F803" s="6" t="str">
        <f>"202311182830"</f>
        <v>202311182830</v>
      </c>
      <c r="G803" s="7">
        <v>65.75</v>
      </c>
      <c r="H803" s="8">
        <v>28</v>
      </c>
      <c r="I803" s="5"/>
    </row>
    <row r="804" spans="1:9" ht="24.75" customHeight="1">
      <c r="A804" s="5">
        <v>801</v>
      </c>
      <c r="B804" s="6" t="s">
        <v>11</v>
      </c>
      <c r="C804" s="6" t="s">
        <v>15</v>
      </c>
      <c r="D804" s="6" t="str">
        <f t="shared" si="13"/>
        <v>002</v>
      </c>
      <c r="E804" s="6" t="str">
        <f>"胡晓妍"</f>
        <v>胡晓妍</v>
      </c>
      <c r="F804" s="6" t="str">
        <f>"202311182628"</f>
        <v>202311182628</v>
      </c>
      <c r="G804" s="7">
        <v>65.5</v>
      </c>
      <c r="H804" s="8">
        <v>29</v>
      </c>
      <c r="I804" s="5"/>
    </row>
    <row r="805" spans="1:9" ht="24.75" customHeight="1">
      <c r="A805" s="5">
        <v>802</v>
      </c>
      <c r="B805" s="6" t="s">
        <v>11</v>
      </c>
      <c r="C805" s="6" t="s">
        <v>15</v>
      </c>
      <c r="D805" s="6" t="str">
        <f t="shared" si="13"/>
        <v>002</v>
      </c>
      <c r="E805" s="6" t="str">
        <f>"蔡桂燕"</f>
        <v>蔡桂燕</v>
      </c>
      <c r="F805" s="6" t="str">
        <f>"202311182904"</f>
        <v>202311182904</v>
      </c>
      <c r="G805" s="7">
        <v>65.5</v>
      </c>
      <c r="H805" s="8">
        <v>29</v>
      </c>
      <c r="I805" s="5"/>
    </row>
    <row r="806" spans="1:9" ht="24.75" customHeight="1">
      <c r="A806" s="5">
        <v>803</v>
      </c>
      <c r="B806" s="6" t="s">
        <v>11</v>
      </c>
      <c r="C806" s="6" t="s">
        <v>15</v>
      </c>
      <c r="D806" s="6" t="str">
        <f t="shared" si="13"/>
        <v>002</v>
      </c>
      <c r="E806" s="6" t="str">
        <f>"王小妹"</f>
        <v>王小妹</v>
      </c>
      <c r="F806" s="6" t="str">
        <f>"202311182927"</f>
        <v>202311182927</v>
      </c>
      <c r="G806" s="7">
        <v>65.5</v>
      </c>
      <c r="H806" s="8">
        <v>29</v>
      </c>
      <c r="I806" s="5"/>
    </row>
    <row r="807" spans="1:9" ht="24.75" customHeight="1">
      <c r="A807" s="5">
        <v>804</v>
      </c>
      <c r="B807" s="6" t="s">
        <v>11</v>
      </c>
      <c r="C807" s="6" t="s">
        <v>15</v>
      </c>
      <c r="D807" s="6" t="str">
        <f t="shared" si="13"/>
        <v>002</v>
      </c>
      <c r="E807" s="6" t="str">
        <f>"蔡南虎"</f>
        <v>蔡南虎</v>
      </c>
      <c r="F807" s="6" t="str">
        <f>"202311182629"</f>
        <v>202311182629</v>
      </c>
      <c r="G807" s="7">
        <v>65.25</v>
      </c>
      <c r="H807" s="8">
        <v>32</v>
      </c>
      <c r="I807" s="5"/>
    </row>
    <row r="808" spans="1:9" ht="24.75" customHeight="1">
      <c r="A808" s="5">
        <v>805</v>
      </c>
      <c r="B808" s="6" t="s">
        <v>11</v>
      </c>
      <c r="C808" s="6" t="s">
        <v>15</v>
      </c>
      <c r="D808" s="6" t="str">
        <f t="shared" si="13"/>
        <v>002</v>
      </c>
      <c r="E808" s="6" t="str">
        <f>"陈佩颖"</f>
        <v>陈佩颖</v>
      </c>
      <c r="F808" s="6" t="str">
        <f>"202311183017"</f>
        <v>202311183017</v>
      </c>
      <c r="G808" s="7">
        <v>65.25</v>
      </c>
      <c r="H808" s="8">
        <v>32</v>
      </c>
      <c r="I808" s="5"/>
    </row>
    <row r="809" spans="1:9" ht="24.75" customHeight="1">
      <c r="A809" s="5">
        <v>806</v>
      </c>
      <c r="B809" s="6" t="s">
        <v>11</v>
      </c>
      <c r="C809" s="6" t="s">
        <v>15</v>
      </c>
      <c r="D809" s="6" t="str">
        <f t="shared" si="13"/>
        <v>002</v>
      </c>
      <c r="E809" s="6" t="str">
        <f>"杨丹宁"</f>
        <v>杨丹宁</v>
      </c>
      <c r="F809" s="6" t="str">
        <f>"202311183116"</f>
        <v>202311183116</v>
      </c>
      <c r="G809" s="7">
        <v>65.25</v>
      </c>
      <c r="H809" s="8">
        <v>32</v>
      </c>
      <c r="I809" s="5"/>
    </row>
    <row r="810" spans="1:9" ht="24.75" customHeight="1">
      <c r="A810" s="5">
        <v>807</v>
      </c>
      <c r="B810" s="6" t="s">
        <v>11</v>
      </c>
      <c r="C810" s="6" t="s">
        <v>15</v>
      </c>
      <c r="D810" s="6" t="str">
        <f t="shared" si="13"/>
        <v>002</v>
      </c>
      <c r="E810" s="6" t="str">
        <f>"王磊"</f>
        <v>王磊</v>
      </c>
      <c r="F810" s="6" t="str">
        <f>"202311183106"</f>
        <v>202311183106</v>
      </c>
      <c r="G810" s="7">
        <v>64.75</v>
      </c>
      <c r="H810" s="8">
        <v>35</v>
      </c>
      <c r="I810" s="5"/>
    </row>
    <row r="811" spans="1:9" ht="24.75" customHeight="1">
      <c r="A811" s="5">
        <v>808</v>
      </c>
      <c r="B811" s="6" t="s">
        <v>11</v>
      </c>
      <c r="C811" s="6" t="s">
        <v>15</v>
      </c>
      <c r="D811" s="6" t="str">
        <f t="shared" si="13"/>
        <v>002</v>
      </c>
      <c r="E811" s="6" t="str">
        <f>"吴蕴琦"</f>
        <v>吴蕴琦</v>
      </c>
      <c r="F811" s="6" t="str">
        <f>"202311182625"</f>
        <v>202311182625</v>
      </c>
      <c r="G811" s="7">
        <v>64.5</v>
      </c>
      <c r="H811" s="8">
        <v>36</v>
      </c>
      <c r="I811" s="5"/>
    </row>
    <row r="812" spans="1:9" ht="24.75" customHeight="1">
      <c r="A812" s="5">
        <v>809</v>
      </c>
      <c r="B812" s="6" t="s">
        <v>11</v>
      </c>
      <c r="C812" s="6" t="s">
        <v>15</v>
      </c>
      <c r="D812" s="6" t="str">
        <f t="shared" si="13"/>
        <v>002</v>
      </c>
      <c r="E812" s="6" t="str">
        <f>"石碗怡"</f>
        <v>石碗怡</v>
      </c>
      <c r="F812" s="6" t="str">
        <f>"202311182923"</f>
        <v>202311182923</v>
      </c>
      <c r="G812" s="7">
        <v>64.5</v>
      </c>
      <c r="H812" s="8">
        <v>36</v>
      </c>
      <c r="I812" s="5"/>
    </row>
    <row r="813" spans="1:9" ht="24.75" customHeight="1">
      <c r="A813" s="5">
        <v>810</v>
      </c>
      <c r="B813" s="6" t="s">
        <v>11</v>
      </c>
      <c r="C813" s="6" t="s">
        <v>15</v>
      </c>
      <c r="D813" s="6" t="str">
        <f t="shared" si="13"/>
        <v>002</v>
      </c>
      <c r="E813" s="6" t="str">
        <f>"许雅刻"</f>
        <v>许雅刻</v>
      </c>
      <c r="F813" s="6" t="str">
        <f>"202311182708"</f>
        <v>202311182708</v>
      </c>
      <c r="G813" s="7">
        <v>64.25</v>
      </c>
      <c r="H813" s="8">
        <v>38</v>
      </c>
      <c r="I813" s="5"/>
    </row>
    <row r="814" spans="1:9" ht="24.75" customHeight="1">
      <c r="A814" s="5">
        <v>811</v>
      </c>
      <c r="B814" s="6" t="s">
        <v>11</v>
      </c>
      <c r="C814" s="6" t="s">
        <v>15</v>
      </c>
      <c r="D814" s="6" t="str">
        <f t="shared" si="13"/>
        <v>002</v>
      </c>
      <c r="E814" s="6" t="str">
        <f>"黄珍"</f>
        <v>黄珍</v>
      </c>
      <c r="F814" s="6" t="str">
        <f>"202311182909"</f>
        <v>202311182909</v>
      </c>
      <c r="G814" s="7">
        <v>64</v>
      </c>
      <c r="H814" s="8">
        <v>39</v>
      </c>
      <c r="I814" s="5"/>
    </row>
    <row r="815" spans="1:9" ht="24.75" customHeight="1">
      <c r="A815" s="5">
        <v>812</v>
      </c>
      <c r="B815" s="6" t="s">
        <v>11</v>
      </c>
      <c r="C815" s="6" t="s">
        <v>15</v>
      </c>
      <c r="D815" s="6" t="str">
        <f t="shared" si="13"/>
        <v>002</v>
      </c>
      <c r="E815" s="6" t="str">
        <f>"黄林强"</f>
        <v>黄林强</v>
      </c>
      <c r="F815" s="6" t="str">
        <f>"202311183120"</f>
        <v>202311183120</v>
      </c>
      <c r="G815" s="7">
        <v>63.75</v>
      </c>
      <c r="H815" s="8">
        <v>40</v>
      </c>
      <c r="I815" s="5"/>
    </row>
    <row r="816" spans="1:9" ht="24.75" customHeight="1">
      <c r="A816" s="5">
        <v>813</v>
      </c>
      <c r="B816" s="6" t="s">
        <v>11</v>
      </c>
      <c r="C816" s="6" t="s">
        <v>15</v>
      </c>
      <c r="D816" s="6" t="str">
        <f t="shared" si="13"/>
        <v>002</v>
      </c>
      <c r="E816" s="6" t="str">
        <f>"王玉霞"</f>
        <v>王玉霞</v>
      </c>
      <c r="F816" s="6" t="str">
        <f>"202311182710"</f>
        <v>202311182710</v>
      </c>
      <c r="G816" s="7">
        <v>63.5</v>
      </c>
      <c r="H816" s="8">
        <v>41</v>
      </c>
      <c r="I816" s="5"/>
    </row>
    <row r="817" spans="1:9" ht="24.75" customHeight="1">
      <c r="A817" s="5">
        <v>814</v>
      </c>
      <c r="B817" s="6" t="s">
        <v>11</v>
      </c>
      <c r="C817" s="6" t="s">
        <v>15</v>
      </c>
      <c r="D817" s="6" t="str">
        <f t="shared" si="13"/>
        <v>002</v>
      </c>
      <c r="E817" s="6" t="str">
        <f>"李美萱"</f>
        <v>李美萱</v>
      </c>
      <c r="F817" s="6" t="str">
        <f>"202311183102"</f>
        <v>202311183102</v>
      </c>
      <c r="G817" s="7">
        <v>63.5</v>
      </c>
      <c r="H817" s="8">
        <v>41</v>
      </c>
      <c r="I817" s="5"/>
    </row>
    <row r="818" spans="1:9" ht="24.75" customHeight="1">
      <c r="A818" s="5">
        <v>815</v>
      </c>
      <c r="B818" s="6" t="s">
        <v>11</v>
      </c>
      <c r="C818" s="6" t="s">
        <v>15</v>
      </c>
      <c r="D818" s="6" t="str">
        <f t="shared" si="13"/>
        <v>002</v>
      </c>
      <c r="E818" s="6" t="str">
        <f>"冯秋悦"</f>
        <v>冯秋悦</v>
      </c>
      <c r="F818" s="6" t="str">
        <f>"202311183118"</f>
        <v>202311183118</v>
      </c>
      <c r="G818" s="7">
        <v>63.5</v>
      </c>
      <c r="H818" s="8">
        <v>41</v>
      </c>
      <c r="I818" s="5"/>
    </row>
    <row r="819" spans="1:9" ht="24.75" customHeight="1">
      <c r="A819" s="5">
        <v>816</v>
      </c>
      <c r="B819" s="6" t="s">
        <v>11</v>
      </c>
      <c r="C819" s="6" t="s">
        <v>15</v>
      </c>
      <c r="D819" s="6" t="str">
        <f t="shared" si="13"/>
        <v>002</v>
      </c>
      <c r="E819" s="6" t="str">
        <f>"黄锦珺"</f>
        <v>黄锦珺</v>
      </c>
      <c r="F819" s="6" t="str">
        <f>"202311182626"</f>
        <v>202311182626</v>
      </c>
      <c r="G819" s="7">
        <v>63.25</v>
      </c>
      <c r="H819" s="8">
        <v>44</v>
      </c>
      <c r="I819" s="5"/>
    </row>
    <row r="820" spans="1:9" ht="24.75" customHeight="1">
      <c r="A820" s="5">
        <v>817</v>
      </c>
      <c r="B820" s="6" t="s">
        <v>11</v>
      </c>
      <c r="C820" s="6" t="s">
        <v>15</v>
      </c>
      <c r="D820" s="6" t="str">
        <f t="shared" si="13"/>
        <v>002</v>
      </c>
      <c r="E820" s="6" t="str">
        <f>"吴至勇"</f>
        <v>吴至勇</v>
      </c>
      <c r="F820" s="6" t="str">
        <f>"202311182723"</f>
        <v>202311182723</v>
      </c>
      <c r="G820" s="7">
        <v>63.25</v>
      </c>
      <c r="H820" s="8">
        <v>44</v>
      </c>
      <c r="I820" s="5"/>
    </row>
    <row r="821" spans="1:9" ht="24.75" customHeight="1">
      <c r="A821" s="5">
        <v>818</v>
      </c>
      <c r="B821" s="6" t="s">
        <v>11</v>
      </c>
      <c r="C821" s="6" t="s">
        <v>15</v>
      </c>
      <c r="D821" s="6" t="str">
        <f t="shared" si="13"/>
        <v>002</v>
      </c>
      <c r="E821" s="6" t="str">
        <f>"陈虹羽"</f>
        <v>陈虹羽</v>
      </c>
      <c r="F821" s="6" t="str">
        <f>"202311183028"</f>
        <v>202311183028</v>
      </c>
      <c r="G821" s="7">
        <v>63.25</v>
      </c>
      <c r="H821" s="8">
        <v>44</v>
      </c>
      <c r="I821" s="5"/>
    </row>
    <row r="822" spans="1:9" ht="24.75" customHeight="1">
      <c r="A822" s="5">
        <v>819</v>
      </c>
      <c r="B822" s="6" t="s">
        <v>11</v>
      </c>
      <c r="C822" s="6" t="s">
        <v>15</v>
      </c>
      <c r="D822" s="6" t="str">
        <f t="shared" si="13"/>
        <v>002</v>
      </c>
      <c r="E822" s="6" t="str">
        <f>"侯明明"</f>
        <v>侯明明</v>
      </c>
      <c r="F822" s="6" t="str">
        <f>"202311183207"</f>
        <v>202311183207</v>
      </c>
      <c r="G822" s="7">
        <v>63.25</v>
      </c>
      <c r="H822" s="8">
        <v>44</v>
      </c>
      <c r="I822" s="5"/>
    </row>
    <row r="823" spans="1:9" ht="24.75" customHeight="1">
      <c r="A823" s="5">
        <v>820</v>
      </c>
      <c r="B823" s="6" t="s">
        <v>11</v>
      </c>
      <c r="C823" s="6" t="s">
        <v>15</v>
      </c>
      <c r="D823" s="6" t="str">
        <f t="shared" si="13"/>
        <v>002</v>
      </c>
      <c r="E823" s="6" t="str">
        <f>"林诗怡"</f>
        <v>林诗怡</v>
      </c>
      <c r="F823" s="6" t="str">
        <f>"202311182719"</f>
        <v>202311182719</v>
      </c>
      <c r="G823" s="7">
        <v>63</v>
      </c>
      <c r="H823" s="8">
        <v>48</v>
      </c>
      <c r="I823" s="5"/>
    </row>
    <row r="824" spans="1:9" ht="24.75" customHeight="1">
      <c r="A824" s="5">
        <v>821</v>
      </c>
      <c r="B824" s="6" t="s">
        <v>11</v>
      </c>
      <c r="C824" s="6" t="s">
        <v>15</v>
      </c>
      <c r="D824" s="6" t="str">
        <f t="shared" si="13"/>
        <v>002</v>
      </c>
      <c r="E824" s="6" t="str">
        <f>"张诗茹"</f>
        <v>张诗茹</v>
      </c>
      <c r="F824" s="6" t="str">
        <f>"202311182920"</f>
        <v>202311182920</v>
      </c>
      <c r="G824" s="7">
        <v>63</v>
      </c>
      <c r="H824" s="8">
        <v>48</v>
      </c>
      <c r="I824" s="5"/>
    </row>
    <row r="825" spans="1:9" ht="24.75" customHeight="1">
      <c r="A825" s="5">
        <v>822</v>
      </c>
      <c r="B825" s="6" t="s">
        <v>11</v>
      </c>
      <c r="C825" s="6" t="s">
        <v>15</v>
      </c>
      <c r="D825" s="6" t="str">
        <f t="shared" si="13"/>
        <v>002</v>
      </c>
      <c r="E825" s="6" t="str">
        <f>"岑美汐"</f>
        <v>岑美汐</v>
      </c>
      <c r="F825" s="6" t="str">
        <f>"202311183101"</f>
        <v>202311183101</v>
      </c>
      <c r="G825" s="7">
        <v>62.75</v>
      </c>
      <c r="H825" s="8">
        <v>50</v>
      </c>
      <c r="I825" s="5"/>
    </row>
    <row r="826" spans="1:9" ht="24.75" customHeight="1">
      <c r="A826" s="5">
        <v>823</v>
      </c>
      <c r="B826" s="6" t="s">
        <v>11</v>
      </c>
      <c r="C826" s="6" t="s">
        <v>15</v>
      </c>
      <c r="D826" s="6" t="str">
        <f t="shared" si="13"/>
        <v>002</v>
      </c>
      <c r="E826" s="6" t="str">
        <f>"符海媚"</f>
        <v>符海媚</v>
      </c>
      <c r="F826" s="6" t="str">
        <f>"202311183107"</f>
        <v>202311183107</v>
      </c>
      <c r="G826" s="7">
        <v>62.75</v>
      </c>
      <c r="H826" s="8">
        <v>50</v>
      </c>
      <c r="I826" s="5"/>
    </row>
    <row r="827" spans="1:9" ht="24.75" customHeight="1">
      <c r="A827" s="5">
        <v>824</v>
      </c>
      <c r="B827" s="6" t="s">
        <v>11</v>
      </c>
      <c r="C827" s="6" t="s">
        <v>15</v>
      </c>
      <c r="D827" s="6" t="str">
        <f t="shared" si="13"/>
        <v>002</v>
      </c>
      <c r="E827" s="6" t="str">
        <f>"唐嘉颖"</f>
        <v>唐嘉颖</v>
      </c>
      <c r="F827" s="6" t="str">
        <f>"202311183001"</f>
        <v>202311183001</v>
      </c>
      <c r="G827" s="7">
        <v>62.5</v>
      </c>
      <c r="H827" s="8">
        <v>52</v>
      </c>
      <c r="I827" s="5"/>
    </row>
    <row r="828" spans="1:9" ht="24.75" customHeight="1">
      <c r="A828" s="5">
        <v>825</v>
      </c>
      <c r="B828" s="6" t="s">
        <v>11</v>
      </c>
      <c r="C828" s="6" t="s">
        <v>15</v>
      </c>
      <c r="D828" s="6" t="str">
        <f t="shared" si="13"/>
        <v>002</v>
      </c>
      <c r="E828" s="6" t="str">
        <f>"卓存胜"</f>
        <v>卓存胜</v>
      </c>
      <c r="F828" s="6" t="str">
        <f>"202311183024"</f>
        <v>202311183024</v>
      </c>
      <c r="G828" s="7">
        <v>62.5</v>
      </c>
      <c r="H828" s="8">
        <v>52</v>
      </c>
      <c r="I828" s="5"/>
    </row>
    <row r="829" spans="1:9" ht="24.75" customHeight="1">
      <c r="A829" s="5">
        <v>826</v>
      </c>
      <c r="B829" s="6" t="s">
        <v>11</v>
      </c>
      <c r="C829" s="6" t="s">
        <v>15</v>
      </c>
      <c r="D829" s="6" t="str">
        <f t="shared" si="13"/>
        <v>002</v>
      </c>
      <c r="E829" s="6" t="str">
        <f>"房剑波"</f>
        <v>房剑波</v>
      </c>
      <c r="F829" s="6" t="str">
        <f>"202311183201"</f>
        <v>202311183201</v>
      </c>
      <c r="G829" s="7">
        <v>62.5</v>
      </c>
      <c r="H829" s="8">
        <v>52</v>
      </c>
      <c r="I829" s="5"/>
    </row>
    <row r="830" spans="1:9" ht="24.75" customHeight="1">
      <c r="A830" s="5">
        <v>827</v>
      </c>
      <c r="B830" s="6" t="s">
        <v>11</v>
      </c>
      <c r="C830" s="6" t="s">
        <v>15</v>
      </c>
      <c r="D830" s="6" t="str">
        <f t="shared" si="13"/>
        <v>002</v>
      </c>
      <c r="E830" s="6" t="str">
        <f>"陈静"</f>
        <v>陈静</v>
      </c>
      <c r="F830" s="6" t="str">
        <f>"202311183206"</f>
        <v>202311183206</v>
      </c>
      <c r="G830" s="7">
        <v>62.5</v>
      </c>
      <c r="H830" s="8">
        <v>52</v>
      </c>
      <c r="I830" s="5"/>
    </row>
    <row r="831" spans="1:9" ht="24.75" customHeight="1">
      <c r="A831" s="5">
        <v>828</v>
      </c>
      <c r="B831" s="6" t="s">
        <v>11</v>
      </c>
      <c r="C831" s="6" t="s">
        <v>15</v>
      </c>
      <c r="D831" s="6" t="str">
        <f t="shared" si="13"/>
        <v>002</v>
      </c>
      <c r="E831" s="6" t="str">
        <f>"符臣锋"</f>
        <v>符臣锋</v>
      </c>
      <c r="F831" s="6" t="str">
        <f>"202311182805"</f>
        <v>202311182805</v>
      </c>
      <c r="G831" s="7">
        <v>62</v>
      </c>
      <c r="H831" s="8">
        <v>56</v>
      </c>
      <c r="I831" s="5"/>
    </row>
    <row r="832" spans="1:9" ht="24.75" customHeight="1">
      <c r="A832" s="5">
        <v>829</v>
      </c>
      <c r="B832" s="6" t="s">
        <v>11</v>
      </c>
      <c r="C832" s="6" t="s">
        <v>15</v>
      </c>
      <c r="D832" s="6" t="str">
        <f t="shared" si="13"/>
        <v>002</v>
      </c>
      <c r="E832" s="6" t="str">
        <f>"陈珂"</f>
        <v>陈珂</v>
      </c>
      <c r="F832" s="6" t="str">
        <f>"202311182901"</f>
        <v>202311182901</v>
      </c>
      <c r="G832" s="7">
        <v>62</v>
      </c>
      <c r="H832" s="8">
        <v>56</v>
      </c>
      <c r="I832" s="5"/>
    </row>
    <row r="833" spans="1:9" ht="24.75" customHeight="1">
      <c r="A833" s="5">
        <v>830</v>
      </c>
      <c r="B833" s="6" t="s">
        <v>11</v>
      </c>
      <c r="C833" s="6" t="s">
        <v>15</v>
      </c>
      <c r="D833" s="6" t="str">
        <f t="shared" si="13"/>
        <v>002</v>
      </c>
      <c r="E833" s="6" t="str">
        <f>"韦惠萍"</f>
        <v>韦惠萍</v>
      </c>
      <c r="F833" s="6" t="str">
        <f>"202311182930"</f>
        <v>202311182930</v>
      </c>
      <c r="G833" s="7">
        <v>62</v>
      </c>
      <c r="H833" s="8">
        <v>56</v>
      </c>
      <c r="I833" s="5"/>
    </row>
    <row r="834" spans="1:9" ht="24.75" customHeight="1">
      <c r="A834" s="5">
        <v>831</v>
      </c>
      <c r="B834" s="6" t="s">
        <v>11</v>
      </c>
      <c r="C834" s="6" t="s">
        <v>15</v>
      </c>
      <c r="D834" s="6" t="str">
        <f t="shared" si="13"/>
        <v>002</v>
      </c>
      <c r="E834" s="6" t="str">
        <f>"黄琬婷"</f>
        <v>黄琬婷</v>
      </c>
      <c r="F834" s="6" t="str">
        <f>"202311182624"</f>
        <v>202311182624</v>
      </c>
      <c r="G834" s="7">
        <v>61.75</v>
      </c>
      <c r="H834" s="8">
        <v>59</v>
      </c>
      <c r="I834" s="5"/>
    </row>
    <row r="835" spans="1:9" ht="24.75" customHeight="1">
      <c r="A835" s="5">
        <v>832</v>
      </c>
      <c r="B835" s="6" t="s">
        <v>11</v>
      </c>
      <c r="C835" s="6" t="s">
        <v>15</v>
      </c>
      <c r="D835" s="6" t="str">
        <f t="shared" si="13"/>
        <v>002</v>
      </c>
      <c r="E835" s="6" t="str">
        <f>"陈紫玉"</f>
        <v>陈紫玉</v>
      </c>
      <c r="F835" s="6" t="str">
        <f>"202311182903"</f>
        <v>202311182903</v>
      </c>
      <c r="G835" s="7">
        <v>61.75</v>
      </c>
      <c r="H835" s="8">
        <v>59</v>
      </c>
      <c r="I835" s="5"/>
    </row>
    <row r="836" spans="1:9" ht="24.75" customHeight="1">
      <c r="A836" s="5">
        <v>833</v>
      </c>
      <c r="B836" s="6" t="s">
        <v>11</v>
      </c>
      <c r="C836" s="6" t="s">
        <v>15</v>
      </c>
      <c r="D836" s="6" t="str">
        <f t="shared" si="13"/>
        <v>002</v>
      </c>
      <c r="E836" s="6" t="str">
        <f>"陈帅虹"</f>
        <v>陈帅虹</v>
      </c>
      <c r="F836" s="6" t="str">
        <f>"202311182705"</f>
        <v>202311182705</v>
      </c>
      <c r="G836" s="7">
        <v>61.5</v>
      </c>
      <c r="H836" s="8">
        <v>61</v>
      </c>
      <c r="I836" s="5"/>
    </row>
    <row r="837" spans="1:9" ht="24.75" customHeight="1">
      <c r="A837" s="5">
        <v>834</v>
      </c>
      <c r="B837" s="6" t="s">
        <v>11</v>
      </c>
      <c r="C837" s="6" t="s">
        <v>15</v>
      </c>
      <c r="D837" s="6" t="str">
        <f t="shared" si="13"/>
        <v>002</v>
      </c>
      <c r="E837" s="6" t="str">
        <f>"陈玉子"</f>
        <v>陈玉子</v>
      </c>
      <c r="F837" s="6" t="str">
        <f>"202311182709"</f>
        <v>202311182709</v>
      </c>
      <c r="G837" s="7">
        <v>61.5</v>
      </c>
      <c r="H837" s="8">
        <v>61</v>
      </c>
      <c r="I837" s="5"/>
    </row>
    <row r="838" spans="1:9" ht="24.75" customHeight="1">
      <c r="A838" s="5">
        <v>835</v>
      </c>
      <c r="B838" s="6" t="s">
        <v>11</v>
      </c>
      <c r="C838" s="6" t="s">
        <v>15</v>
      </c>
      <c r="D838" s="6" t="str">
        <f t="shared" si="13"/>
        <v>002</v>
      </c>
      <c r="E838" s="6" t="str">
        <f>"张其菊"</f>
        <v>张其菊</v>
      </c>
      <c r="F838" s="6" t="str">
        <f>"202311183126"</f>
        <v>202311183126</v>
      </c>
      <c r="G838" s="7">
        <v>61.5</v>
      </c>
      <c r="H838" s="8">
        <v>61</v>
      </c>
      <c r="I838" s="5"/>
    </row>
    <row r="839" spans="1:9" ht="24.75" customHeight="1">
      <c r="A839" s="5">
        <v>836</v>
      </c>
      <c r="B839" s="6" t="s">
        <v>11</v>
      </c>
      <c r="C839" s="6" t="s">
        <v>15</v>
      </c>
      <c r="D839" s="6" t="str">
        <f t="shared" si="13"/>
        <v>002</v>
      </c>
      <c r="E839" s="6" t="str">
        <f>"陈元武"</f>
        <v>陈元武</v>
      </c>
      <c r="F839" s="6" t="str">
        <f>"202311183209"</f>
        <v>202311183209</v>
      </c>
      <c r="G839" s="7">
        <v>61.5</v>
      </c>
      <c r="H839" s="8">
        <v>61</v>
      </c>
      <c r="I839" s="5"/>
    </row>
    <row r="840" spans="1:9" ht="24.75" customHeight="1">
      <c r="A840" s="5">
        <v>837</v>
      </c>
      <c r="B840" s="6" t="s">
        <v>11</v>
      </c>
      <c r="C840" s="6" t="s">
        <v>15</v>
      </c>
      <c r="D840" s="6" t="str">
        <f aca="true" t="shared" si="14" ref="D840:D903">"002"</f>
        <v>002</v>
      </c>
      <c r="E840" s="6" t="str">
        <f>"刘爱云"</f>
        <v>刘爱云</v>
      </c>
      <c r="F840" s="6" t="str">
        <f>"202311182704"</f>
        <v>202311182704</v>
      </c>
      <c r="G840" s="7">
        <v>61.25</v>
      </c>
      <c r="H840" s="8">
        <v>65</v>
      </c>
      <c r="I840" s="5"/>
    </row>
    <row r="841" spans="1:9" ht="24.75" customHeight="1">
      <c r="A841" s="5">
        <v>838</v>
      </c>
      <c r="B841" s="6" t="s">
        <v>11</v>
      </c>
      <c r="C841" s="6" t="s">
        <v>15</v>
      </c>
      <c r="D841" s="6" t="str">
        <f t="shared" si="14"/>
        <v>002</v>
      </c>
      <c r="E841" s="6" t="str">
        <f>"许力曼"</f>
        <v>许力曼</v>
      </c>
      <c r="F841" s="6" t="str">
        <f>"202311182908"</f>
        <v>202311182908</v>
      </c>
      <c r="G841" s="7">
        <v>61.25</v>
      </c>
      <c r="H841" s="8">
        <v>65</v>
      </c>
      <c r="I841" s="5"/>
    </row>
    <row r="842" spans="1:9" ht="24.75" customHeight="1">
      <c r="A842" s="5">
        <v>839</v>
      </c>
      <c r="B842" s="6" t="s">
        <v>11</v>
      </c>
      <c r="C842" s="6" t="s">
        <v>15</v>
      </c>
      <c r="D842" s="6" t="str">
        <f t="shared" si="14"/>
        <v>002</v>
      </c>
      <c r="E842" s="6" t="str">
        <f>"邱旭"</f>
        <v>邱旭</v>
      </c>
      <c r="F842" s="6" t="str">
        <f>"202311182917"</f>
        <v>202311182917</v>
      </c>
      <c r="G842" s="7">
        <v>61.25</v>
      </c>
      <c r="H842" s="8">
        <v>65</v>
      </c>
      <c r="I842" s="5"/>
    </row>
    <row r="843" spans="1:9" ht="24.75" customHeight="1">
      <c r="A843" s="5">
        <v>840</v>
      </c>
      <c r="B843" s="6" t="s">
        <v>11</v>
      </c>
      <c r="C843" s="6" t="s">
        <v>15</v>
      </c>
      <c r="D843" s="6" t="str">
        <f t="shared" si="14"/>
        <v>002</v>
      </c>
      <c r="E843" s="6" t="str">
        <f>"黄竹音"</f>
        <v>黄竹音</v>
      </c>
      <c r="F843" s="6" t="str">
        <f>"202311182924"</f>
        <v>202311182924</v>
      </c>
      <c r="G843" s="7">
        <v>61</v>
      </c>
      <c r="H843" s="8">
        <v>68</v>
      </c>
      <c r="I843" s="5"/>
    </row>
    <row r="844" spans="1:9" ht="24.75" customHeight="1">
      <c r="A844" s="5">
        <v>841</v>
      </c>
      <c r="B844" s="6" t="s">
        <v>11</v>
      </c>
      <c r="C844" s="6" t="s">
        <v>15</v>
      </c>
      <c r="D844" s="6" t="str">
        <f t="shared" si="14"/>
        <v>002</v>
      </c>
      <c r="E844" s="6" t="str">
        <f>"胡恺睿"</f>
        <v>胡恺睿</v>
      </c>
      <c r="F844" s="6" t="str">
        <f>"202311182826"</f>
        <v>202311182826</v>
      </c>
      <c r="G844" s="7">
        <v>60.75</v>
      </c>
      <c r="H844" s="8">
        <v>69</v>
      </c>
      <c r="I844" s="5"/>
    </row>
    <row r="845" spans="1:9" ht="24.75" customHeight="1">
      <c r="A845" s="5">
        <v>842</v>
      </c>
      <c r="B845" s="6" t="s">
        <v>11</v>
      </c>
      <c r="C845" s="6" t="s">
        <v>15</v>
      </c>
      <c r="D845" s="6" t="str">
        <f t="shared" si="14"/>
        <v>002</v>
      </c>
      <c r="E845" s="6" t="str">
        <f>"许福梅"</f>
        <v>许福梅</v>
      </c>
      <c r="F845" s="6" t="str">
        <f>"202311183117"</f>
        <v>202311183117</v>
      </c>
      <c r="G845" s="7">
        <v>60.75</v>
      </c>
      <c r="H845" s="8">
        <v>69</v>
      </c>
      <c r="I845" s="5"/>
    </row>
    <row r="846" spans="1:9" ht="24.75" customHeight="1">
      <c r="A846" s="5">
        <v>843</v>
      </c>
      <c r="B846" s="6" t="s">
        <v>11</v>
      </c>
      <c r="C846" s="6" t="s">
        <v>15</v>
      </c>
      <c r="D846" s="6" t="str">
        <f t="shared" si="14"/>
        <v>002</v>
      </c>
      <c r="E846" s="6" t="str">
        <f>"符贤娥"</f>
        <v>符贤娥</v>
      </c>
      <c r="F846" s="6" t="str">
        <f>"202311183121"</f>
        <v>202311183121</v>
      </c>
      <c r="G846" s="7">
        <v>60.75</v>
      </c>
      <c r="H846" s="8">
        <v>69</v>
      </c>
      <c r="I846" s="5"/>
    </row>
    <row r="847" spans="1:9" ht="24.75" customHeight="1">
      <c r="A847" s="5">
        <v>844</v>
      </c>
      <c r="B847" s="6" t="s">
        <v>11</v>
      </c>
      <c r="C847" s="6" t="s">
        <v>15</v>
      </c>
      <c r="D847" s="6" t="str">
        <f t="shared" si="14"/>
        <v>002</v>
      </c>
      <c r="E847" s="6" t="str">
        <f>"吴佳怡"</f>
        <v>吴佳怡</v>
      </c>
      <c r="F847" s="6" t="str">
        <f>"202311182822"</f>
        <v>202311182822</v>
      </c>
      <c r="G847" s="7">
        <v>60.5</v>
      </c>
      <c r="H847" s="8">
        <v>72</v>
      </c>
      <c r="I847" s="5"/>
    </row>
    <row r="848" spans="1:9" ht="24.75" customHeight="1">
      <c r="A848" s="5">
        <v>845</v>
      </c>
      <c r="B848" s="6" t="s">
        <v>11</v>
      </c>
      <c r="C848" s="6" t="s">
        <v>15</v>
      </c>
      <c r="D848" s="6" t="str">
        <f t="shared" si="14"/>
        <v>002</v>
      </c>
      <c r="E848" s="6" t="str">
        <f>"杨鹏敏"</f>
        <v>杨鹏敏</v>
      </c>
      <c r="F848" s="6" t="str">
        <f>"202311183202"</f>
        <v>202311183202</v>
      </c>
      <c r="G848" s="7">
        <v>60.5</v>
      </c>
      <c r="H848" s="8">
        <v>72</v>
      </c>
      <c r="I848" s="5"/>
    </row>
    <row r="849" spans="1:9" ht="24.75" customHeight="1">
      <c r="A849" s="5">
        <v>846</v>
      </c>
      <c r="B849" s="6" t="s">
        <v>11</v>
      </c>
      <c r="C849" s="6" t="s">
        <v>15</v>
      </c>
      <c r="D849" s="6" t="str">
        <f t="shared" si="14"/>
        <v>002</v>
      </c>
      <c r="E849" s="6" t="str">
        <f>"王磊"</f>
        <v>王磊</v>
      </c>
      <c r="F849" s="6" t="str">
        <f>"202311182627"</f>
        <v>202311182627</v>
      </c>
      <c r="G849" s="7">
        <v>60.25</v>
      </c>
      <c r="H849" s="8">
        <v>74</v>
      </c>
      <c r="I849" s="5"/>
    </row>
    <row r="850" spans="1:9" ht="24.75" customHeight="1">
      <c r="A850" s="5">
        <v>847</v>
      </c>
      <c r="B850" s="6" t="s">
        <v>11</v>
      </c>
      <c r="C850" s="6" t="s">
        <v>15</v>
      </c>
      <c r="D850" s="6" t="str">
        <f t="shared" si="14"/>
        <v>002</v>
      </c>
      <c r="E850" s="6" t="str">
        <f>"文少曼"</f>
        <v>文少曼</v>
      </c>
      <c r="F850" s="6" t="str">
        <f>"202311182717"</f>
        <v>202311182717</v>
      </c>
      <c r="G850" s="7">
        <v>60</v>
      </c>
      <c r="H850" s="8">
        <v>75</v>
      </c>
      <c r="I850" s="5"/>
    </row>
    <row r="851" spans="1:9" ht="24.75" customHeight="1">
      <c r="A851" s="5">
        <v>848</v>
      </c>
      <c r="B851" s="6" t="s">
        <v>11</v>
      </c>
      <c r="C851" s="6" t="s">
        <v>15</v>
      </c>
      <c r="D851" s="6" t="str">
        <f t="shared" si="14"/>
        <v>002</v>
      </c>
      <c r="E851" s="6" t="str">
        <f>"王慧怡"</f>
        <v>王慧怡</v>
      </c>
      <c r="F851" s="6" t="str">
        <f>"202311182912"</f>
        <v>202311182912</v>
      </c>
      <c r="G851" s="7">
        <v>60</v>
      </c>
      <c r="H851" s="8">
        <v>75</v>
      </c>
      <c r="I851" s="5"/>
    </row>
    <row r="852" spans="1:9" ht="24.75" customHeight="1">
      <c r="A852" s="5">
        <v>849</v>
      </c>
      <c r="B852" s="6" t="s">
        <v>11</v>
      </c>
      <c r="C852" s="6" t="s">
        <v>15</v>
      </c>
      <c r="D852" s="6" t="str">
        <f t="shared" si="14"/>
        <v>002</v>
      </c>
      <c r="E852" s="6" t="str">
        <f>"林之斌"</f>
        <v>林之斌</v>
      </c>
      <c r="F852" s="6" t="str">
        <f>"202311182808"</f>
        <v>202311182808</v>
      </c>
      <c r="G852" s="7">
        <v>59.75</v>
      </c>
      <c r="H852" s="8">
        <v>77</v>
      </c>
      <c r="I852" s="5"/>
    </row>
    <row r="853" spans="1:9" ht="24.75" customHeight="1">
      <c r="A853" s="5">
        <v>850</v>
      </c>
      <c r="B853" s="6" t="s">
        <v>11</v>
      </c>
      <c r="C853" s="6" t="s">
        <v>15</v>
      </c>
      <c r="D853" s="6" t="str">
        <f t="shared" si="14"/>
        <v>002</v>
      </c>
      <c r="E853" s="6" t="str">
        <f>"杨菊"</f>
        <v>杨菊</v>
      </c>
      <c r="F853" s="6" t="str">
        <f>"202311183006"</f>
        <v>202311183006</v>
      </c>
      <c r="G853" s="7">
        <v>59.5</v>
      </c>
      <c r="H853" s="8">
        <v>78</v>
      </c>
      <c r="I853" s="5"/>
    </row>
    <row r="854" spans="1:9" ht="24.75" customHeight="1">
      <c r="A854" s="5">
        <v>851</v>
      </c>
      <c r="B854" s="6" t="s">
        <v>11</v>
      </c>
      <c r="C854" s="6" t="s">
        <v>15</v>
      </c>
      <c r="D854" s="6" t="str">
        <f t="shared" si="14"/>
        <v>002</v>
      </c>
      <c r="E854" s="6" t="str">
        <f>"王丹花"</f>
        <v>王丹花</v>
      </c>
      <c r="F854" s="6" t="str">
        <f>"202311183010"</f>
        <v>202311183010</v>
      </c>
      <c r="G854" s="7">
        <v>59.5</v>
      </c>
      <c r="H854" s="8">
        <v>78</v>
      </c>
      <c r="I854" s="5"/>
    </row>
    <row r="855" spans="1:9" ht="24.75" customHeight="1">
      <c r="A855" s="5">
        <v>852</v>
      </c>
      <c r="B855" s="6" t="s">
        <v>11</v>
      </c>
      <c r="C855" s="6" t="s">
        <v>15</v>
      </c>
      <c r="D855" s="6" t="str">
        <f t="shared" si="14"/>
        <v>002</v>
      </c>
      <c r="E855" s="6" t="str">
        <f>"李诗婕"</f>
        <v>李诗婕</v>
      </c>
      <c r="F855" s="6" t="str">
        <f>"202311183130"</f>
        <v>202311183130</v>
      </c>
      <c r="G855" s="7">
        <v>59.5</v>
      </c>
      <c r="H855" s="8">
        <v>78</v>
      </c>
      <c r="I855" s="5"/>
    </row>
    <row r="856" spans="1:9" ht="24.75" customHeight="1">
      <c r="A856" s="5">
        <v>853</v>
      </c>
      <c r="B856" s="6" t="s">
        <v>11</v>
      </c>
      <c r="C856" s="6" t="s">
        <v>15</v>
      </c>
      <c r="D856" s="6" t="str">
        <f t="shared" si="14"/>
        <v>002</v>
      </c>
      <c r="E856" s="6" t="str">
        <f>"田红梅"</f>
        <v>田红梅</v>
      </c>
      <c r="F856" s="6" t="str">
        <f>"202311183214"</f>
        <v>202311183214</v>
      </c>
      <c r="G856" s="7">
        <v>59.5</v>
      </c>
      <c r="H856" s="8">
        <v>78</v>
      </c>
      <c r="I856" s="5"/>
    </row>
    <row r="857" spans="1:9" ht="24.75" customHeight="1">
      <c r="A857" s="5">
        <v>854</v>
      </c>
      <c r="B857" s="6" t="s">
        <v>11</v>
      </c>
      <c r="C857" s="6" t="s">
        <v>15</v>
      </c>
      <c r="D857" s="6" t="str">
        <f t="shared" si="14"/>
        <v>002</v>
      </c>
      <c r="E857" s="6" t="str">
        <f>"余永任"</f>
        <v>余永任</v>
      </c>
      <c r="F857" s="6" t="str">
        <f>"202311182712"</f>
        <v>202311182712</v>
      </c>
      <c r="G857" s="7">
        <v>59.25</v>
      </c>
      <c r="H857" s="8">
        <v>82</v>
      </c>
      <c r="I857" s="5"/>
    </row>
    <row r="858" spans="1:9" ht="24.75" customHeight="1">
      <c r="A858" s="5">
        <v>855</v>
      </c>
      <c r="B858" s="6" t="s">
        <v>11</v>
      </c>
      <c r="C858" s="6" t="s">
        <v>15</v>
      </c>
      <c r="D858" s="6" t="str">
        <f t="shared" si="14"/>
        <v>002</v>
      </c>
      <c r="E858" s="6" t="str">
        <f>"沈灵雪"</f>
        <v>沈灵雪</v>
      </c>
      <c r="F858" s="6" t="str">
        <f>"202311183011"</f>
        <v>202311183011</v>
      </c>
      <c r="G858" s="7">
        <v>59</v>
      </c>
      <c r="H858" s="8">
        <v>83</v>
      </c>
      <c r="I858" s="5"/>
    </row>
    <row r="859" spans="1:9" ht="24.75" customHeight="1">
      <c r="A859" s="5">
        <v>856</v>
      </c>
      <c r="B859" s="6" t="s">
        <v>11</v>
      </c>
      <c r="C859" s="6" t="s">
        <v>15</v>
      </c>
      <c r="D859" s="6" t="str">
        <f t="shared" si="14"/>
        <v>002</v>
      </c>
      <c r="E859" s="6" t="str">
        <f>"柳美娥"</f>
        <v>柳美娥</v>
      </c>
      <c r="F859" s="6" t="str">
        <f>"202311183019"</f>
        <v>202311183019</v>
      </c>
      <c r="G859" s="7">
        <v>58</v>
      </c>
      <c r="H859" s="8">
        <v>84</v>
      </c>
      <c r="I859" s="5"/>
    </row>
    <row r="860" spans="1:9" ht="24.75" customHeight="1">
      <c r="A860" s="5">
        <v>857</v>
      </c>
      <c r="B860" s="6" t="s">
        <v>11</v>
      </c>
      <c r="C860" s="6" t="s">
        <v>15</v>
      </c>
      <c r="D860" s="6" t="str">
        <f t="shared" si="14"/>
        <v>002</v>
      </c>
      <c r="E860" s="6" t="str">
        <f>"邹灵灵"</f>
        <v>邹灵灵</v>
      </c>
      <c r="F860" s="6" t="str">
        <f>"202311183029"</f>
        <v>202311183029</v>
      </c>
      <c r="G860" s="7">
        <v>58</v>
      </c>
      <c r="H860" s="8">
        <v>84</v>
      </c>
      <c r="I860" s="5"/>
    </row>
    <row r="861" spans="1:9" ht="24.75" customHeight="1">
      <c r="A861" s="5">
        <v>858</v>
      </c>
      <c r="B861" s="6" t="s">
        <v>11</v>
      </c>
      <c r="C861" s="6" t="s">
        <v>15</v>
      </c>
      <c r="D861" s="6" t="str">
        <f t="shared" si="14"/>
        <v>002</v>
      </c>
      <c r="E861" s="6" t="str">
        <f>"颜礼智"</f>
        <v>颜礼智</v>
      </c>
      <c r="F861" s="6" t="str">
        <f>"202311182803"</f>
        <v>202311182803</v>
      </c>
      <c r="G861" s="7">
        <v>57.75</v>
      </c>
      <c r="H861" s="8">
        <v>86</v>
      </c>
      <c r="I861" s="5"/>
    </row>
    <row r="862" spans="1:9" ht="24.75" customHeight="1">
      <c r="A862" s="5">
        <v>859</v>
      </c>
      <c r="B862" s="6" t="s">
        <v>11</v>
      </c>
      <c r="C862" s="6" t="s">
        <v>15</v>
      </c>
      <c r="D862" s="6" t="str">
        <f t="shared" si="14"/>
        <v>002</v>
      </c>
      <c r="E862" s="6" t="str">
        <f>"吴诗莹"</f>
        <v>吴诗莹</v>
      </c>
      <c r="F862" s="6" t="str">
        <f>"202311182714"</f>
        <v>202311182714</v>
      </c>
      <c r="G862" s="7">
        <v>57.5</v>
      </c>
      <c r="H862" s="8">
        <v>87</v>
      </c>
      <c r="I862" s="5"/>
    </row>
    <row r="863" spans="1:9" ht="24.75" customHeight="1">
      <c r="A863" s="5">
        <v>860</v>
      </c>
      <c r="B863" s="6" t="s">
        <v>11</v>
      </c>
      <c r="C863" s="6" t="s">
        <v>15</v>
      </c>
      <c r="D863" s="6" t="str">
        <f t="shared" si="14"/>
        <v>002</v>
      </c>
      <c r="E863" s="6" t="str">
        <f>"周珊"</f>
        <v>周珊</v>
      </c>
      <c r="F863" s="6" t="str">
        <f>"202311183015"</f>
        <v>202311183015</v>
      </c>
      <c r="G863" s="7">
        <v>57.5</v>
      </c>
      <c r="H863" s="8">
        <v>87</v>
      </c>
      <c r="I863" s="5"/>
    </row>
    <row r="864" spans="1:9" ht="24.75" customHeight="1">
      <c r="A864" s="5">
        <v>861</v>
      </c>
      <c r="B864" s="6" t="s">
        <v>11</v>
      </c>
      <c r="C864" s="6" t="s">
        <v>15</v>
      </c>
      <c r="D864" s="6" t="str">
        <f t="shared" si="14"/>
        <v>002</v>
      </c>
      <c r="E864" s="6" t="str">
        <f>"施报超"</f>
        <v>施报超</v>
      </c>
      <c r="F864" s="6" t="str">
        <f>"202311183208"</f>
        <v>202311183208</v>
      </c>
      <c r="G864" s="7">
        <v>57.5</v>
      </c>
      <c r="H864" s="8">
        <v>87</v>
      </c>
      <c r="I864" s="5"/>
    </row>
    <row r="865" spans="1:9" ht="24.75" customHeight="1">
      <c r="A865" s="5">
        <v>862</v>
      </c>
      <c r="B865" s="6" t="s">
        <v>11</v>
      </c>
      <c r="C865" s="6" t="s">
        <v>15</v>
      </c>
      <c r="D865" s="6" t="str">
        <f t="shared" si="14"/>
        <v>002</v>
      </c>
      <c r="E865" s="6" t="str">
        <f>"陈赛宾"</f>
        <v>陈赛宾</v>
      </c>
      <c r="F865" s="6" t="str">
        <f>"202311182713"</f>
        <v>202311182713</v>
      </c>
      <c r="G865" s="7">
        <v>56.75</v>
      </c>
      <c r="H865" s="8">
        <v>90</v>
      </c>
      <c r="I865" s="5"/>
    </row>
    <row r="866" spans="1:9" ht="24.75" customHeight="1">
      <c r="A866" s="5">
        <v>863</v>
      </c>
      <c r="B866" s="6" t="s">
        <v>11</v>
      </c>
      <c r="C866" s="6" t="s">
        <v>15</v>
      </c>
      <c r="D866" s="6" t="str">
        <f t="shared" si="14"/>
        <v>002</v>
      </c>
      <c r="E866" s="6" t="str">
        <f>"王惠"</f>
        <v>王惠</v>
      </c>
      <c r="F866" s="6" t="str">
        <f>"202311183009"</f>
        <v>202311183009</v>
      </c>
      <c r="G866" s="7">
        <v>56.75</v>
      </c>
      <c r="H866" s="8">
        <v>90</v>
      </c>
      <c r="I866" s="5"/>
    </row>
    <row r="867" spans="1:9" ht="24.75" customHeight="1">
      <c r="A867" s="5">
        <v>864</v>
      </c>
      <c r="B867" s="6" t="s">
        <v>11</v>
      </c>
      <c r="C867" s="6" t="s">
        <v>15</v>
      </c>
      <c r="D867" s="6" t="str">
        <f t="shared" si="14"/>
        <v>002</v>
      </c>
      <c r="E867" s="6" t="str">
        <f>"符海媚"</f>
        <v>符海媚</v>
      </c>
      <c r="F867" s="6" t="str">
        <f>"202311182623"</f>
        <v>202311182623</v>
      </c>
      <c r="G867" s="7">
        <v>56.5</v>
      </c>
      <c r="H867" s="8">
        <v>92</v>
      </c>
      <c r="I867" s="5"/>
    </row>
    <row r="868" spans="1:9" ht="24.75" customHeight="1">
      <c r="A868" s="5">
        <v>865</v>
      </c>
      <c r="B868" s="6" t="s">
        <v>11</v>
      </c>
      <c r="C868" s="6" t="s">
        <v>15</v>
      </c>
      <c r="D868" s="6" t="str">
        <f t="shared" si="14"/>
        <v>002</v>
      </c>
      <c r="E868" s="6" t="str">
        <f>"李佳蓉"</f>
        <v>李佳蓉</v>
      </c>
      <c r="F868" s="6" t="str">
        <f>"202311182716"</f>
        <v>202311182716</v>
      </c>
      <c r="G868" s="7">
        <v>55.75</v>
      </c>
      <c r="H868" s="8">
        <v>93</v>
      </c>
      <c r="I868" s="5"/>
    </row>
    <row r="869" spans="1:9" ht="24.75" customHeight="1">
      <c r="A869" s="5">
        <v>866</v>
      </c>
      <c r="B869" s="6" t="s">
        <v>11</v>
      </c>
      <c r="C869" s="6" t="s">
        <v>15</v>
      </c>
      <c r="D869" s="6" t="str">
        <f t="shared" si="14"/>
        <v>002</v>
      </c>
      <c r="E869" s="6" t="str">
        <f>"邢壹婷"</f>
        <v>邢壹婷</v>
      </c>
      <c r="F869" s="6" t="str">
        <f>"202311182721"</f>
        <v>202311182721</v>
      </c>
      <c r="G869" s="7">
        <v>55.75</v>
      </c>
      <c r="H869" s="8">
        <v>93</v>
      </c>
      <c r="I869" s="5"/>
    </row>
    <row r="870" spans="1:9" ht="24.75" customHeight="1">
      <c r="A870" s="5">
        <v>867</v>
      </c>
      <c r="B870" s="6" t="s">
        <v>11</v>
      </c>
      <c r="C870" s="6" t="s">
        <v>15</v>
      </c>
      <c r="D870" s="6" t="str">
        <f t="shared" si="14"/>
        <v>002</v>
      </c>
      <c r="E870" s="6" t="str">
        <f>"颜曦"</f>
        <v>颜曦</v>
      </c>
      <c r="F870" s="6" t="str">
        <f>"202311182817"</f>
        <v>202311182817</v>
      </c>
      <c r="G870" s="7">
        <v>55.75</v>
      </c>
      <c r="H870" s="8">
        <v>93</v>
      </c>
      <c r="I870" s="5"/>
    </row>
    <row r="871" spans="1:9" ht="24.75" customHeight="1">
      <c r="A871" s="5">
        <v>868</v>
      </c>
      <c r="B871" s="6" t="s">
        <v>11</v>
      </c>
      <c r="C871" s="6" t="s">
        <v>15</v>
      </c>
      <c r="D871" s="6" t="str">
        <f t="shared" si="14"/>
        <v>002</v>
      </c>
      <c r="E871" s="6" t="str">
        <f>"王露露"</f>
        <v>王露露</v>
      </c>
      <c r="F871" s="6" t="str">
        <f>"202311182821"</f>
        <v>202311182821</v>
      </c>
      <c r="G871" s="7">
        <v>55.75</v>
      </c>
      <c r="H871" s="8">
        <v>93</v>
      </c>
      <c r="I871" s="5"/>
    </row>
    <row r="872" spans="1:9" ht="24.75" customHeight="1">
      <c r="A872" s="5">
        <v>869</v>
      </c>
      <c r="B872" s="6" t="s">
        <v>11</v>
      </c>
      <c r="C872" s="6" t="s">
        <v>15</v>
      </c>
      <c r="D872" s="6" t="str">
        <f t="shared" si="14"/>
        <v>002</v>
      </c>
      <c r="E872" s="6" t="str">
        <f>"黄来姑"</f>
        <v>黄来姑</v>
      </c>
      <c r="F872" s="6" t="str">
        <f>"202311183103"</f>
        <v>202311183103</v>
      </c>
      <c r="G872" s="7">
        <v>55.5</v>
      </c>
      <c r="H872" s="8">
        <v>97</v>
      </c>
      <c r="I872" s="5"/>
    </row>
    <row r="873" spans="1:9" ht="24.75" customHeight="1">
      <c r="A873" s="5">
        <v>870</v>
      </c>
      <c r="B873" s="6" t="s">
        <v>11</v>
      </c>
      <c r="C873" s="6" t="s">
        <v>15</v>
      </c>
      <c r="D873" s="6" t="str">
        <f t="shared" si="14"/>
        <v>002</v>
      </c>
      <c r="E873" s="6" t="str">
        <f>"李金如"</f>
        <v>李金如</v>
      </c>
      <c r="F873" s="6" t="str">
        <f>"202311182802"</f>
        <v>202311182802</v>
      </c>
      <c r="G873" s="7">
        <v>55.25</v>
      </c>
      <c r="H873" s="8">
        <v>98</v>
      </c>
      <c r="I873" s="5"/>
    </row>
    <row r="874" spans="1:9" ht="24.75" customHeight="1">
      <c r="A874" s="5">
        <v>871</v>
      </c>
      <c r="B874" s="6" t="s">
        <v>11</v>
      </c>
      <c r="C874" s="6" t="s">
        <v>15</v>
      </c>
      <c r="D874" s="6" t="str">
        <f t="shared" si="14"/>
        <v>002</v>
      </c>
      <c r="E874" s="6" t="str">
        <f>"范金兰"</f>
        <v>范金兰</v>
      </c>
      <c r="F874" s="6" t="str">
        <f>"202311182707"</f>
        <v>202311182707</v>
      </c>
      <c r="G874" s="7">
        <v>55</v>
      </c>
      <c r="H874" s="8">
        <v>99</v>
      </c>
      <c r="I874" s="5"/>
    </row>
    <row r="875" spans="1:9" ht="24.75" customHeight="1">
      <c r="A875" s="5">
        <v>872</v>
      </c>
      <c r="B875" s="6" t="s">
        <v>11</v>
      </c>
      <c r="C875" s="6" t="s">
        <v>15</v>
      </c>
      <c r="D875" s="6" t="str">
        <f t="shared" si="14"/>
        <v>002</v>
      </c>
      <c r="E875" s="6" t="str">
        <f>"徐一丹"</f>
        <v>徐一丹</v>
      </c>
      <c r="F875" s="6" t="str">
        <f>"202311183008"</f>
        <v>202311183008</v>
      </c>
      <c r="G875" s="7">
        <v>55</v>
      </c>
      <c r="H875" s="8">
        <v>99</v>
      </c>
      <c r="I875" s="5"/>
    </row>
    <row r="876" spans="1:9" ht="24.75" customHeight="1">
      <c r="A876" s="5">
        <v>873</v>
      </c>
      <c r="B876" s="6" t="s">
        <v>11</v>
      </c>
      <c r="C876" s="6" t="s">
        <v>15</v>
      </c>
      <c r="D876" s="6" t="str">
        <f t="shared" si="14"/>
        <v>002</v>
      </c>
      <c r="E876" s="6" t="str">
        <f>"周美燕"</f>
        <v>周美燕</v>
      </c>
      <c r="F876" s="6" t="str">
        <f>"202311182722"</f>
        <v>202311182722</v>
      </c>
      <c r="G876" s="7">
        <v>54.5</v>
      </c>
      <c r="H876" s="8">
        <v>101</v>
      </c>
      <c r="I876" s="5"/>
    </row>
    <row r="877" spans="1:9" ht="24.75" customHeight="1">
      <c r="A877" s="5">
        <v>874</v>
      </c>
      <c r="B877" s="6" t="s">
        <v>11</v>
      </c>
      <c r="C877" s="6" t="s">
        <v>15</v>
      </c>
      <c r="D877" s="6" t="str">
        <f t="shared" si="14"/>
        <v>002</v>
      </c>
      <c r="E877" s="6" t="str">
        <f>"袁浩然"</f>
        <v>袁浩然</v>
      </c>
      <c r="F877" s="6" t="str">
        <f>"202311182907"</f>
        <v>202311182907</v>
      </c>
      <c r="G877" s="7">
        <v>54.25</v>
      </c>
      <c r="H877" s="8">
        <v>102</v>
      </c>
      <c r="I877" s="5"/>
    </row>
    <row r="878" spans="1:9" ht="24.75" customHeight="1">
      <c r="A878" s="5">
        <v>875</v>
      </c>
      <c r="B878" s="6" t="s">
        <v>11</v>
      </c>
      <c r="C878" s="6" t="s">
        <v>15</v>
      </c>
      <c r="D878" s="6" t="str">
        <f t="shared" si="14"/>
        <v>002</v>
      </c>
      <c r="E878" s="6" t="str">
        <f>"苏茹"</f>
        <v>苏茹</v>
      </c>
      <c r="F878" s="6" t="str">
        <f>"202311182818"</f>
        <v>202311182818</v>
      </c>
      <c r="G878" s="7">
        <v>54</v>
      </c>
      <c r="H878" s="8">
        <v>103</v>
      </c>
      <c r="I878" s="5"/>
    </row>
    <row r="879" spans="1:9" ht="24.75" customHeight="1">
      <c r="A879" s="5">
        <v>876</v>
      </c>
      <c r="B879" s="6" t="s">
        <v>11</v>
      </c>
      <c r="C879" s="6" t="s">
        <v>15</v>
      </c>
      <c r="D879" s="6" t="str">
        <f t="shared" si="14"/>
        <v>002</v>
      </c>
      <c r="E879" s="6" t="str">
        <f>"曾华南"</f>
        <v>曾华南</v>
      </c>
      <c r="F879" s="6" t="str">
        <f>"202311182801"</f>
        <v>202311182801</v>
      </c>
      <c r="G879" s="7">
        <v>53.75</v>
      </c>
      <c r="H879" s="8">
        <v>104</v>
      </c>
      <c r="I879" s="5"/>
    </row>
    <row r="880" spans="1:9" ht="24.75" customHeight="1">
      <c r="A880" s="5">
        <v>877</v>
      </c>
      <c r="B880" s="6" t="s">
        <v>11</v>
      </c>
      <c r="C880" s="6" t="s">
        <v>15</v>
      </c>
      <c r="D880" s="6" t="str">
        <f t="shared" si="14"/>
        <v>002</v>
      </c>
      <c r="E880" s="6" t="str">
        <f>"胡娴"</f>
        <v>胡娴</v>
      </c>
      <c r="F880" s="6" t="str">
        <f>"202311183027"</f>
        <v>202311183027</v>
      </c>
      <c r="G880" s="7">
        <v>53.75</v>
      </c>
      <c r="H880" s="8">
        <v>104</v>
      </c>
      <c r="I880" s="5"/>
    </row>
    <row r="881" spans="1:9" ht="24.75" customHeight="1">
      <c r="A881" s="5">
        <v>878</v>
      </c>
      <c r="B881" s="6" t="s">
        <v>11</v>
      </c>
      <c r="C881" s="6" t="s">
        <v>15</v>
      </c>
      <c r="D881" s="6" t="str">
        <f t="shared" si="14"/>
        <v>002</v>
      </c>
      <c r="E881" s="6" t="str">
        <f>"甘妮"</f>
        <v>甘妮</v>
      </c>
      <c r="F881" s="6" t="str">
        <f>"202311182711"</f>
        <v>202311182711</v>
      </c>
      <c r="G881" s="7">
        <v>53.5</v>
      </c>
      <c r="H881" s="8">
        <v>106</v>
      </c>
      <c r="I881" s="5"/>
    </row>
    <row r="882" spans="1:9" ht="24.75" customHeight="1">
      <c r="A882" s="5">
        <v>879</v>
      </c>
      <c r="B882" s="6" t="s">
        <v>11</v>
      </c>
      <c r="C882" s="6" t="s">
        <v>15</v>
      </c>
      <c r="D882" s="6" t="str">
        <f t="shared" si="14"/>
        <v>002</v>
      </c>
      <c r="E882" s="6" t="str">
        <f>"童惠增"</f>
        <v>童惠增</v>
      </c>
      <c r="F882" s="6" t="str">
        <f>"202311182730"</f>
        <v>202311182730</v>
      </c>
      <c r="G882" s="7">
        <v>53.25</v>
      </c>
      <c r="H882" s="8">
        <v>107</v>
      </c>
      <c r="I882" s="5"/>
    </row>
    <row r="883" spans="1:9" ht="24.75" customHeight="1">
      <c r="A883" s="5">
        <v>880</v>
      </c>
      <c r="B883" s="6" t="s">
        <v>11</v>
      </c>
      <c r="C883" s="6" t="s">
        <v>15</v>
      </c>
      <c r="D883" s="6" t="str">
        <f t="shared" si="14"/>
        <v>002</v>
      </c>
      <c r="E883" s="6" t="str">
        <f>"韩美仙"</f>
        <v>韩美仙</v>
      </c>
      <c r="F883" s="6" t="str">
        <f>"202311183003"</f>
        <v>202311183003</v>
      </c>
      <c r="G883" s="7">
        <v>53.25</v>
      </c>
      <c r="H883" s="8">
        <v>107</v>
      </c>
      <c r="I883" s="5"/>
    </row>
    <row r="884" spans="1:9" ht="24.75" customHeight="1">
      <c r="A884" s="5">
        <v>881</v>
      </c>
      <c r="B884" s="6" t="s">
        <v>11</v>
      </c>
      <c r="C884" s="6" t="s">
        <v>15</v>
      </c>
      <c r="D884" s="6" t="str">
        <f t="shared" si="14"/>
        <v>002</v>
      </c>
      <c r="E884" s="6" t="str">
        <f>"伍甜甜"</f>
        <v>伍甜甜</v>
      </c>
      <c r="F884" s="6" t="str">
        <f>"202311183113"</f>
        <v>202311183113</v>
      </c>
      <c r="G884" s="7">
        <v>53.25</v>
      </c>
      <c r="H884" s="8">
        <v>107</v>
      </c>
      <c r="I884" s="5"/>
    </row>
    <row r="885" spans="1:9" ht="24.75" customHeight="1">
      <c r="A885" s="5">
        <v>882</v>
      </c>
      <c r="B885" s="6" t="s">
        <v>11</v>
      </c>
      <c r="C885" s="6" t="s">
        <v>15</v>
      </c>
      <c r="D885" s="6" t="str">
        <f t="shared" si="14"/>
        <v>002</v>
      </c>
      <c r="E885" s="6" t="str">
        <f>"黎健柳"</f>
        <v>黎健柳</v>
      </c>
      <c r="F885" s="6" t="str">
        <f>"202311182919"</f>
        <v>202311182919</v>
      </c>
      <c r="G885" s="7">
        <v>51.75</v>
      </c>
      <c r="H885" s="8">
        <v>110</v>
      </c>
      <c r="I885" s="5"/>
    </row>
    <row r="886" spans="1:9" ht="24.75" customHeight="1">
      <c r="A886" s="5">
        <v>883</v>
      </c>
      <c r="B886" s="6" t="s">
        <v>11</v>
      </c>
      <c r="C886" s="6" t="s">
        <v>15</v>
      </c>
      <c r="D886" s="6" t="str">
        <f t="shared" si="14"/>
        <v>002</v>
      </c>
      <c r="E886" s="6" t="str">
        <f>"叶艳"</f>
        <v>叶艳</v>
      </c>
      <c r="F886" s="6" t="str">
        <f>"202311183110"</f>
        <v>202311183110</v>
      </c>
      <c r="G886" s="7">
        <v>51.5</v>
      </c>
      <c r="H886" s="8">
        <v>111</v>
      </c>
      <c r="I886" s="5"/>
    </row>
    <row r="887" spans="1:9" ht="24.75" customHeight="1">
      <c r="A887" s="5">
        <v>884</v>
      </c>
      <c r="B887" s="6" t="s">
        <v>11</v>
      </c>
      <c r="C887" s="6" t="s">
        <v>15</v>
      </c>
      <c r="D887" s="6" t="str">
        <f t="shared" si="14"/>
        <v>002</v>
      </c>
      <c r="E887" s="6" t="str">
        <f>"叶才泰"</f>
        <v>叶才泰</v>
      </c>
      <c r="F887" s="6" t="str">
        <f>"202311182827"</f>
        <v>202311182827</v>
      </c>
      <c r="G887" s="7">
        <v>50</v>
      </c>
      <c r="H887" s="8">
        <v>112</v>
      </c>
      <c r="I887" s="5"/>
    </row>
    <row r="888" spans="1:9" ht="24.75" customHeight="1">
      <c r="A888" s="5">
        <v>885</v>
      </c>
      <c r="B888" s="6" t="s">
        <v>11</v>
      </c>
      <c r="C888" s="6" t="s">
        <v>15</v>
      </c>
      <c r="D888" s="6" t="str">
        <f t="shared" si="14"/>
        <v>002</v>
      </c>
      <c r="E888" s="6" t="str">
        <f>"林曼云"</f>
        <v>林曼云</v>
      </c>
      <c r="F888" s="6" t="str">
        <f>"202311182911"</f>
        <v>202311182911</v>
      </c>
      <c r="G888" s="7">
        <v>50</v>
      </c>
      <c r="H888" s="8">
        <v>112</v>
      </c>
      <c r="I888" s="5"/>
    </row>
    <row r="889" spans="1:9" ht="24.75" customHeight="1">
      <c r="A889" s="5">
        <v>886</v>
      </c>
      <c r="B889" s="6" t="s">
        <v>11</v>
      </c>
      <c r="C889" s="6" t="s">
        <v>15</v>
      </c>
      <c r="D889" s="6" t="str">
        <f t="shared" si="14"/>
        <v>002</v>
      </c>
      <c r="E889" s="6" t="str">
        <f>"陈宗岱"</f>
        <v>陈宗岱</v>
      </c>
      <c r="F889" s="6" t="str">
        <f>"202311183215"</f>
        <v>202311183215</v>
      </c>
      <c r="G889" s="7">
        <v>50</v>
      </c>
      <c r="H889" s="8">
        <v>112</v>
      </c>
      <c r="I889" s="5"/>
    </row>
    <row r="890" spans="1:9" ht="24.75" customHeight="1">
      <c r="A890" s="5">
        <v>887</v>
      </c>
      <c r="B890" s="6" t="s">
        <v>11</v>
      </c>
      <c r="C890" s="6" t="s">
        <v>15</v>
      </c>
      <c r="D890" s="6" t="str">
        <f t="shared" si="14"/>
        <v>002</v>
      </c>
      <c r="E890" s="6" t="str">
        <f>"吴倩玲"</f>
        <v>吴倩玲</v>
      </c>
      <c r="F890" s="6" t="str">
        <f>"202311182727"</f>
        <v>202311182727</v>
      </c>
      <c r="G890" s="7">
        <v>49.75</v>
      </c>
      <c r="H890" s="8">
        <v>115</v>
      </c>
      <c r="I890" s="5"/>
    </row>
    <row r="891" spans="1:9" ht="24.75" customHeight="1">
      <c r="A891" s="5">
        <v>888</v>
      </c>
      <c r="B891" s="6" t="s">
        <v>11</v>
      </c>
      <c r="C891" s="6" t="s">
        <v>15</v>
      </c>
      <c r="D891" s="6" t="str">
        <f t="shared" si="14"/>
        <v>002</v>
      </c>
      <c r="E891" s="6" t="str">
        <f>"盛萌"</f>
        <v>盛萌</v>
      </c>
      <c r="F891" s="6" t="str">
        <f>"202311182701"</f>
        <v>202311182701</v>
      </c>
      <c r="G891" s="7">
        <v>49.25</v>
      </c>
      <c r="H891" s="8">
        <v>116</v>
      </c>
      <c r="I891" s="5"/>
    </row>
    <row r="892" spans="1:9" ht="24.75" customHeight="1">
      <c r="A892" s="5">
        <v>889</v>
      </c>
      <c r="B892" s="6" t="s">
        <v>11</v>
      </c>
      <c r="C892" s="6" t="s">
        <v>15</v>
      </c>
      <c r="D892" s="6" t="str">
        <f t="shared" si="14"/>
        <v>002</v>
      </c>
      <c r="E892" s="6" t="str">
        <f>"李婧丰"</f>
        <v>李婧丰</v>
      </c>
      <c r="F892" s="6" t="str">
        <f>"202311182813"</f>
        <v>202311182813</v>
      </c>
      <c r="G892" s="7">
        <v>49</v>
      </c>
      <c r="H892" s="8">
        <v>117</v>
      </c>
      <c r="I892" s="5"/>
    </row>
    <row r="893" spans="1:9" ht="24.75" customHeight="1">
      <c r="A893" s="5">
        <v>890</v>
      </c>
      <c r="B893" s="6" t="s">
        <v>11</v>
      </c>
      <c r="C893" s="6" t="s">
        <v>15</v>
      </c>
      <c r="D893" s="6" t="str">
        <f t="shared" si="14"/>
        <v>002</v>
      </c>
      <c r="E893" s="6" t="str">
        <f>"张处楷"</f>
        <v>张处楷</v>
      </c>
      <c r="F893" s="6" t="str">
        <f>"202311183111"</f>
        <v>202311183111</v>
      </c>
      <c r="G893" s="7">
        <v>48.75</v>
      </c>
      <c r="H893" s="8">
        <v>118</v>
      </c>
      <c r="I893" s="5"/>
    </row>
    <row r="894" spans="1:9" ht="24.75" customHeight="1">
      <c r="A894" s="5">
        <v>891</v>
      </c>
      <c r="B894" s="6" t="s">
        <v>11</v>
      </c>
      <c r="C894" s="6" t="s">
        <v>15</v>
      </c>
      <c r="D894" s="6" t="str">
        <f t="shared" si="14"/>
        <v>002</v>
      </c>
      <c r="E894" s="6" t="str">
        <f>"何雯雯"</f>
        <v>何雯雯</v>
      </c>
      <c r="F894" s="6" t="str">
        <f>"202311182630"</f>
        <v>202311182630</v>
      </c>
      <c r="G894" s="7">
        <v>47.75</v>
      </c>
      <c r="H894" s="8">
        <v>119</v>
      </c>
      <c r="I894" s="5"/>
    </row>
    <row r="895" spans="1:9" ht="24.75" customHeight="1">
      <c r="A895" s="5">
        <v>892</v>
      </c>
      <c r="B895" s="6" t="s">
        <v>11</v>
      </c>
      <c r="C895" s="6" t="s">
        <v>15</v>
      </c>
      <c r="D895" s="6" t="str">
        <f t="shared" si="14"/>
        <v>002</v>
      </c>
      <c r="E895" s="6" t="str">
        <f>"曾彬彬"</f>
        <v>曾彬彬</v>
      </c>
      <c r="F895" s="6" t="str">
        <f>"202311183026"</f>
        <v>202311183026</v>
      </c>
      <c r="G895" s="7">
        <v>47.5</v>
      </c>
      <c r="H895" s="8">
        <v>120</v>
      </c>
      <c r="I895" s="5"/>
    </row>
    <row r="896" spans="1:9" ht="24.75" customHeight="1">
      <c r="A896" s="5">
        <v>893</v>
      </c>
      <c r="B896" s="6" t="s">
        <v>11</v>
      </c>
      <c r="C896" s="6" t="s">
        <v>15</v>
      </c>
      <c r="D896" s="6" t="str">
        <f t="shared" si="14"/>
        <v>002</v>
      </c>
      <c r="E896" s="6" t="str">
        <f>"吴淑岸"</f>
        <v>吴淑岸</v>
      </c>
      <c r="F896" s="6" t="str">
        <f>"202311182809"</f>
        <v>202311182809</v>
      </c>
      <c r="G896" s="7">
        <v>47.25</v>
      </c>
      <c r="H896" s="8">
        <v>121</v>
      </c>
      <c r="I896" s="5"/>
    </row>
    <row r="897" spans="1:9" ht="24.75" customHeight="1">
      <c r="A897" s="5">
        <v>894</v>
      </c>
      <c r="B897" s="6" t="s">
        <v>11</v>
      </c>
      <c r="C897" s="6" t="s">
        <v>15</v>
      </c>
      <c r="D897" s="6" t="str">
        <f t="shared" si="14"/>
        <v>002</v>
      </c>
      <c r="E897" s="6" t="str">
        <f>"林华茜"</f>
        <v>林华茜</v>
      </c>
      <c r="F897" s="6" t="str">
        <f>"202311183115"</f>
        <v>202311183115</v>
      </c>
      <c r="G897" s="7">
        <v>46.5</v>
      </c>
      <c r="H897" s="8">
        <v>122</v>
      </c>
      <c r="I897" s="5"/>
    </row>
    <row r="898" spans="1:9" ht="24.75" customHeight="1">
      <c r="A898" s="5">
        <v>895</v>
      </c>
      <c r="B898" s="6" t="s">
        <v>11</v>
      </c>
      <c r="C898" s="6" t="s">
        <v>15</v>
      </c>
      <c r="D898" s="6" t="str">
        <f t="shared" si="14"/>
        <v>002</v>
      </c>
      <c r="E898" s="6" t="str">
        <f>"王蓝婧"</f>
        <v>王蓝婧</v>
      </c>
      <c r="F898" s="6" t="str">
        <f>"202311183013"</f>
        <v>202311183013</v>
      </c>
      <c r="G898" s="7">
        <v>45.5</v>
      </c>
      <c r="H898" s="8">
        <v>123</v>
      </c>
      <c r="I898" s="5"/>
    </row>
    <row r="899" spans="1:9" ht="24.75" customHeight="1">
      <c r="A899" s="5">
        <v>896</v>
      </c>
      <c r="B899" s="6" t="s">
        <v>11</v>
      </c>
      <c r="C899" s="6" t="s">
        <v>15</v>
      </c>
      <c r="D899" s="6" t="str">
        <f t="shared" si="14"/>
        <v>002</v>
      </c>
      <c r="E899" s="6" t="str">
        <f>"唐玉善"</f>
        <v>唐玉善</v>
      </c>
      <c r="F899" s="6" t="str">
        <f>"202311183218"</f>
        <v>202311183218</v>
      </c>
      <c r="G899" s="7">
        <v>41.25</v>
      </c>
      <c r="H899" s="8">
        <v>124</v>
      </c>
      <c r="I899" s="5"/>
    </row>
    <row r="900" spans="1:9" ht="24.75" customHeight="1">
      <c r="A900" s="5">
        <v>897</v>
      </c>
      <c r="B900" s="6" t="s">
        <v>11</v>
      </c>
      <c r="C900" s="6" t="s">
        <v>15</v>
      </c>
      <c r="D900" s="6" t="str">
        <f t="shared" si="14"/>
        <v>002</v>
      </c>
      <c r="E900" s="6" t="str">
        <f>"陈健海"</f>
        <v>陈健海</v>
      </c>
      <c r="F900" s="6" t="str">
        <f>"202311182918"</f>
        <v>202311182918</v>
      </c>
      <c r="G900" s="7">
        <v>40.25</v>
      </c>
      <c r="H900" s="8">
        <v>125</v>
      </c>
      <c r="I900" s="5"/>
    </row>
    <row r="901" spans="1:9" ht="24.75" customHeight="1">
      <c r="A901" s="5">
        <v>898</v>
      </c>
      <c r="B901" s="6" t="s">
        <v>11</v>
      </c>
      <c r="C901" s="6" t="s">
        <v>15</v>
      </c>
      <c r="D901" s="6" t="str">
        <f t="shared" si="14"/>
        <v>002</v>
      </c>
      <c r="E901" s="6" t="str">
        <f>"黄雨萱"</f>
        <v>黄雨萱</v>
      </c>
      <c r="F901" s="6" t="str">
        <f>"202311182728"</f>
        <v>202311182728</v>
      </c>
      <c r="G901" s="7">
        <v>34.75</v>
      </c>
      <c r="H901" s="8">
        <v>126</v>
      </c>
      <c r="I901" s="5"/>
    </row>
    <row r="902" spans="1:9" ht="24.75" customHeight="1">
      <c r="A902" s="5">
        <v>899</v>
      </c>
      <c r="B902" s="6" t="s">
        <v>11</v>
      </c>
      <c r="C902" s="6" t="s">
        <v>15</v>
      </c>
      <c r="D902" s="6" t="str">
        <f t="shared" si="14"/>
        <v>002</v>
      </c>
      <c r="E902" s="6" t="str">
        <f>"朱盛雷"</f>
        <v>朱盛雷</v>
      </c>
      <c r="F902" s="6" t="str">
        <f>"202311182725"</f>
        <v>202311182725</v>
      </c>
      <c r="G902" s="7">
        <v>29</v>
      </c>
      <c r="H902" s="8">
        <v>127</v>
      </c>
      <c r="I902" s="5"/>
    </row>
    <row r="903" spans="1:9" ht="24.75" customHeight="1">
      <c r="A903" s="5">
        <v>900</v>
      </c>
      <c r="B903" s="6" t="s">
        <v>11</v>
      </c>
      <c r="C903" s="6" t="s">
        <v>15</v>
      </c>
      <c r="D903" s="6" t="str">
        <f t="shared" si="14"/>
        <v>002</v>
      </c>
      <c r="E903" s="6" t="str">
        <f>"李婷丽"</f>
        <v>李婷丽</v>
      </c>
      <c r="F903" s="6" t="str">
        <f>"202311182702"</f>
        <v>202311182702</v>
      </c>
      <c r="G903" s="7">
        <v>0</v>
      </c>
      <c r="H903" s="9" t="s">
        <v>13</v>
      </c>
      <c r="I903" s="10" t="s">
        <v>14</v>
      </c>
    </row>
    <row r="904" spans="1:9" ht="24.75" customHeight="1">
      <c r="A904" s="5">
        <v>901</v>
      </c>
      <c r="B904" s="6" t="s">
        <v>11</v>
      </c>
      <c r="C904" s="6" t="s">
        <v>15</v>
      </c>
      <c r="D904" s="6" t="str">
        <f aca="true" t="shared" si="15" ref="D904:D952">"002"</f>
        <v>002</v>
      </c>
      <c r="E904" s="6" t="str">
        <f>"郑婉娟"</f>
        <v>郑婉娟</v>
      </c>
      <c r="F904" s="6" t="str">
        <f>"202311182718"</f>
        <v>202311182718</v>
      </c>
      <c r="G904" s="7">
        <v>0</v>
      </c>
      <c r="H904" s="9" t="s">
        <v>13</v>
      </c>
      <c r="I904" s="10" t="s">
        <v>14</v>
      </c>
    </row>
    <row r="905" spans="1:9" ht="24.75" customHeight="1">
      <c r="A905" s="5">
        <v>902</v>
      </c>
      <c r="B905" s="6" t="s">
        <v>11</v>
      </c>
      <c r="C905" s="6" t="s">
        <v>15</v>
      </c>
      <c r="D905" s="6" t="str">
        <f t="shared" si="15"/>
        <v>002</v>
      </c>
      <c r="E905" s="6" t="str">
        <f>"梁瑜"</f>
        <v>梁瑜</v>
      </c>
      <c r="F905" s="6" t="str">
        <f>"202311182720"</f>
        <v>202311182720</v>
      </c>
      <c r="G905" s="7">
        <v>0</v>
      </c>
      <c r="H905" s="9" t="s">
        <v>13</v>
      </c>
      <c r="I905" s="10" t="s">
        <v>14</v>
      </c>
    </row>
    <row r="906" spans="1:9" ht="24.75" customHeight="1">
      <c r="A906" s="5">
        <v>903</v>
      </c>
      <c r="B906" s="6" t="s">
        <v>11</v>
      </c>
      <c r="C906" s="6" t="s">
        <v>15</v>
      </c>
      <c r="D906" s="6" t="str">
        <f t="shared" si="15"/>
        <v>002</v>
      </c>
      <c r="E906" s="6" t="str">
        <f>"汪楚楚"</f>
        <v>汪楚楚</v>
      </c>
      <c r="F906" s="6" t="str">
        <f>"202311182724"</f>
        <v>202311182724</v>
      </c>
      <c r="G906" s="7">
        <v>0</v>
      </c>
      <c r="H906" s="9" t="s">
        <v>13</v>
      </c>
      <c r="I906" s="10" t="s">
        <v>14</v>
      </c>
    </row>
    <row r="907" spans="1:9" ht="24.75" customHeight="1">
      <c r="A907" s="5">
        <v>904</v>
      </c>
      <c r="B907" s="6" t="s">
        <v>11</v>
      </c>
      <c r="C907" s="6" t="s">
        <v>15</v>
      </c>
      <c r="D907" s="6" t="str">
        <f t="shared" si="15"/>
        <v>002</v>
      </c>
      <c r="E907" s="6" t="str">
        <f>"潘万娇"</f>
        <v>潘万娇</v>
      </c>
      <c r="F907" s="6" t="str">
        <f>"202311182726"</f>
        <v>202311182726</v>
      </c>
      <c r="G907" s="7">
        <v>0</v>
      </c>
      <c r="H907" s="9" t="s">
        <v>13</v>
      </c>
      <c r="I907" s="10" t="s">
        <v>14</v>
      </c>
    </row>
    <row r="908" spans="1:9" ht="24.75" customHeight="1">
      <c r="A908" s="5">
        <v>905</v>
      </c>
      <c r="B908" s="6" t="s">
        <v>11</v>
      </c>
      <c r="C908" s="6" t="s">
        <v>15</v>
      </c>
      <c r="D908" s="6" t="str">
        <f t="shared" si="15"/>
        <v>002</v>
      </c>
      <c r="E908" s="6" t="str">
        <f>"李函颖"</f>
        <v>李函颖</v>
      </c>
      <c r="F908" s="6" t="str">
        <f>"202311182804"</f>
        <v>202311182804</v>
      </c>
      <c r="G908" s="7">
        <v>0</v>
      </c>
      <c r="H908" s="9" t="s">
        <v>13</v>
      </c>
      <c r="I908" s="10" t="s">
        <v>14</v>
      </c>
    </row>
    <row r="909" spans="1:9" ht="24.75" customHeight="1">
      <c r="A909" s="5">
        <v>906</v>
      </c>
      <c r="B909" s="6" t="s">
        <v>11</v>
      </c>
      <c r="C909" s="6" t="s">
        <v>15</v>
      </c>
      <c r="D909" s="6" t="str">
        <f t="shared" si="15"/>
        <v>002</v>
      </c>
      <c r="E909" s="6" t="str">
        <f>"冯莹莹"</f>
        <v>冯莹莹</v>
      </c>
      <c r="F909" s="6" t="str">
        <f>"202311182807"</f>
        <v>202311182807</v>
      </c>
      <c r="G909" s="7">
        <v>0</v>
      </c>
      <c r="H909" s="9" t="s">
        <v>13</v>
      </c>
      <c r="I909" s="10" t="s">
        <v>14</v>
      </c>
    </row>
    <row r="910" spans="1:9" ht="24.75" customHeight="1">
      <c r="A910" s="5">
        <v>907</v>
      </c>
      <c r="B910" s="6" t="s">
        <v>11</v>
      </c>
      <c r="C910" s="6" t="s">
        <v>15</v>
      </c>
      <c r="D910" s="6" t="str">
        <f t="shared" si="15"/>
        <v>002</v>
      </c>
      <c r="E910" s="6" t="str">
        <f>"董妍妍"</f>
        <v>董妍妍</v>
      </c>
      <c r="F910" s="6" t="str">
        <f>"202311182810"</f>
        <v>202311182810</v>
      </c>
      <c r="G910" s="7">
        <v>0</v>
      </c>
      <c r="H910" s="9" t="s">
        <v>13</v>
      </c>
      <c r="I910" s="10" t="s">
        <v>14</v>
      </c>
    </row>
    <row r="911" spans="1:9" ht="24.75" customHeight="1">
      <c r="A911" s="5">
        <v>908</v>
      </c>
      <c r="B911" s="6" t="s">
        <v>11</v>
      </c>
      <c r="C911" s="6" t="s">
        <v>15</v>
      </c>
      <c r="D911" s="6" t="str">
        <f t="shared" si="15"/>
        <v>002</v>
      </c>
      <c r="E911" s="6" t="str">
        <f>"林嫣嫣"</f>
        <v>林嫣嫣</v>
      </c>
      <c r="F911" s="6" t="str">
        <f>"202311182811"</f>
        <v>202311182811</v>
      </c>
      <c r="G911" s="7">
        <v>0</v>
      </c>
      <c r="H911" s="9" t="s">
        <v>13</v>
      </c>
      <c r="I911" s="10" t="s">
        <v>14</v>
      </c>
    </row>
    <row r="912" spans="1:9" ht="24.75" customHeight="1">
      <c r="A912" s="5">
        <v>909</v>
      </c>
      <c r="B912" s="6" t="s">
        <v>11</v>
      </c>
      <c r="C912" s="6" t="s">
        <v>15</v>
      </c>
      <c r="D912" s="6" t="str">
        <f t="shared" si="15"/>
        <v>002</v>
      </c>
      <c r="E912" s="6" t="str">
        <f>"方晨露"</f>
        <v>方晨露</v>
      </c>
      <c r="F912" s="6" t="str">
        <f>"202311182812"</f>
        <v>202311182812</v>
      </c>
      <c r="G912" s="7">
        <v>0</v>
      </c>
      <c r="H912" s="9" t="s">
        <v>13</v>
      </c>
      <c r="I912" s="10" t="s">
        <v>14</v>
      </c>
    </row>
    <row r="913" spans="1:9" ht="24.75" customHeight="1">
      <c r="A913" s="5">
        <v>910</v>
      </c>
      <c r="B913" s="6" t="s">
        <v>11</v>
      </c>
      <c r="C913" s="6" t="s">
        <v>15</v>
      </c>
      <c r="D913" s="6" t="str">
        <f t="shared" si="15"/>
        <v>002</v>
      </c>
      <c r="E913" s="6" t="str">
        <f>"王慧珍"</f>
        <v>王慧珍</v>
      </c>
      <c r="F913" s="6" t="str">
        <f>"202311182819"</f>
        <v>202311182819</v>
      </c>
      <c r="G913" s="7">
        <v>0</v>
      </c>
      <c r="H913" s="9" t="s">
        <v>13</v>
      </c>
      <c r="I913" s="10" t="s">
        <v>14</v>
      </c>
    </row>
    <row r="914" spans="1:9" ht="24.75" customHeight="1">
      <c r="A914" s="5">
        <v>911</v>
      </c>
      <c r="B914" s="6" t="s">
        <v>11</v>
      </c>
      <c r="C914" s="6" t="s">
        <v>15</v>
      </c>
      <c r="D914" s="6" t="str">
        <f t="shared" si="15"/>
        <v>002</v>
      </c>
      <c r="E914" s="6" t="str">
        <f>"符乃娟"</f>
        <v>符乃娟</v>
      </c>
      <c r="F914" s="6" t="str">
        <f>"202311182820"</f>
        <v>202311182820</v>
      </c>
      <c r="G914" s="7">
        <v>0</v>
      </c>
      <c r="H914" s="9" t="s">
        <v>13</v>
      </c>
      <c r="I914" s="10" t="s">
        <v>14</v>
      </c>
    </row>
    <row r="915" spans="1:9" ht="24.75" customHeight="1">
      <c r="A915" s="5">
        <v>912</v>
      </c>
      <c r="B915" s="6" t="s">
        <v>11</v>
      </c>
      <c r="C915" s="6" t="s">
        <v>15</v>
      </c>
      <c r="D915" s="6" t="str">
        <f t="shared" si="15"/>
        <v>002</v>
      </c>
      <c r="E915" s="6" t="str">
        <f>"归宇洁"</f>
        <v>归宇洁</v>
      </c>
      <c r="F915" s="6" t="str">
        <f>"202311182823"</f>
        <v>202311182823</v>
      </c>
      <c r="G915" s="7">
        <v>0</v>
      </c>
      <c r="H915" s="9" t="s">
        <v>13</v>
      </c>
      <c r="I915" s="10" t="s">
        <v>14</v>
      </c>
    </row>
    <row r="916" spans="1:9" ht="24.75" customHeight="1">
      <c r="A916" s="5">
        <v>913</v>
      </c>
      <c r="B916" s="6" t="s">
        <v>11</v>
      </c>
      <c r="C916" s="6" t="s">
        <v>15</v>
      </c>
      <c r="D916" s="6" t="str">
        <f t="shared" si="15"/>
        <v>002</v>
      </c>
      <c r="E916" s="6" t="str">
        <f>"吕慧"</f>
        <v>吕慧</v>
      </c>
      <c r="F916" s="6" t="str">
        <f>"202311182824"</f>
        <v>202311182824</v>
      </c>
      <c r="G916" s="7">
        <v>0</v>
      </c>
      <c r="H916" s="9" t="s">
        <v>13</v>
      </c>
      <c r="I916" s="10" t="s">
        <v>14</v>
      </c>
    </row>
    <row r="917" spans="1:9" ht="24.75" customHeight="1">
      <c r="A917" s="5">
        <v>914</v>
      </c>
      <c r="B917" s="6" t="s">
        <v>11</v>
      </c>
      <c r="C917" s="6" t="s">
        <v>15</v>
      </c>
      <c r="D917" s="6" t="str">
        <f t="shared" si="15"/>
        <v>002</v>
      </c>
      <c r="E917" s="6" t="str">
        <f>"林丽玲"</f>
        <v>林丽玲</v>
      </c>
      <c r="F917" s="6" t="str">
        <f>"202311182828"</f>
        <v>202311182828</v>
      </c>
      <c r="G917" s="7">
        <v>0</v>
      </c>
      <c r="H917" s="9" t="s">
        <v>13</v>
      </c>
      <c r="I917" s="10" t="s">
        <v>14</v>
      </c>
    </row>
    <row r="918" spans="1:9" ht="24.75" customHeight="1">
      <c r="A918" s="5">
        <v>915</v>
      </c>
      <c r="B918" s="6" t="s">
        <v>11</v>
      </c>
      <c r="C918" s="6" t="s">
        <v>15</v>
      </c>
      <c r="D918" s="6" t="str">
        <f t="shared" si="15"/>
        <v>002</v>
      </c>
      <c r="E918" s="6" t="str">
        <f>"李依恬"</f>
        <v>李依恬</v>
      </c>
      <c r="F918" s="6" t="str">
        <f>"202311182829"</f>
        <v>202311182829</v>
      </c>
      <c r="G918" s="7">
        <v>0</v>
      </c>
      <c r="H918" s="9" t="s">
        <v>13</v>
      </c>
      <c r="I918" s="10" t="s">
        <v>14</v>
      </c>
    </row>
    <row r="919" spans="1:9" ht="24.75" customHeight="1">
      <c r="A919" s="5">
        <v>916</v>
      </c>
      <c r="B919" s="6" t="s">
        <v>11</v>
      </c>
      <c r="C919" s="6" t="s">
        <v>15</v>
      </c>
      <c r="D919" s="6" t="str">
        <f t="shared" si="15"/>
        <v>002</v>
      </c>
      <c r="E919" s="6" t="str">
        <f>"滕红晔"</f>
        <v>滕红晔</v>
      </c>
      <c r="F919" s="6" t="str">
        <f>"202311182902"</f>
        <v>202311182902</v>
      </c>
      <c r="G919" s="7">
        <v>0</v>
      </c>
      <c r="H919" s="9" t="s">
        <v>13</v>
      </c>
      <c r="I919" s="10" t="s">
        <v>14</v>
      </c>
    </row>
    <row r="920" spans="1:9" ht="24.75" customHeight="1">
      <c r="A920" s="5">
        <v>917</v>
      </c>
      <c r="B920" s="6" t="s">
        <v>11</v>
      </c>
      <c r="C920" s="6" t="s">
        <v>15</v>
      </c>
      <c r="D920" s="6" t="str">
        <f t="shared" si="15"/>
        <v>002</v>
      </c>
      <c r="E920" s="6" t="str">
        <f>"林菁"</f>
        <v>林菁</v>
      </c>
      <c r="F920" s="6" t="str">
        <f>"202311182906"</f>
        <v>202311182906</v>
      </c>
      <c r="G920" s="7">
        <v>0</v>
      </c>
      <c r="H920" s="9" t="s">
        <v>13</v>
      </c>
      <c r="I920" s="10" t="s">
        <v>14</v>
      </c>
    </row>
    <row r="921" spans="1:9" ht="24.75" customHeight="1">
      <c r="A921" s="5">
        <v>918</v>
      </c>
      <c r="B921" s="6" t="s">
        <v>11</v>
      </c>
      <c r="C921" s="6" t="s">
        <v>15</v>
      </c>
      <c r="D921" s="6" t="str">
        <f t="shared" si="15"/>
        <v>002</v>
      </c>
      <c r="E921" s="6" t="str">
        <f>"陈明真"</f>
        <v>陈明真</v>
      </c>
      <c r="F921" s="6" t="str">
        <f>"202311182910"</f>
        <v>202311182910</v>
      </c>
      <c r="G921" s="7">
        <v>0</v>
      </c>
      <c r="H921" s="9" t="s">
        <v>13</v>
      </c>
      <c r="I921" s="10" t="s">
        <v>14</v>
      </c>
    </row>
    <row r="922" spans="1:9" ht="24.75" customHeight="1">
      <c r="A922" s="5">
        <v>919</v>
      </c>
      <c r="B922" s="6" t="s">
        <v>11</v>
      </c>
      <c r="C922" s="6" t="s">
        <v>15</v>
      </c>
      <c r="D922" s="6" t="str">
        <f t="shared" si="15"/>
        <v>002</v>
      </c>
      <c r="E922" s="6" t="str">
        <f>"符露谊"</f>
        <v>符露谊</v>
      </c>
      <c r="F922" s="6" t="str">
        <f>"202311182913"</f>
        <v>202311182913</v>
      </c>
      <c r="G922" s="7">
        <v>0</v>
      </c>
      <c r="H922" s="9" t="s">
        <v>13</v>
      </c>
      <c r="I922" s="10" t="s">
        <v>14</v>
      </c>
    </row>
    <row r="923" spans="1:9" ht="24.75" customHeight="1">
      <c r="A923" s="5">
        <v>920</v>
      </c>
      <c r="B923" s="6" t="s">
        <v>11</v>
      </c>
      <c r="C923" s="6" t="s">
        <v>15</v>
      </c>
      <c r="D923" s="6" t="str">
        <f t="shared" si="15"/>
        <v>002</v>
      </c>
      <c r="E923" s="6" t="str">
        <f>"黄炳龙"</f>
        <v>黄炳龙</v>
      </c>
      <c r="F923" s="6" t="str">
        <f>"202311182914"</f>
        <v>202311182914</v>
      </c>
      <c r="G923" s="7">
        <v>0</v>
      </c>
      <c r="H923" s="9" t="s">
        <v>13</v>
      </c>
      <c r="I923" s="10" t="s">
        <v>14</v>
      </c>
    </row>
    <row r="924" spans="1:9" ht="24.75" customHeight="1">
      <c r="A924" s="5">
        <v>921</v>
      </c>
      <c r="B924" s="6" t="s">
        <v>11</v>
      </c>
      <c r="C924" s="6" t="s">
        <v>15</v>
      </c>
      <c r="D924" s="6" t="str">
        <f t="shared" si="15"/>
        <v>002</v>
      </c>
      <c r="E924" s="6" t="str">
        <f>"谢君绮"</f>
        <v>谢君绮</v>
      </c>
      <c r="F924" s="6" t="str">
        <f>"202311182915"</f>
        <v>202311182915</v>
      </c>
      <c r="G924" s="7">
        <v>0</v>
      </c>
      <c r="H924" s="9" t="s">
        <v>13</v>
      </c>
      <c r="I924" s="10" t="s">
        <v>14</v>
      </c>
    </row>
    <row r="925" spans="1:9" ht="24.75" customHeight="1">
      <c r="A925" s="5">
        <v>922</v>
      </c>
      <c r="B925" s="6" t="s">
        <v>11</v>
      </c>
      <c r="C925" s="6" t="s">
        <v>15</v>
      </c>
      <c r="D925" s="6" t="str">
        <f t="shared" si="15"/>
        <v>002</v>
      </c>
      <c r="E925" s="6" t="str">
        <f>"潘玉华"</f>
        <v>潘玉华</v>
      </c>
      <c r="F925" s="6" t="str">
        <f>"202311182922"</f>
        <v>202311182922</v>
      </c>
      <c r="G925" s="7">
        <v>0</v>
      </c>
      <c r="H925" s="9" t="s">
        <v>13</v>
      </c>
      <c r="I925" s="10" t="s">
        <v>14</v>
      </c>
    </row>
    <row r="926" spans="1:9" ht="24.75" customHeight="1">
      <c r="A926" s="5">
        <v>923</v>
      </c>
      <c r="B926" s="6" t="s">
        <v>11</v>
      </c>
      <c r="C926" s="6" t="s">
        <v>15</v>
      </c>
      <c r="D926" s="6" t="str">
        <f t="shared" si="15"/>
        <v>002</v>
      </c>
      <c r="E926" s="6" t="str">
        <f>"陈贤玉"</f>
        <v>陈贤玉</v>
      </c>
      <c r="F926" s="6" t="str">
        <f>"202311182925"</f>
        <v>202311182925</v>
      </c>
      <c r="G926" s="7">
        <v>0</v>
      </c>
      <c r="H926" s="9" t="s">
        <v>13</v>
      </c>
      <c r="I926" s="10" t="s">
        <v>14</v>
      </c>
    </row>
    <row r="927" spans="1:9" ht="24.75" customHeight="1">
      <c r="A927" s="5">
        <v>924</v>
      </c>
      <c r="B927" s="6" t="s">
        <v>11</v>
      </c>
      <c r="C927" s="6" t="s">
        <v>15</v>
      </c>
      <c r="D927" s="6" t="str">
        <f t="shared" si="15"/>
        <v>002</v>
      </c>
      <c r="E927" s="6" t="str">
        <f>"赵阳"</f>
        <v>赵阳</v>
      </c>
      <c r="F927" s="6" t="str">
        <f>"202311182926"</f>
        <v>202311182926</v>
      </c>
      <c r="G927" s="7">
        <v>0</v>
      </c>
      <c r="H927" s="9" t="s">
        <v>13</v>
      </c>
      <c r="I927" s="10" t="s">
        <v>14</v>
      </c>
    </row>
    <row r="928" spans="1:9" ht="24.75" customHeight="1">
      <c r="A928" s="5">
        <v>925</v>
      </c>
      <c r="B928" s="6" t="s">
        <v>11</v>
      </c>
      <c r="C928" s="6" t="s">
        <v>15</v>
      </c>
      <c r="D928" s="6" t="str">
        <f t="shared" si="15"/>
        <v>002</v>
      </c>
      <c r="E928" s="6" t="str">
        <f>"曾晓芳"</f>
        <v>曾晓芳</v>
      </c>
      <c r="F928" s="6" t="str">
        <f>"202311182928"</f>
        <v>202311182928</v>
      </c>
      <c r="G928" s="7">
        <v>0</v>
      </c>
      <c r="H928" s="9" t="s">
        <v>13</v>
      </c>
      <c r="I928" s="10" t="s">
        <v>14</v>
      </c>
    </row>
    <row r="929" spans="1:9" ht="24.75" customHeight="1">
      <c r="A929" s="5">
        <v>926</v>
      </c>
      <c r="B929" s="6" t="s">
        <v>11</v>
      </c>
      <c r="C929" s="6" t="s">
        <v>15</v>
      </c>
      <c r="D929" s="6" t="str">
        <f t="shared" si="15"/>
        <v>002</v>
      </c>
      <c r="E929" s="6" t="str">
        <f>"林先天"</f>
        <v>林先天</v>
      </c>
      <c r="F929" s="6" t="str">
        <f>"202311182929"</f>
        <v>202311182929</v>
      </c>
      <c r="G929" s="7">
        <v>0</v>
      </c>
      <c r="H929" s="9" t="s">
        <v>13</v>
      </c>
      <c r="I929" s="10" t="s">
        <v>14</v>
      </c>
    </row>
    <row r="930" spans="1:9" ht="24.75" customHeight="1">
      <c r="A930" s="5">
        <v>927</v>
      </c>
      <c r="B930" s="6" t="s">
        <v>11</v>
      </c>
      <c r="C930" s="6" t="s">
        <v>15</v>
      </c>
      <c r="D930" s="6" t="str">
        <f t="shared" si="15"/>
        <v>002</v>
      </c>
      <c r="E930" s="6" t="str">
        <f>"张力文"</f>
        <v>张力文</v>
      </c>
      <c r="F930" s="6" t="str">
        <f>"202311183002"</f>
        <v>202311183002</v>
      </c>
      <c r="G930" s="7">
        <v>0</v>
      </c>
      <c r="H930" s="9" t="s">
        <v>13</v>
      </c>
      <c r="I930" s="10" t="s">
        <v>14</v>
      </c>
    </row>
    <row r="931" spans="1:9" ht="24.75" customHeight="1">
      <c r="A931" s="5">
        <v>928</v>
      </c>
      <c r="B931" s="6" t="s">
        <v>11</v>
      </c>
      <c r="C931" s="6" t="s">
        <v>15</v>
      </c>
      <c r="D931" s="6" t="str">
        <f t="shared" si="15"/>
        <v>002</v>
      </c>
      <c r="E931" s="6" t="str">
        <f>"黄燕妃"</f>
        <v>黄燕妃</v>
      </c>
      <c r="F931" s="6" t="str">
        <f>"202311183004"</f>
        <v>202311183004</v>
      </c>
      <c r="G931" s="7">
        <v>0</v>
      </c>
      <c r="H931" s="9" t="s">
        <v>13</v>
      </c>
      <c r="I931" s="10" t="s">
        <v>14</v>
      </c>
    </row>
    <row r="932" spans="1:9" ht="24.75" customHeight="1">
      <c r="A932" s="5">
        <v>929</v>
      </c>
      <c r="B932" s="6" t="s">
        <v>11</v>
      </c>
      <c r="C932" s="6" t="s">
        <v>15</v>
      </c>
      <c r="D932" s="6" t="str">
        <f t="shared" si="15"/>
        <v>002</v>
      </c>
      <c r="E932" s="6" t="str">
        <f>"苏艳艳"</f>
        <v>苏艳艳</v>
      </c>
      <c r="F932" s="6" t="str">
        <f>"202311183005"</f>
        <v>202311183005</v>
      </c>
      <c r="G932" s="7">
        <v>0</v>
      </c>
      <c r="H932" s="9" t="s">
        <v>13</v>
      </c>
      <c r="I932" s="10" t="s">
        <v>14</v>
      </c>
    </row>
    <row r="933" spans="1:9" ht="24.75" customHeight="1">
      <c r="A933" s="5">
        <v>930</v>
      </c>
      <c r="B933" s="6" t="s">
        <v>11</v>
      </c>
      <c r="C933" s="6" t="s">
        <v>15</v>
      </c>
      <c r="D933" s="6" t="str">
        <f t="shared" si="15"/>
        <v>002</v>
      </c>
      <c r="E933" s="6" t="str">
        <f>"何梓瑜"</f>
        <v>何梓瑜</v>
      </c>
      <c r="F933" s="6" t="str">
        <f>"202311183012"</f>
        <v>202311183012</v>
      </c>
      <c r="G933" s="7">
        <v>0</v>
      </c>
      <c r="H933" s="9" t="s">
        <v>13</v>
      </c>
      <c r="I933" s="10" t="s">
        <v>14</v>
      </c>
    </row>
    <row r="934" spans="1:9" ht="24.75" customHeight="1">
      <c r="A934" s="5">
        <v>931</v>
      </c>
      <c r="B934" s="6" t="s">
        <v>11</v>
      </c>
      <c r="C934" s="6" t="s">
        <v>15</v>
      </c>
      <c r="D934" s="6" t="str">
        <f t="shared" si="15"/>
        <v>002</v>
      </c>
      <c r="E934" s="6" t="str">
        <f>"王茹倩"</f>
        <v>王茹倩</v>
      </c>
      <c r="F934" s="6" t="str">
        <f>"202311183014"</f>
        <v>202311183014</v>
      </c>
      <c r="G934" s="7">
        <v>0</v>
      </c>
      <c r="H934" s="9" t="s">
        <v>13</v>
      </c>
      <c r="I934" s="10" t="s">
        <v>14</v>
      </c>
    </row>
    <row r="935" spans="1:9" ht="24.75" customHeight="1">
      <c r="A935" s="5">
        <v>932</v>
      </c>
      <c r="B935" s="6" t="s">
        <v>11</v>
      </c>
      <c r="C935" s="6" t="s">
        <v>15</v>
      </c>
      <c r="D935" s="6" t="str">
        <f t="shared" si="15"/>
        <v>002</v>
      </c>
      <c r="E935" s="6" t="str">
        <f>"郭李洁"</f>
        <v>郭李洁</v>
      </c>
      <c r="F935" s="6" t="str">
        <f>"202311183025"</f>
        <v>202311183025</v>
      </c>
      <c r="G935" s="7">
        <v>0</v>
      </c>
      <c r="H935" s="9" t="s">
        <v>13</v>
      </c>
      <c r="I935" s="10" t="s">
        <v>14</v>
      </c>
    </row>
    <row r="936" spans="1:9" ht="24.75" customHeight="1">
      <c r="A936" s="5">
        <v>933</v>
      </c>
      <c r="B936" s="6" t="s">
        <v>11</v>
      </c>
      <c r="C936" s="6" t="s">
        <v>15</v>
      </c>
      <c r="D936" s="6" t="str">
        <f t="shared" si="15"/>
        <v>002</v>
      </c>
      <c r="E936" s="6" t="str">
        <f>"林娜"</f>
        <v>林娜</v>
      </c>
      <c r="F936" s="6" t="str">
        <f>"202311183030"</f>
        <v>202311183030</v>
      </c>
      <c r="G936" s="7">
        <v>0</v>
      </c>
      <c r="H936" s="9" t="s">
        <v>13</v>
      </c>
      <c r="I936" s="10" t="s">
        <v>14</v>
      </c>
    </row>
    <row r="937" spans="1:9" ht="24.75" customHeight="1">
      <c r="A937" s="5">
        <v>934</v>
      </c>
      <c r="B937" s="6" t="s">
        <v>11</v>
      </c>
      <c r="C937" s="6" t="s">
        <v>15</v>
      </c>
      <c r="D937" s="6" t="str">
        <f t="shared" si="15"/>
        <v>002</v>
      </c>
      <c r="E937" s="6" t="str">
        <f>"王怡婕"</f>
        <v>王怡婕</v>
      </c>
      <c r="F937" s="6" t="str">
        <f>"202311183105"</f>
        <v>202311183105</v>
      </c>
      <c r="G937" s="7">
        <v>0</v>
      </c>
      <c r="H937" s="9" t="s">
        <v>13</v>
      </c>
      <c r="I937" s="10" t="s">
        <v>14</v>
      </c>
    </row>
    <row r="938" spans="1:9" ht="24.75" customHeight="1">
      <c r="A938" s="5">
        <v>935</v>
      </c>
      <c r="B938" s="6" t="s">
        <v>11</v>
      </c>
      <c r="C938" s="6" t="s">
        <v>15</v>
      </c>
      <c r="D938" s="6" t="str">
        <f t="shared" si="15"/>
        <v>002</v>
      </c>
      <c r="E938" s="6" t="str">
        <f>"吴丽红"</f>
        <v>吴丽红</v>
      </c>
      <c r="F938" s="6" t="str">
        <f>"202311183108"</f>
        <v>202311183108</v>
      </c>
      <c r="G938" s="7">
        <v>0</v>
      </c>
      <c r="H938" s="9" t="s">
        <v>13</v>
      </c>
      <c r="I938" s="10" t="s">
        <v>14</v>
      </c>
    </row>
    <row r="939" spans="1:9" ht="24.75" customHeight="1">
      <c r="A939" s="5">
        <v>936</v>
      </c>
      <c r="B939" s="6" t="s">
        <v>11</v>
      </c>
      <c r="C939" s="6" t="s">
        <v>15</v>
      </c>
      <c r="D939" s="6" t="str">
        <f t="shared" si="15"/>
        <v>002</v>
      </c>
      <c r="E939" s="6" t="str">
        <f>"黄玲"</f>
        <v>黄玲</v>
      </c>
      <c r="F939" s="6" t="str">
        <f>"202311183109"</f>
        <v>202311183109</v>
      </c>
      <c r="G939" s="7">
        <v>0</v>
      </c>
      <c r="H939" s="9" t="s">
        <v>13</v>
      </c>
      <c r="I939" s="10" t="s">
        <v>14</v>
      </c>
    </row>
    <row r="940" spans="1:9" ht="24.75" customHeight="1">
      <c r="A940" s="5">
        <v>937</v>
      </c>
      <c r="B940" s="6" t="s">
        <v>11</v>
      </c>
      <c r="C940" s="6" t="s">
        <v>15</v>
      </c>
      <c r="D940" s="6" t="str">
        <f t="shared" si="15"/>
        <v>002</v>
      </c>
      <c r="E940" s="6" t="str">
        <f>"米微微"</f>
        <v>米微微</v>
      </c>
      <c r="F940" s="6" t="str">
        <f>"202311183114"</f>
        <v>202311183114</v>
      </c>
      <c r="G940" s="7">
        <v>0</v>
      </c>
      <c r="H940" s="9" t="s">
        <v>13</v>
      </c>
      <c r="I940" s="10" t="s">
        <v>14</v>
      </c>
    </row>
    <row r="941" spans="1:9" ht="24.75" customHeight="1">
      <c r="A941" s="5">
        <v>938</v>
      </c>
      <c r="B941" s="6" t="s">
        <v>11</v>
      </c>
      <c r="C941" s="6" t="s">
        <v>15</v>
      </c>
      <c r="D941" s="6" t="str">
        <f t="shared" si="15"/>
        <v>002</v>
      </c>
      <c r="E941" s="6" t="str">
        <f>"刘冬莹"</f>
        <v>刘冬莹</v>
      </c>
      <c r="F941" s="6" t="str">
        <f>"202311183119"</f>
        <v>202311183119</v>
      </c>
      <c r="G941" s="7">
        <v>0</v>
      </c>
      <c r="H941" s="9" t="s">
        <v>13</v>
      </c>
      <c r="I941" s="10" t="s">
        <v>14</v>
      </c>
    </row>
    <row r="942" spans="1:9" ht="24.75" customHeight="1">
      <c r="A942" s="5">
        <v>939</v>
      </c>
      <c r="B942" s="6" t="s">
        <v>11</v>
      </c>
      <c r="C942" s="6" t="s">
        <v>15</v>
      </c>
      <c r="D942" s="6" t="str">
        <f t="shared" si="15"/>
        <v>002</v>
      </c>
      <c r="E942" s="6" t="str">
        <f>"李婉菊"</f>
        <v>李婉菊</v>
      </c>
      <c r="F942" s="6" t="str">
        <f>"202311183123"</f>
        <v>202311183123</v>
      </c>
      <c r="G942" s="7">
        <v>0</v>
      </c>
      <c r="H942" s="9" t="s">
        <v>13</v>
      </c>
      <c r="I942" s="10" t="s">
        <v>14</v>
      </c>
    </row>
    <row r="943" spans="1:9" ht="24.75" customHeight="1">
      <c r="A943" s="5">
        <v>940</v>
      </c>
      <c r="B943" s="6" t="s">
        <v>11</v>
      </c>
      <c r="C943" s="6" t="s">
        <v>15</v>
      </c>
      <c r="D943" s="6" t="str">
        <f t="shared" si="15"/>
        <v>002</v>
      </c>
      <c r="E943" s="6" t="str">
        <f>"江沁运"</f>
        <v>江沁运</v>
      </c>
      <c r="F943" s="6" t="str">
        <f>"202311183124"</f>
        <v>202311183124</v>
      </c>
      <c r="G943" s="7">
        <v>0</v>
      </c>
      <c r="H943" s="9" t="s">
        <v>13</v>
      </c>
      <c r="I943" s="10" t="s">
        <v>14</v>
      </c>
    </row>
    <row r="944" spans="1:9" ht="24.75" customHeight="1">
      <c r="A944" s="5">
        <v>941</v>
      </c>
      <c r="B944" s="6" t="s">
        <v>11</v>
      </c>
      <c r="C944" s="6" t="s">
        <v>15</v>
      </c>
      <c r="D944" s="6" t="str">
        <f t="shared" si="15"/>
        <v>002</v>
      </c>
      <c r="E944" s="6" t="str">
        <f>"廖晓捷"</f>
        <v>廖晓捷</v>
      </c>
      <c r="F944" s="6" t="str">
        <f>"202311183125"</f>
        <v>202311183125</v>
      </c>
      <c r="G944" s="7">
        <v>0</v>
      </c>
      <c r="H944" s="9" t="s">
        <v>13</v>
      </c>
      <c r="I944" s="10" t="s">
        <v>14</v>
      </c>
    </row>
    <row r="945" spans="1:9" ht="24.75" customHeight="1">
      <c r="A945" s="5">
        <v>942</v>
      </c>
      <c r="B945" s="6" t="s">
        <v>11</v>
      </c>
      <c r="C945" s="6" t="s">
        <v>15</v>
      </c>
      <c r="D945" s="6" t="str">
        <f t="shared" si="15"/>
        <v>002</v>
      </c>
      <c r="E945" s="6" t="str">
        <f>"许嘉欣"</f>
        <v>许嘉欣</v>
      </c>
      <c r="F945" s="6" t="str">
        <f>"202311183127"</f>
        <v>202311183127</v>
      </c>
      <c r="G945" s="7">
        <v>0</v>
      </c>
      <c r="H945" s="9" t="s">
        <v>13</v>
      </c>
      <c r="I945" s="10" t="s">
        <v>14</v>
      </c>
    </row>
    <row r="946" spans="1:9" ht="24.75" customHeight="1">
      <c r="A946" s="5">
        <v>943</v>
      </c>
      <c r="B946" s="6" t="s">
        <v>11</v>
      </c>
      <c r="C946" s="6" t="s">
        <v>15</v>
      </c>
      <c r="D946" s="6" t="str">
        <f t="shared" si="15"/>
        <v>002</v>
      </c>
      <c r="E946" s="6" t="str">
        <f>"刘君"</f>
        <v>刘君</v>
      </c>
      <c r="F946" s="6" t="str">
        <f>"202311183128"</f>
        <v>202311183128</v>
      </c>
      <c r="G946" s="7">
        <v>0</v>
      </c>
      <c r="H946" s="9" t="s">
        <v>13</v>
      </c>
      <c r="I946" s="10" t="s">
        <v>14</v>
      </c>
    </row>
    <row r="947" spans="1:9" ht="24.75" customHeight="1">
      <c r="A947" s="5">
        <v>944</v>
      </c>
      <c r="B947" s="6" t="s">
        <v>11</v>
      </c>
      <c r="C947" s="6" t="s">
        <v>15</v>
      </c>
      <c r="D947" s="6" t="str">
        <f t="shared" si="15"/>
        <v>002</v>
      </c>
      <c r="E947" s="6" t="str">
        <f>"苏小妹"</f>
        <v>苏小妹</v>
      </c>
      <c r="F947" s="6" t="str">
        <f>"202311183203"</f>
        <v>202311183203</v>
      </c>
      <c r="G947" s="7">
        <v>0</v>
      </c>
      <c r="H947" s="9" t="s">
        <v>13</v>
      </c>
      <c r="I947" s="10" t="s">
        <v>14</v>
      </c>
    </row>
    <row r="948" spans="1:9" ht="24.75" customHeight="1">
      <c r="A948" s="5">
        <v>945</v>
      </c>
      <c r="B948" s="6" t="s">
        <v>11</v>
      </c>
      <c r="C948" s="6" t="s">
        <v>15</v>
      </c>
      <c r="D948" s="6" t="str">
        <f t="shared" si="15"/>
        <v>002</v>
      </c>
      <c r="E948" s="6" t="str">
        <f>"李梦梅"</f>
        <v>李梦梅</v>
      </c>
      <c r="F948" s="6" t="str">
        <f>"202311183205"</f>
        <v>202311183205</v>
      </c>
      <c r="G948" s="7">
        <v>0</v>
      </c>
      <c r="H948" s="9" t="s">
        <v>13</v>
      </c>
      <c r="I948" s="10" t="s">
        <v>14</v>
      </c>
    </row>
    <row r="949" spans="1:9" ht="24.75" customHeight="1">
      <c r="A949" s="5">
        <v>946</v>
      </c>
      <c r="B949" s="6" t="s">
        <v>11</v>
      </c>
      <c r="C949" s="6" t="s">
        <v>15</v>
      </c>
      <c r="D949" s="6" t="str">
        <f t="shared" si="15"/>
        <v>002</v>
      </c>
      <c r="E949" s="6" t="str">
        <f>"蔡海丽"</f>
        <v>蔡海丽</v>
      </c>
      <c r="F949" s="6" t="str">
        <f>"202311183212"</f>
        <v>202311183212</v>
      </c>
      <c r="G949" s="7">
        <v>0</v>
      </c>
      <c r="H949" s="9" t="s">
        <v>13</v>
      </c>
      <c r="I949" s="10" t="s">
        <v>14</v>
      </c>
    </row>
    <row r="950" spans="1:9" ht="24.75" customHeight="1">
      <c r="A950" s="5">
        <v>947</v>
      </c>
      <c r="B950" s="6" t="s">
        <v>11</v>
      </c>
      <c r="C950" s="6" t="s">
        <v>15</v>
      </c>
      <c r="D950" s="6" t="str">
        <f t="shared" si="15"/>
        <v>002</v>
      </c>
      <c r="E950" s="6" t="str">
        <f>"许天荟"</f>
        <v>许天荟</v>
      </c>
      <c r="F950" s="6" t="str">
        <f>"202311183213"</f>
        <v>202311183213</v>
      </c>
      <c r="G950" s="7">
        <v>0</v>
      </c>
      <c r="H950" s="9" t="s">
        <v>13</v>
      </c>
      <c r="I950" s="10" t="s">
        <v>14</v>
      </c>
    </row>
    <row r="951" spans="1:9" ht="24.75" customHeight="1">
      <c r="A951" s="5">
        <v>948</v>
      </c>
      <c r="B951" s="6" t="s">
        <v>11</v>
      </c>
      <c r="C951" s="6" t="s">
        <v>15</v>
      </c>
      <c r="D951" s="6" t="str">
        <f t="shared" si="15"/>
        <v>002</v>
      </c>
      <c r="E951" s="6" t="str">
        <f>"张立营"</f>
        <v>张立营</v>
      </c>
      <c r="F951" s="6" t="str">
        <f>"202311183217"</f>
        <v>202311183217</v>
      </c>
      <c r="G951" s="7">
        <v>0</v>
      </c>
      <c r="H951" s="9" t="s">
        <v>13</v>
      </c>
      <c r="I951" s="10" t="s">
        <v>14</v>
      </c>
    </row>
    <row r="952" spans="1:9" ht="24.75" customHeight="1">
      <c r="A952" s="5">
        <v>949</v>
      </c>
      <c r="B952" s="6" t="s">
        <v>11</v>
      </c>
      <c r="C952" s="6" t="s">
        <v>15</v>
      </c>
      <c r="D952" s="6" t="str">
        <f t="shared" si="15"/>
        <v>002</v>
      </c>
      <c r="E952" s="6" t="str">
        <f>"黎小瑜"</f>
        <v>黎小瑜</v>
      </c>
      <c r="F952" s="6" t="str">
        <f>"202311183219"</f>
        <v>202311183219</v>
      </c>
      <c r="G952" s="7">
        <v>0</v>
      </c>
      <c r="H952" s="9" t="s">
        <v>13</v>
      </c>
      <c r="I952" s="10" t="s">
        <v>14</v>
      </c>
    </row>
  </sheetData>
  <sheetProtection/>
  <autoFilter ref="A3:I952"/>
  <mergeCells count="1">
    <mergeCell ref="A2:I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XGR XGR</dc:creator>
  <cp:keywords/>
  <dc:description/>
  <cp:lastModifiedBy>考务部</cp:lastModifiedBy>
  <dcterms:created xsi:type="dcterms:W3CDTF">2016-12-02T08:54:00Z</dcterms:created>
  <dcterms:modified xsi:type="dcterms:W3CDTF">2023-11-23T07:51:21Z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1E38454866ED4C1697DA5D2C80EC4E49_12</vt:lpwstr>
  </property>
</Properties>
</file>