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Sheet1!$A$3:$H$717</definedName>
  </definedNames>
  <calcPr calcId="144525"/>
</workbook>
</file>

<file path=xl/sharedStrings.xml><?xml version="1.0" encoding="utf-8"?>
<sst xmlns="http://schemas.openxmlformats.org/spreadsheetml/2006/main" count="2152" uniqueCount="35">
  <si>
    <t>附件：</t>
  </si>
  <si>
    <t>贵州万峰（集团）实业有限公司2023年公开招聘笔试成绩及进入面试人员</t>
  </si>
  <si>
    <t>准考证号</t>
  </si>
  <si>
    <t>职位代码</t>
  </si>
  <si>
    <t>考场号</t>
  </si>
  <si>
    <t>报考公司</t>
  </si>
  <si>
    <t>报考岗位</t>
  </si>
  <si>
    <t>笔试成绩</t>
  </si>
  <si>
    <t>排名</t>
  </si>
  <si>
    <t>是否进入面试</t>
  </si>
  <si>
    <t>贵州万峰（集团）实业有限公司</t>
  </si>
  <si>
    <t>法务审计中心副经理</t>
  </si>
  <si>
    <t>是</t>
  </si>
  <si>
    <t>否</t>
  </si>
  <si>
    <t>财务管理中心副经理</t>
  </si>
  <si>
    <t>营销中心营销副经理</t>
  </si>
  <si>
    <t>营销中心OTA主管</t>
  </si>
  <si>
    <t>营销中心策划主管</t>
  </si>
  <si>
    <t>人力资源中心招聘培训主管</t>
  </si>
  <si>
    <t>党委办（集团办）党建工作人员</t>
  </si>
  <si>
    <t>战略管理中心投融工作人员</t>
  </si>
  <si>
    <t>战略管理中心产业招商工作人员</t>
  </si>
  <si>
    <t>贵州盛世卓越建设工程有限公司</t>
  </si>
  <si>
    <t>工程工作人员</t>
  </si>
  <si>
    <t>贵州云屯智慧生态休闲服务有限公司</t>
  </si>
  <si>
    <t>行政副经理</t>
  </si>
  <si>
    <t>人力资源副经理</t>
  </si>
  <si>
    <t>党建工作人员</t>
  </si>
  <si>
    <t>行政工作人员</t>
  </si>
  <si>
    <t>会计工作人员</t>
  </si>
  <si>
    <t>出纳工作人员</t>
  </si>
  <si>
    <t>贵州天佑殡葬服务有限公司</t>
  </si>
  <si>
    <t>贵州边屯商旅服务有限责任公司</t>
  </si>
  <si>
    <t>贵州神木营康养服务公司</t>
  </si>
  <si>
    <t>人力资源工作人员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</si>
</sst>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9"/>
  <sheetViews>
    <sheetView tabSelected="1" workbookViewId="0">
      <selection activeCell="M7" sqref="M7"/>
    </sheetView>
  </sheetViews>
  <sheetFormatPr defaultColWidth="9" defaultRowHeight="14.4" outlineLevelCol="7"/>
  <cols>
    <col min="1" max="1" width="13.1111111111111" style="1" customWidth="1"/>
    <col min="2" max="2" width="9.87962962962963" style="1" customWidth="1"/>
    <col min="3" max="3" width="7.44444444444444" style="1" customWidth="1"/>
    <col min="4" max="4" width="33.1111111111111" style="1" customWidth="1"/>
    <col min="5" max="5" width="32.3333333333333" style="4" customWidth="1"/>
    <col min="6" max="6" width="10.6296296296296" style="1" customWidth="1"/>
    <col min="7" max="7" width="6.88888888888889" style="5" customWidth="1"/>
    <col min="8" max="8" width="10.6666666666667" style="1" customWidth="1"/>
    <col min="9" max="16381" width="9" style="1"/>
    <col min="16382" max="16384" width="9" style="6"/>
  </cols>
  <sheetData>
    <row r="1" ht="25" customHeight="1" spans="1:8">
      <c r="A1" s="4" t="s">
        <v>0</v>
      </c>
      <c r="B1" s="4"/>
      <c r="C1" s="4"/>
      <c r="D1" s="4"/>
      <c r="E1" s="4"/>
      <c r="F1" s="4"/>
      <c r="G1" s="7"/>
      <c r="H1" s="4"/>
    </row>
    <row r="2" s="1" customFormat="1" ht="34.5" customHeight="1" spans="1:8">
      <c r="A2" s="8" t="s">
        <v>1</v>
      </c>
      <c r="B2" s="8"/>
      <c r="C2" s="8"/>
      <c r="D2" s="8"/>
      <c r="E2" s="8"/>
      <c r="F2" s="8"/>
      <c r="G2" s="9"/>
      <c r="H2" s="8"/>
    </row>
    <row r="3" s="2" customFormat="1" ht="38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2" t="s">
        <v>8</v>
      </c>
      <c r="H3" s="13" t="s">
        <v>9</v>
      </c>
    </row>
    <row r="4" s="3" customFormat="1" ht="12" spans="1:8">
      <c r="A4" s="14" t="str">
        <f>"202302008"</f>
        <v>202302008</v>
      </c>
      <c r="B4" s="14" t="str">
        <f t="shared" ref="B4:B11" si="0">"001"</f>
        <v>001</v>
      </c>
      <c r="C4" s="14" t="str">
        <f t="shared" ref="C4:C11" si="1">"20"</f>
        <v>20</v>
      </c>
      <c r="D4" s="14" t="s">
        <v>10</v>
      </c>
      <c r="E4" s="15" t="s">
        <v>11</v>
      </c>
      <c r="F4" s="16">
        <v>68.45</v>
      </c>
      <c r="G4" s="17">
        <f>SUMPRODUCT(--((B4=$B$4:$B$717)*$F$4:$F$717&gt;F4))+1</f>
        <v>1</v>
      </c>
      <c r="H4" s="18" t="s">
        <v>12</v>
      </c>
    </row>
    <row r="5" s="3" customFormat="1" ht="12" spans="1:8">
      <c r="A5" s="14" t="str">
        <f>"202302009"</f>
        <v>202302009</v>
      </c>
      <c r="B5" s="14" t="str">
        <f t="shared" si="0"/>
        <v>001</v>
      </c>
      <c r="C5" s="14" t="str">
        <f t="shared" si="1"/>
        <v>20</v>
      </c>
      <c r="D5" s="14" t="s">
        <v>10</v>
      </c>
      <c r="E5" s="15" t="s">
        <v>11</v>
      </c>
      <c r="F5" s="16">
        <v>67.45</v>
      </c>
      <c r="G5" s="17">
        <f>SUMPRODUCT(--((B5=$B$4:$B$717)*$F$4:$F$717&gt;F5))+1</f>
        <v>2</v>
      </c>
      <c r="H5" s="18" t="s">
        <v>12</v>
      </c>
    </row>
    <row r="6" s="3" customFormat="1" ht="12" spans="1:8">
      <c r="A6" s="14" t="str">
        <f>"202302006"</f>
        <v>202302006</v>
      </c>
      <c r="B6" s="14" t="str">
        <f t="shared" si="0"/>
        <v>001</v>
      </c>
      <c r="C6" s="14" t="str">
        <f t="shared" si="1"/>
        <v>20</v>
      </c>
      <c r="D6" s="14" t="s">
        <v>10</v>
      </c>
      <c r="E6" s="15" t="s">
        <v>11</v>
      </c>
      <c r="F6" s="16">
        <v>64.51</v>
      </c>
      <c r="G6" s="17">
        <f>SUMPRODUCT(--((B6=$B$4:$B$717)*$F$4:$F$717&gt;F6))+1</f>
        <v>3</v>
      </c>
      <c r="H6" s="18" t="s">
        <v>12</v>
      </c>
    </row>
    <row r="7" s="3" customFormat="1" ht="12" spans="1:8">
      <c r="A7" s="18" t="str">
        <f>"202302005"</f>
        <v>202302005</v>
      </c>
      <c r="B7" s="18" t="str">
        <f t="shared" si="0"/>
        <v>001</v>
      </c>
      <c r="C7" s="18" t="str">
        <f t="shared" si="1"/>
        <v>20</v>
      </c>
      <c r="D7" s="14" t="s">
        <v>10</v>
      </c>
      <c r="E7" s="15" t="s">
        <v>11</v>
      </c>
      <c r="F7" s="19">
        <v>61.19</v>
      </c>
      <c r="G7" s="20">
        <f>SUMPRODUCT(--((B7=$B$4:$B$717)*$F$4:$F$717&gt;F7))+1</f>
        <v>4</v>
      </c>
      <c r="H7" s="18" t="s">
        <v>13</v>
      </c>
    </row>
    <row r="8" s="3" customFormat="1" ht="12" spans="1:8">
      <c r="A8" s="18" t="str">
        <f>"202302004"</f>
        <v>202302004</v>
      </c>
      <c r="B8" s="18" t="str">
        <f t="shared" si="0"/>
        <v>001</v>
      </c>
      <c r="C8" s="18" t="str">
        <f t="shared" si="1"/>
        <v>20</v>
      </c>
      <c r="D8" s="14" t="s">
        <v>10</v>
      </c>
      <c r="E8" s="15" t="s">
        <v>11</v>
      </c>
      <c r="F8" s="19">
        <v>60.28</v>
      </c>
      <c r="G8" s="20">
        <f>SUMPRODUCT(--((B8=$B$4:$B$717)*$F$4:$F$717&gt;F8))+1</f>
        <v>5</v>
      </c>
      <c r="H8" s="18" t="s">
        <v>13</v>
      </c>
    </row>
    <row r="9" s="3" customFormat="1" ht="12" spans="1:8">
      <c r="A9" s="18" t="str">
        <f>"202302011"</f>
        <v>202302011</v>
      </c>
      <c r="B9" s="18" t="str">
        <f t="shared" si="0"/>
        <v>001</v>
      </c>
      <c r="C9" s="18" t="str">
        <f t="shared" si="1"/>
        <v>20</v>
      </c>
      <c r="D9" s="14" t="s">
        <v>10</v>
      </c>
      <c r="E9" s="15" t="s">
        <v>11</v>
      </c>
      <c r="F9" s="19">
        <v>49.35</v>
      </c>
      <c r="G9" s="20">
        <f>SUMPRODUCT(--((B9=$B$4:$B$717)*$F$4:$F$717&gt;F9))+1</f>
        <v>6</v>
      </c>
      <c r="H9" s="18" t="s">
        <v>13</v>
      </c>
    </row>
    <row r="10" s="3" customFormat="1" ht="12" spans="1:8">
      <c r="A10" s="18" t="str">
        <f>"202302007"</f>
        <v>202302007</v>
      </c>
      <c r="B10" s="18" t="str">
        <f t="shared" si="0"/>
        <v>001</v>
      </c>
      <c r="C10" s="18" t="str">
        <f t="shared" si="1"/>
        <v>20</v>
      </c>
      <c r="D10" s="14" t="s">
        <v>10</v>
      </c>
      <c r="E10" s="15" t="s">
        <v>11</v>
      </c>
      <c r="F10" s="19">
        <v>36.92</v>
      </c>
      <c r="G10" s="20">
        <f>SUMPRODUCT(--((B10=$B$4:$B$717)*$F$4:$F$717&gt;F10))+1</f>
        <v>7</v>
      </c>
      <c r="H10" s="18" t="s">
        <v>13</v>
      </c>
    </row>
    <row r="11" s="3" customFormat="1" ht="12" spans="1:8">
      <c r="A11" s="18" t="str">
        <f>"202302010"</f>
        <v>202302010</v>
      </c>
      <c r="B11" s="18" t="str">
        <f t="shared" si="0"/>
        <v>001</v>
      </c>
      <c r="C11" s="18" t="str">
        <f t="shared" si="1"/>
        <v>20</v>
      </c>
      <c r="D11" s="14" t="s">
        <v>10</v>
      </c>
      <c r="E11" s="15" t="s">
        <v>11</v>
      </c>
      <c r="F11" s="19">
        <v>0</v>
      </c>
      <c r="G11" s="20">
        <f>SUMPRODUCT(--((B11=$B$4:$B$717)*$F$4:$F$717&gt;F11))+1</f>
        <v>8</v>
      </c>
      <c r="H11" s="18" t="s">
        <v>13</v>
      </c>
    </row>
    <row r="12" s="3" customFormat="1" ht="12" spans="1:8">
      <c r="A12" s="14" t="str">
        <f>"202301530"</f>
        <v>202301530</v>
      </c>
      <c r="B12" s="14" t="str">
        <f>"002"</f>
        <v>002</v>
      </c>
      <c r="C12" s="14" t="str">
        <f>"15"</f>
        <v>15</v>
      </c>
      <c r="D12" s="14" t="s">
        <v>10</v>
      </c>
      <c r="E12" s="14" t="s">
        <v>14</v>
      </c>
      <c r="F12" s="16">
        <v>0</v>
      </c>
      <c r="G12" s="17">
        <f>SUMPRODUCT(--((B12=$B$4:$B$717)*$F$4:$F$717&gt;F12))+1</f>
        <v>1</v>
      </c>
      <c r="H12" s="18" t="s">
        <v>13</v>
      </c>
    </row>
    <row r="13" s="3" customFormat="1" ht="12" spans="1:8">
      <c r="A13" s="14" t="str">
        <f>"202300715"</f>
        <v>202300715</v>
      </c>
      <c r="B13" s="14" t="str">
        <f t="shared" ref="B13:B19" si="2">"003"</f>
        <v>003</v>
      </c>
      <c r="C13" s="14" t="str">
        <f t="shared" ref="C13:C25" si="3">"07"</f>
        <v>07</v>
      </c>
      <c r="D13" s="14" t="s">
        <v>10</v>
      </c>
      <c r="E13" s="14" t="s">
        <v>15</v>
      </c>
      <c r="F13" s="16">
        <v>75.86</v>
      </c>
      <c r="G13" s="17">
        <f>SUMPRODUCT(--((B13=$B$4:$B$717)*$F$4:$F$717&gt;F13))+1</f>
        <v>1</v>
      </c>
      <c r="H13" s="18" t="s">
        <v>12</v>
      </c>
    </row>
    <row r="14" s="3" customFormat="1" ht="12" spans="1:8">
      <c r="A14" s="14" t="str">
        <f>"202300718"</f>
        <v>202300718</v>
      </c>
      <c r="B14" s="14" t="str">
        <f t="shared" si="2"/>
        <v>003</v>
      </c>
      <c r="C14" s="14" t="str">
        <f t="shared" si="3"/>
        <v>07</v>
      </c>
      <c r="D14" s="14" t="s">
        <v>10</v>
      </c>
      <c r="E14" s="14" t="s">
        <v>15</v>
      </c>
      <c r="F14" s="16">
        <v>75.31</v>
      </c>
      <c r="G14" s="17">
        <f>SUMPRODUCT(--((B14=$B$4:$B$717)*$F$4:$F$717&gt;F14))+1</f>
        <v>2</v>
      </c>
      <c r="H14" s="18" t="s">
        <v>12</v>
      </c>
    </row>
    <row r="15" s="3" customFormat="1" ht="12" spans="1:8">
      <c r="A15" s="14" t="str">
        <f>"202300717"</f>
        <v>202300717</v>
      </c>
      <c r="B15" s="14" t="str">
        <f t="shared" si="2"/>
        <v>003</v>
      </c>
      <c r="C15" s="14" t="str">
        <f t="shared" si="3"/>
        <v>07</v>
      </c>
      <c r="D15" s="14" t="s">
        <v>10</v>
      </c>
      <c r="E15" s="14" t="s">
        <v>15</v>
      </c>
      <c r="F15" s="16">
        <v>70.67</v>
      </c>
      <c r="G15" s="17">
        <f>SUMPRODUCT(--((B15=$B$4:$B$717)*$F$4:$F$717&gt;F15))+1</f>
        <v>3</v>
      </c>
      <c r="H15" s="18" t="s">
        <v>12</v>
      </c>
    </row>
    <row r="16" s="3" customFormat="1" ht="12" spans="1:8">
      <c r="A16" s="18" t="str">
        <f>"202300716"</f>
        <v>202300716</v>
      </c>
      <c r="B16" s="18" t="str">
        <f t="shared" si="2"/>
        <v>003</v>
      </c>
      <c r="C16" s="18" t="str">
        <f t="shared" si="3"/>
        <v>07</v>
      </c>
      <c r="D16" s="14" t="s">
        <v>10</v>
      </c>
      <c r="E16" s="14" t="s">
        <v>15</v>
      </c>
      <c r="F16" s="19">
        <v>69.46</v>
      </c>
      <c r="G16" s="20">
        <f>SUMPRODUCT(--((B16=$B$4:$B$717)*$F$4:$F$717&gt;F16))+1</f>
        <v>4</v>
      </c>
      <c r="H16" s="18" t="s">
        <v>13</v>
      </c>
    </row>
    <row r="17" s="3" customFormat="1" ht="12" spans="1:8">
      <c r="A17" s="18" t="str">
        <f>"202300713"</f>
        <v>202300713</v>
      </c>
      <c r="B17" s="18" t="str">
        <f t="shared" si="2"/>
        <v>003</v>
      </c>
      <c r="C17" s="18" t="str">
        <f t="shared" si="3"/>
        <v>07</v>
      </c>
      <c r="D17" s="14" t="s">
        <v>10</v>
      </c>
      <c r="E17" s="14" t="s">
        <v>15</v>
      </c>
      <c r="F17" s="19">
        <v>69.28</v>
      </c>
      <c r="G17" s="20">
        <f>SUMPRODUCT(--((B17=$B$4:$B$717)*$F$4:$F$717&gt;F17))+1</f>
        <v>5</v>
      </c>
      <c r="H17" s="18" t="s">
        <v>13</v>
      </c>
    </row>
    <row r="18" s="3" customFormat="1" ht="12" spans="1:8">
      <c r="A18" s="18" t="str">
        <f>"202300714"</f>
        <v>202300714</v>
      </c>
      <c r="B18" s="18" t="str">
        <f t="shared" si="2"/>
        <v>003</v>
      </c>
      <c r="C18" s="18" t="str">
        <f t="shared" si="3"/>
        <v>07</v>
      </c>
      <c r="D18" s="14" t="s">
        <v>10</v>
      </c>
      <c r="E18" s="14" t="s">
        <v>15</v>
      </c>
      <c r="F18" s="19">
        <v>0</v>
      </c>
      <c r="G18" s="20">
        <f>SUMPRODUCT(--((B18=$B$4:$B$717)*$F$4:$F$717&gt;F18))+1</f>
        <v>6</v>
      </c>
      <c r="H18" s="18" t="s">
        <v>13</v>
      </c>
    </row>
    <row r="19" s="3" customFormat="1" ht="12" spans="1:8">
      <c r="A19" s="18" t="str">
        <f>"202300719"</f>
        <v>202300719</v>
      </c>
      <c r="B19" s="18" t="str">
        <f t="shared" si="2"/>
        <v>003</v>
      </c>
      <c r="C19" s="18" t="str">
        <f t="shared" si="3"/>
        <v>07</v>
      </c>
      <c r="D19" s="14" t="s">
        <v>10</v>
      </c>
      <c r="E19" s="14" t="s">
        <v>15</v>
      </c>
      <c r="F19" s="19">
        <v>0</v>
      </c>
      <c r="G19" s="20">
        <f>SUMPRODUCT(--((B19=$B$4:$B$717)*$F$4:$F$717&gt;F19))+1</f>
        <v>6</v>
      </c>
      <c r="H19" s="18" t="s">
        <v>13</v>
      </c>
    </row>
    <row r="20" s="3" customFormat="1" ht="12" spans="1:8">
      <c r="A20" s="14" t="str">
        <f>"202300723"</f>
        <v>202300723</v>
      </c>
      <c r="B20" s="14" t="str">
        <f t="shared" ref="B20:B25" si="4">"004"</f>
        <v>004</v>
      </c>
      <c r="C20" s="14" t="str">
        <f t="shared" si="3"/>
        <v>07</v>
      </c>
      <c r="D20" s="14" t="s">
        <v>10</v>
      </c>
      <c r="E20" s="14" t="s">
        <v>16</v>
      </c>
      <c r="F20" s="16">
        <v>77.26</v>
      </c>
      <c r="G20" s="17">
        <f>SUMPRODUCT(--((B20=$B$4:$B$717)*$F$4:$F$717&gt;F20))+1</f>
        <v>1</v>
      </c>
      <c r="H20" s="18" t="s">
        <v>12</v>
      </c>
    </row>
    <row r="21" s="3" customFormat="1" ht="12" spans="1:8">
      <c r="A21" s="14" t="str">
        <f>"202300724"</f>
        <v>202300724</v>
      </c>
      <c r="B21" s="14" t="str">
        <f t="shared" si="4"/>
        <v>004</v>
      </c>
      <c r="C21" s="14" t="str">
        <f t="shared" si="3"/>
        <v>07</v>
      </c>
      <c r="D21" s="14" t="s">
        <v>10</v>
      </c>
      <c r="E21" s="14" t="s">
        <v>16</v>
      </c>
      <c r="F21" s="16">
        <v>67.19</v>
      </c>
      <c r="G21" s="17">
        <f>SUMPRODUCT(--((B21=$B$4:$B$717)*$F$4:$F$717&gt;F21))+1</f>
        <v>2</v>
      </c>
      <c r="H21" s="18" t="s">
        <v>12</v>
      </c>
    </row>
    <row r="22" s="3" customFormat="1" ht="12" spans="1:8">
      <c r="A22" s="14" t="str">
        <f>"202300721"</f>
        <v>202300721</v>
      </c>
      <c r="B22" s="14" t="str">
        <f t="shared" si="4"/>
        <v>004</v>
      </c>
      <c r="C22" s="14" t="str">
        <f t="shared" si="3"/>
        <v>07</v>
      </c>
      <c r="D22" s="14" t="s">
        <v>10</v>
      </c>
      <c r="E22" s="14" t="s">
        <v>16</v>
      </c>
      <c r="F22" s="16">
        <v>60.77</v>
      </c>
      <c r="G22" s="17">
        <f>SUMPRODUCT(--((B22=$B$4:$B$717)*$F$4:$F$717&gt;F22))+1</f>
        <v>3</v>
      </c>
      <c r="H22" s="18" t="s">
        <v>12</v>
      </c>
    </row>
    <row r="23" s="3" customFormat="1" ht="12" spans="1:8">
      <c r="A23" s="18" t="str">
        <f>"202300720"</f>
        <v>202300720</v>
      </c>
      <c r="B23" s="18" t="str">
        <f t="shared" si="4"/>
        <v>004</v>
      </c>
      <c r="C23" s="18" t="str">
        <f t="shared" si="3"/>
        <v>07</v>
      </c>
      <c r="D23" s="14" t="s">
        <v>10</v>
      </c>
      <c r="E23" s="14" t="s">
        <v>16</v>
      </c>
      <c r="F23" s="19">
        <v>0</v>
      </c>
      <c r="G23" s="20">
        <f>SUMPRODUCT(--((B23=$B$4:$B$717)*$F$4:$F$717&gt;F23))+1</f>
        <v>4</v>
      </c>
      <c r="H23" s="18" t="s">
        <v>13</v>
      </c>
    </row>
    <row r="24" s="3" customFormat="1" ht="12" spans="1:8">
      <c r="A24" s="18" t="str">
        <f>"202300722"</f>
        <v>202300722</v>
      </c>
      <c r="B24" s="18" t="str">
        <f t="shared" si="4"/>
        <v>004</v>
      </c>
      <c r="C24" s="18" t="str">
        <f t="shared" si="3"/>
        <v>07</v>
      </c>
      <c r="D24" s="14" t="s">
        <v>10</v>
      </c>
      <c r="E24" s="14" t="s">
        <v>16</v>
      </c>
      <c r="F24" s="19">
        <v>0</v>
      </c>
      <c r="G24" s="20">
        <f>SUMPRODUCT(--((B24=$B$4:$B$717)*$F$4:$F$717&gt;F24))+1</f>
        <v>4</v>
      </c>
      <c r="H24" s="18" t="s">
        <v>13</v>
      </c>
    </row>
    <row r="25" s="3" customFormat="1" ht="12" spans="1:8">
      <c r="A25" s="18" t="str">
        <f>"202300725"</f>
        <v>202300725</v>
      </c>
      <c r="B25" s="18" t="str">
        <f t="shared" si="4"/>
        <v>004</v>
      </c>
      <c r="C25" s="18" t="str">
        <f t="shared" si="3"/>
        <v>07</v>
      </c>
      <c r="D25" s="14" t="s">
        <v>10</v>
      </c>
      <c r="E25" s="14" t="s">
        <v>16</v>
      </c>
      <c r="F25" s="19">
        <v>0</v>
      </c>
      <c r="G25" s="20">
        <f>SUMPRODUCT(--((B25=$B$4:$B$717)*$F$4:$F$717&gt;F25))+1</f>
        <v>4</v>
      </c>
      <c r="H25" s="18" t="s">
        <v>13</v>
      </c>
    </row>
    <row r="26" s="3" customFormat="1" ht="12" spans="1:8">
      <c r="A26" s="14" t="str">
        <f>"202300804"</f>
        <v>202300804</v>
      </c>
      <c r="B26" s="14" t="str">
        <f t="shared" ref="B26:B45" si="5">"005"</f>
        <v>005</v>
      </c>
      <c r="C26" s="14" t="str">
        <f t="shared" ref="C26:C30" si="6">"08"</f>
        <v>08</v>
      </c>
      <c r="D26" s="14" t="s">
        <v>10</v>
      </c>
      <c r="E26" s="14" t="s">
        <v>17</v>
      </c>
      <c r="F26" s="16">
        <v>73.05</v>
      </c>
      <c r="G26" s="17">
        <f>SUMPRODUCT(--((B26=$B$4:$B$717)*$F$4:$F$717&gt;F26))+1</f>
        <v>1</v>
      </c>
      <c r="H26" s="18" t="s">
        <v>12</v>
      </c>
    </row>
    <row r="27" s="3" customFormat="1" ht="12" spans="1:8">
      <c r="A27" s="14" t="str">
        <f>"202300815"</f>
        <v>202300815</v>
      </c>
      <c r="B27" s="14" t="str">
        <f t="shared" si="5"/>
        <v>005</v>
      </c>
      <c r="C27" s="14" t="str">
        <f t="shared" si="6"/>
        <v>08</v>
      </c>
      <c r="D27" s="14" t="s">
        <v>10</v>
      </c>
      <c r="E27" s="14" t="s">
        <v>17</v>
      </c>
      <c r="F27" s="16">
        <v>72.95</v>
      </c>
      <c r="G27" s="17">
        <f>SUMPRODUCT(--((B27=$B$4:$B$717)*$F$4:$F$717&gt;F27))+1</f>
        <v>2</v>
      </c>
      <c r="H27" s="18" t="s">
        <v>12</v>
      </c>
    </row>
    <row r="28" s="3" customFormat="1" ht="12" spans="1:8">
      <c r="A28" s="14" t="str">
        <f>"202300728"</f>
        <v>202300728</v>
      </c>
      <c r="B28" s="14" t="str">
        <f t="shared" si="5"/>
        <v>005</v>
      </c>
      <c r="C28" s="14" t="str">
        <f t="shared" ref="C28:C33" si="7">"07"</f>
        <v>07</v>
      </c>
      <c r="D28" s="14" t="s">
        <v>10</v>
      </c>
      <c r="E28" s="14" t="s">
        <v>17</v>
      </c>
      <c r="F28" s="16">
        <v>72.36</v>
      </c>
      <c r="G28" s="17">
        <f>SUMPRODUCT(--((B28=$B$4:$B$717)*$F$4:$F$717&gt;F28))+1</f>
        <v>3</v>
      </c>
      <c r="H28" s="18" t="s">
        <v>12</v>
      </c>
    </row>
    <row r="29" s="3" customFormat="1" ht="12" spans="1:8">
      <c r="A29" s="18" t="str">
        <f>"202300807"</f>
        <v>202300807</v>
      </c>
      <c r="B29" s="18" t="str">
        <f t="shared" si="5"/>
        <v>005</v>
      </c>
      <c r="C29" s="18" t="str">
        <f t="shared" si="6"/>
        <v>08</v>
      </c>
      <c r="D29" s="14" t="s">
        <v>10</v>
      </c>
      <c r="E29" s="14" t="s">
        <v>17</v>
      </c>
      <c r="F29" s="19">
        <v>72.03</v>
      </c>
      <c r="G29" s="20">
        <f>SUMPRODUCT(--((B29=$B$4:$B$717)*$F$4:$F$717&gt;F29))+1</f>
        <v>4</v>
      </c>
      <c r="H29" s="18" t="s">
        <v>13</v>
      </c>
    </row>
    <row r="30" s="3" customFormat="1" ht="12" spans="1:8">
      <c r="A30" s="18" t="str">
        <f>"202300806"</f>
        <v>202300806</v>
      </c>
      <c r="B30" s="18" t="str">
        <f t="shared" si="5"/>
        <v>005</v>
      </c>
      <c r="C30" s="18" t="str">
        <f t="shared" si="6"/>
        <v>08</v>
      </c>
      <c r="D30" s="14" t="s">
        <v>10</v>
      </c>
      <c r="E30" s="14" t="s">
        <v>17</v>
      </c>
      <c r="F30" s="19">
        <v>69.12</v>
      </c>
      <c r="G30" s="20">
        <f>SUMPRODUCT(--((B30=$B$4:$B$717)*$F$4:$F$717&gt;F30))+1</f>
        <v>5</v>
      </c>
      <c r="H30" s="18" t="s">
        <v>13</v>
      </c>
    </row>
    <row r="31" s="3" customFormat="1" ht="12" spans="1:8">
      <c r="A31" s="18" t="str">
        <f>"202300726"</f>
        <v>202300726</v>
      </c>
      <c r="B31" s="18" t="str">
        <f t="shared" si="5"/>
        <v>005</v>
      </c>
      <c r="C31" s="18" t="str">
        <f t="shared" si="7"/>
        <v>07</v>
      </c>
      <c r="D31" s="14" t="s">
        <v>10</v>
      </c>
      <c r="E31" s="14" t="s">
        <v>17</v>
      </c>
      <c r="F31" s="19">
        <v>68.95</v>
      </c>
      <c r="G31" s="20">
        <f>SUMPRODUCT(--((B31=$B$4:$B$717)*$F$4:$F$717&gt;F31))+1</f>
        <v>6</v>
      </c>
      <c r="H31" s="18" t="s">
        <v>13</v>
      </c>
    </row>
    <row r="32" s="3" customFormat="1" ht="12" spans="1:8">
      <c r="A32" s="18" t="str">
        <f>"202300809"</f>
        <v>202300809</v>
      </c>
      <c r="B32" s="18" t="str">
        <f t="shared" si="5"/>
        <v>005</v>
      </c>
      <c r="C32" s="18" t="str">
        <f t="shared" ref="C32:C36" si="8">"08"</f>
        <v>08</v>
      </c>
      <c r="D32" s="14" t="s">
        <v>10</v>
      </c>
      <c r="E32" s="14" t="s">
        <v>17</v>
      </c>
      <c r="F32" s="19">
        <v>66.2</v>
      </c>
      <c r="G32" s="20">
        <f>SUMPRODUCT(--((B32=$B$4:$B$717)*$F$4:$F$717&gt;F32))+1</f>
        <v>7</v>
      </c>
      <c r="H32" s="18" t="s">
        <v>13</v>
      </c>
    </row>
    <row r="33" s="3" customFormat="1" ht="12" spans="1:8">
      <c r="A33" s="18" t="str">
        <f>"202300730"</f>
        <v>202300730</v>
      </c>
      <c r="B33" s="18" t="str">
        <f t="shared" si="5"/>
        <v>005</v>
      </c>
      <c r="C33" s="18" t="str">
        <f t="shared" si="7"/>
        <v>07</v>
      </c>
      <c r="D33" s="14" t="s">
        <v>10</v>
      </c>
      <c r="E33" s="14" t="s">
        <v>17</v>
      </c>
      <c r="F33" s="19">
        <v>65.6</v>
      </c>
      <c r="G33" s="20">
        <f>SUMPRODUCT(--((B33=$B$4:$B$717)*$F$4:$F$717&gt;F33))+1</f>
        <v>8</v>
      </c>
      <c r="H33" s="18" t="s">
        <v>13</v>
      </c>
    </row>
    <row r="34" s="3" customFormat="1" ht="12" spans="1:8">
      <c r="A34" s="18" t="str">
        <f>"202300802"</f>
        <v>202300802</v>
      </c>
      <c r="B34" s="18" t="str">
        <f t="shared" si="5"/>
        <v>005</v>
      </c>
      <c r="C34" s="18" t="str">
        <f t="shared" si="8"/>
        <v>08</v>
      </c>
      <c r="D34" s="14" t="s">
        <v>10</v>
      </c>
      <c r="E34" s="14" t="s">
        <v>17</v>
      </c>
      <c r="F34" s="19">
        <v>64.77</v>
      </c>
      <c r="G34" s="20">
        <f>SUMPRODUCT(--((B34=$B$4:$B$717)*$F$4:$F$717&gt;F34))+1</f>
        <v>9</v>
      </c>
      <c r="H34" s="18" t="s">
        <v>13</v>
      </c>
    </row>
    <row r="35" s="3" customFormat="1" ht="12" spans="1:8">
      <c r="A35" s="18" t="str">
        <f>"202300801"</f>
        <v>202300801</v>
      </c>
      <c r="B35" s="18" t="str">
        <f t="shared" si="5"/>
        <v>005</v>
      </c>
      <c r="C35" s="18" t="str">
        <f t="shared" si="8"/>
        <v>08</v>
      </c>
      <c r="D35" s="14" t="s">
        <v>10</v>
      </c>
      <c r="E35" s="14" t="s">
        <v>17</v>
      </c>
      <c r="F35" s="19">
        <v>64.09</v>
      </c>
      <c r="G35" s="20">
        <f>SUMPRODUCT(--((B35=$B$4:$B$717)*$F$4:$F$717&gt;F35))+1</f>
        <v>10</v>
      </c>
      <c r="H35" s="18" t="s">
        <v>13</v>
      </c>
    </row>
    <row r="36" s="3" customFormat="1" ht="12" spans="1:8">
      <c r="A36" s="18" t="str">
        <f>"202300813"</f>
        <v>202300813</v>
      </c>
      <c r="B36" s="18" t="str">
        <f t="shared" si="5"/>
        <v>005</v>
      </c>
      <c r="C36" s="18" t="str">
        <f t="shared" si="8"/>
        <v>08</v>
      </c>
      <c r="D36" s="14" t="s">
        <v>10</v>
      </c>
      <c r="E36" s="14" t="s">
        <v>17</v>
      </c>
      <c r="F36" s="19">
        <v>60.66</v>
      </c>
      <c r="G36" s="20">
        <f>SUMPRODUCT(--((B36=$B$4:$B$717)*$F$4:$F$717&gt;F36))+1</f>
        <v>11</v>
      </c>
      <c r="H36" s="18" t="s">
        <v>13</v>
      </c>
    </row>
    <row r="37" s="3" customFormat="1" ht="12" spans="1:8">
      <c r="A37" s="18" t="str">
        <f>"202300727"</f>
        <v>202300727</v>
      </c>
      <c r="B37" s="18" t="str">
        <f t="shared" si="5"/>
        <v>005</v>
      </c>
      <c r="C37" s="18" t="str">
        <f>"07"</f>
        <v>07</v>
      </c>
      <c r="D37" s="14" t="s">
        <v>10</v>
      </c>
      <c r="E37" s="14" t="s">
        <v>17</v>
      </c>
      <c r="F37" s="19">
        <v>56.93</v>
      </c>
      <c r="G37" s="20">
        <f>SUMPRODUCT(--((B37=$B$4:$B$717)*$F$4:$F$717&gt;F37))+1</f>
        <v>12</v>
      </c>
      <c r="H37" s="18" t="s">
        <v>13</v>
      </c>
    </row>
    <row r="38" s="3" customFormat="1" ht="12" spans="1:8">
      <c r="A38" s="18" t="str">
        <f>"202300729"</f>
        <v>202300729</v>
      </c>
      <c r="B38" s="18" t="str">
        <f t="shared" si="5"/>
        <v>005</v>
      </c>
      <c r="C38" s="18" t="str">
        <f>"07"</f>
        <v>07</v>
      </c>
      <c r="D38" s="14" t="s">
        <v>10</v>
      </c>
      <c r="E38" s="14" t="s">
        <v>17</v>
      </c>
      <c r="F38" s="19">
        <v>52.69</v>
      </c>
      <c r="G38" s="20">
        <f>SUMPRODUCT(--((B38=$B$4:$B$717)*$F$4:$F$717&gt;F38))+1</f>
        <v>13</v>
      </c>
      <c r="H38" s="18" t="s">
        <v>13</v>
      </c>
    </row>
    <row r="39" s="3" customFormat="1" ht="12" spans="1:8">
      <c r="A39" s="18" t="str">
        <f>"202300810"</f>
        <v>202300810</v>
      </c>
      <c r="B39" s="18" t="str">
        <f t="shared" si="5"/>
        <v>005</v>
      </c>
      <c r="C39" s="18" t="str">
        <f t="shared" ref="C39:C45" si="9">"08"</f>
        <v>08</v>
      </c>
      <c r="D39" s="14" t="s">
        <v>10</v>
      </c>
      <c r="E39" s="14" t="s">
        <v>17</v>
      </c>
      <c r="F39" s="19">
        <v>52.53</v>
      </c>
      <c r="G39" s="20">
        <f>SUMPRODUCT(--((B39=$B$4:$B$717)*$F$4:$F$717&gt;F39))+1</f>
        <v>14</v>
      </c>
      <c r="H39" s="18" t="s">
        <v>13</v>
      </c>
    </row>
    <row r="40" s="3" customFormat="1" ht="12" spans="1:8">
      <c r="A40" s="18" t="str">
        <f>"202300808"</f>
        <v>202300808</v>
      </c>
      <c r="B40" s="18" t="str">
        <f t="shared" si="5"/>
        <v>005</v>
      </c>
      <c r="C40" s="18" t="str">
        <f t="shared" si="9"/>
        <v>08</v>
      </c>
      <c r="D40" s="14" t="s">
        <v>10</v>
      </c>
      <c r="E40" s="14" t="s">
        <v>17</v>
      </c>
      <c r="F40" s="19">
        <v>49.11</v>
      </c>
      <c r="G40" s="20">
        <f>SUMPRODUCT(--((B40=$B$4:$B$717)*$F$4:$F$717&gt;F40))+1</f>
        <v>15</v>
      </c>
      <c r="H40" s="18" t="s">
        <v>13</v>
      </c>
    </row>
    <row r="41" s="3" customFormat="1" ht="12" spans="1:8">
      <c r="A41" s="18" t="str">
        <f>"202300803"</f>
        <v>202300803</v>
      </c>
      <c r="B41" s="18" t="str">
        <f t="shared" si="5"/>
        <v>005</v>
      </c>
      <c r="C41" s="18" t="str">
        <f t="shared" si="9"/>
        <v>08</v>
      </c>
      <c r="D41" s="14" t="s">
        <v>10</v>
      </c>
      <c r="E41" s="14" t="s">
        <v>17</v>
      </c>
      <c r="F41" s="19">
        <v>0</v>
      </c>
      <c r="G41" s="20">
        <f>SUMPRODUCT(--((B41=$B$4:$B$717)*$F$4:$F$717&gt;F41))+1</f>
        <v>16</v>
      </c>
      <c r="H41" s="18" t="s">
        <v>13</v>
      </c>
    </row>
    <row r="42" s="3" customFormat="1" ht="12" spans="1:8">
      <c r="A42" s="18" t="str">
        <f>"202300805"</f>
        <v>202300805</v>
      </c>
      <c r="B42" s="18" t="str">
        <f t="shared" si="5"/>
        <v>005</v>
      </c>
      <c r="C42" s="18" t="str">
        <f t="shared" si="9"/>
        <v>08</v>
      </c>
      <c r="D42" s="14" t="s">
        <v>10</v>
      </c>
      <c r="E42" s="14" t="s">
        <v>17</v>
      </c>
      <c r="F42" s="19">
        <v>0</v>
      </c>
      <c r="G42" s="20">
        <f>SUMPRODUCT(--((B42=$B$4:$B$717)*$F$4:$F$717&gt;F42))+1</f>
        <v>16</v>
      </c>
      <c r="H42" s="18" t="s">
        <v>13</v>
      </c>
    </row>
    <row r="43" s="3" customFormat="1" ht="12" spans="1:8">
      <c r="A43" s="18" t="str">
        <f>"202300811"</f>
        <v>202300811</v>
      </c>
      <c r="B43" s="18" t="str">
        <f t="shared" si="5"/>
        <v>005</v>
      </c>
      <c r="C43" s="18" t="str">
        <f t="shared" si="9"/>
        <v>08</v>
      </c>
      <c r="D43" s="14" t="s">
        <v>10</v>
      </c>
      <c r="E43" s="14" t="s">
        <v>17</v>
      </c>
      <c r="F43" s="19">
        <v>0</v>
      </c>
      <c r="G43" s="20">
        <f>SUMPRODUCT(--((B43=$B$4:$B$717)*$F$4:$F$717&gt;F43))+1</f>
        <v>16</v>
      </c>
      <c r="H43" s="18" t="s">
        <v>13</v>
      </c>
    </row>
    <row r="44" s="3" customFormat="1" ht="12" spans="1:8">
      <c r="A44" s="18" t="str">
        <f>"202300812"</f>
        <v>202300812</v>
      </c>
      <c r="B44" s="18" t="str">
        <f t="shared" si="5"/>
        <v>005</v>
      </c>
      <c r="C44" s="18" t="str">
        <f t="shared" si="9"/>
        <v>08</v>
      </c>
      <c r="D44" s="14" t="s">
        <v>10</v>
      </c>
      <c r="E44" s="14" t="s">
        <v>17</v>
      </c>
      <c r="F44" s="19">
        <v>0</v>
      </c>
      <c r="G44" s="20">
        <f>SUMPRODUCT(--((B44=$B$4:$B$717)*$F$4:$F$717&gt;F44))+1</f>
        <v>16</v>
      </c>
      <c r="H44" s="18" t="s">
        <v>13</v>
      </c>
    </row>
    <row r="45" s="3" customFormat="1" ht="12" spans="1:8">
      <c r="A45" s="18" t="str">
        <f>"202300814"</f>
        <v>202300814</v>
      </c>
      <c r="B45" s="18" t="str">
        <f t="shared" si="5"/>
        <v>005</v>
      </c>
      <c r="C45" s="18" t="str">
        <f t="shared" si="9"/>
        <v>08</v>
      </c>
      <c r="D45" s="14" t="s">
        <v>10</v>
      </c>
      <c r="E45" s="14" t="s">
        <v>17</v>
      </c>
      <c r="F45" s="19">
        <v>0</v>
      </c>
      <c r="G45" s="20">
        <f>SUMPRODUCT(--((B45=$B$4:$B$717)*$F$4:$F$717&gt;F45))+1</f>
        <v>16</v>
      </c>
      <c r="H45" s="18" t="s">
        <v>13</v>
      </c>
    </row>
    <row r="46" s="3" customFormat="1" ht="12" spans="1:8">
      <c r="A46" s="14" t="str">
        <f>"202301025"</f>
        <v>202301025</v>
      </c>
      <c r="B46" s="14" t="str">
        <f>"006"</f>
        <v>006</v>
      </c>
      <c r="C46" s="14" t="str">
        <f>"10"</f>
        <v>10</v>
      </c>
      <c r="D46" s="14" t="s">
        <v>10</v>
      </c>
      <c r="E46" s="14" t="s">
        <v>18</v>
      </c>
      <c r="F46" s="16">
        <v>61.66</v>
      </c>
      <c r="G46" s="17">
        <f>SUMPRODUCT(--((B46=$B$4:$B$717)*$F$4:$F$717&gt;F46))+1</f>
        <v>1</v>
      </c>
      <c r="H46" s="18" t="s">
        <v>12</v>
      </c>
    </row>
    <row r="47" s="3" customFormat="1" ht="12" spans="1:8">
      <c r="A47" s="18" t="str">
        <f>"202301026"</f>
        <v>202301026</v>
      </c>
      <c r="B47" s="18" t="str">
        <f>"006"</f>
        <v>006</v>
      </c>
      <c r="C47" s="18" t="str">
        <f>"10"</f>
        <v>10</v>
      </c>
      <c r="D47" s="14" t="s">
        <v>10</v>
      </c>
      <c r="E47" s="14" t="s">
        <v>18</v>
      </c>
      <c r="F47" s="19">
        <v>0</v>
      </c>
      <c r="G47" s="20">
        <f>SUMPRODUCT(--((B47=$B$4:$B$717)*$F$4:$F$717&gt;F47))+1</f>
        <v>2</v>
      </c>
      <c r="H47" s="18" t="s">
        <v>13</v>
      </c>
    </row>
    <row r="48" s="3" customFormat="1" ht="12" spans="1:8">
      <c r="A48" s="14" t="str">
        <f>"202300123"</f>
        <v>202300123</v>
      </c>
      <c r="B48" s="14" t="str">
        <f t="shared" ref="B48:B111" si="10">"007"</f>
        <v>007</v>
      </c>
      <c r="C48" s="14" t="str">
        <f>"01"</f>
        <v>01</v>
      </c>
      <c r="D48" s="14" t="s">
        <v>10</v>
      </c>
      <c r="E48" s="14" t="s">
        <v>19</v>
      </c>
      <c r="F48" s="16">
        <v>69.1</v>
      </c>
      <c r="G48" s="17">
        <f>SUMPRODUCT(--((B48=$B$4:$B$717)*$F$4:$F$717&gt;F48))+1</f>
        <v>1</v>
      </c>
      <c r="H48" s="18" t="s">
        <v>12</v>
      </c>
    </row>
    <row r="49" s="3" customFormat="1" ht="12" spans="1:8">
      <c r="A49" s="14" t="str">
        <f>"202300326"</f>
        <v>202300326</v>
      </c>
      <c r="B49" s="14" t="str">
        <f t="shared" si="10"/>
        <v>007</v>
      </c>
      <c r="C49" s="14" t="str">
        <f t="shared" ref="C49:C52" si="11">"03"</f>
        <v>03</v>
      </c>
      <c r="D49" s="14" t="s">
        <v>10</v>
      </c>
      <c r="E49" s="14" t="s">
        <v>19</v>
      </c>
      <c r="F49" s="16">
        <v>69.01</v>
      </c>
      <c r="G49" s="17">
        <f>SUMPRODUCT(--((B49=$B$4:$B$717)*$F$4:$F$717&gt;F49))+1</f>
        <v>2</v>
      </c>
      <c r="H49" s="18" t="s">
        <v>12</v>
      </c>
    </row>
    <row r="50" s="3" customFormat="1" ht="12" spans="1:8">
      <c r="A50" s="14" t="str">
        <f>"202300320"</f>
        <v>202300320</v>
      </c>
      <c r="B50" s="14" t="str">
        <f t="shared" si="10"/>
        <v>007</v>
      </c>
      <c r="C50" s="14" t="str">
        <f t="shared" si="11"/>
        <v>03</v>
      </c>
      <c r="D50" s="14" t="s">
        <v>10</v>
      </c>
      <c r="E50" s="14" t="s">
        <v>19</v>
      </c>
      <c r="F50" s="16">
        <v>67</v>
      </c>
      <c r="G50" s="17">
        <f>SUMPRODUCT(--((B50=$B$4:$B$717)*$F$4:$F$717&gt;F50))+1</f>
        <v>3</v>
      </c>
      <c r="H50" s="18" t="s">
        <v>12</v>
      </c>
    </row>
    <row r="51" s="3" customFormat="1" ht="12" spans="1:8">
      <c r="A51" s="18" t="str">
        <f>"202300119"</f>
        <v>202300119</v>
      </c>
      <c r="B51" s="18" t="str">
        <f t="shared" si="10"/>
        <v>007</v>
      </c>
      <c r="C51" s="18" t="str">
        <f>"01"</f>
        <v>01</v>
      </c>
      <c r="D51" s="14" t="s">
        <v>10</v>
      </c>
      <c r="E51" s="14" t="s">
        <v>19</v>
      </c>
      <c r="F51" s="19">
        <v>66.52</v>
      </c>
      <c r="G51" s="20">
        <f>SUMPRODUCT(--((B51=$B$4:$B$717)*$F$4:$F$717&gt;F51))+1</f>
        <v>4</v>
      </c>
      <c r="H51" s="18" t="s">
        <v>13</v>
      </c>
    </row>
    <row r="52" s="3" customFormat="1" ht="12" spans="1:8">
      <c r="A52" s="18" t="str">
        <f>"202300308"</f>
        <v>202300308</v>
      </c>
      <c r="B52" s="18" t="str">
        <f t="shared" si="10"/>
        <v>007</v>
      </c>
      <c r="C52" s="18" t="str">
        <f t="shared" si="11"/>
        <v>03</v>
      </c>
      <c r="D52" s="14" t="s">
        <v>10</v>
      </c>
      <c r="E52" s="14" t="s">
        <v>19</v>
      </c>
      <c r="F52" s="19">
        <v>66.1</v>
      </c>
      <c r="G52" s="20">
        <f>SUMPRODUCT(--((B52=$B$4:$B$717)*$F$4:$F$717&gt;F52))+1</f>
        <v>5</v>
      </c>
      <c r="H52" s="18" t="s">
        <v>13</v>
      </c>
    </row>
    <row r="53" s="3" customFormat="1" ht="12" spans="1:8">
      <c r="A53" s="18" t="str">
        <f>"202300207"</f>
        <v>202300207</v>
      </c>
      <c r="B53" s="18" t="str">
        <f t="shared" si="10"/>
        <v>007</v>
      </c>
      <c r="C53" s="18" t="str">
        <f t="shared" ref="C53:C55" si="12">"02"</f>
        <v>02</v>
      </c>
      <c r="D53" s="14" t="s">
        <v>10</v>
      </c>
      <c r="E53" s="14" t="s">
        <v>19</v>
      </c>
      <c r="F53" s="19">
        <v>66.08</v>
      </c>
      <c r="G53" s="20">
        <f>SUMPRODUCT(--((B53=$B$4:$B$717)*$F$4:$F$717&gt;F53))+1</f>
        <v>6</v>
      </c>
      <c r="H53" s="18" t="s">
        <v>13</v>
      </c>
    </row>
    <row r="54" s="3" customFormat="1" ht="12" spans="1:8">
      <c r="A54" s="18" t="str">
        <f>"202300210"</f>
        <v>202300210</v>
      </c>
      <c r="B54" s="18" t="str">
        <f t="shared" si="10"/>
        <v>007</v>
      </c>
      <c r="C54" s="18" t="str">
        <f t="shared" si="12"/>
        <v>02</v>
      </c>
      <c r="D54" s="14" t="s">
        <v>10</v>
      </c>
      <c r="E54" s="14" t="s">
        <v>19</v>
      </c>
      <c r="F54" s="19">
        <v>64.94</v>
      </c>
      <c r="G54" s="20">
        <f>SUMPRODUCT(--((B54=$B$4:$B$717)*$F$4:$F$717&gt;F54))+1</f>
        <v>7</v>
      </c>
      <c r="H54" s="18" t="s">
        <v>13</v>
      </c>
    </row>
    <row r="55" s="3" customFormat="1" ht="12" spans="1:8">
      <c r="A55" s="18" t="str">
        <f>"202300201"</f>
        <v>202300201</v>
      </c>
      <c r="B55" s="18" t="str">
        <f t="shared" si="10"/>
        <v>007</v>
      </c>
      <c r="C55" s="18" t="str">
        <f t="shared" si="12"/>
        <v>02</v>
      </c>
      <c r="D55" s="14" t="s">
        <v>10</v>
      </c>
      <c r="E55" s="14" t="s">
        <v>19</v>
      </c>
      <c r="F55" s="19">
        <v>64.51</v>
      </c>
      <c r="G55" s="20">
        <f>SUMPRODUCT(--((B55=$B$4:$B$717)*$F$4:$F$717&gt;F55))+1</f>
        <v>8</v>
      </c>
      <c r="H55" s="18" t="s">
        <v>13</v>
      </c>
    </row>
    <row r="56" s="3" customFormat="1" ht="12" spans="1:8">
      <c r="A56" s="18" t="str">
        <f>"202300324"</f>
        <v>202300324</v>
      </c>
      <c r="B56" s="18" t="str">
        <f t="shared" si="10"/>
        <v>007</v>
      </c>
      <c r="C56" s="18" t="str">
        <f>"03"</f>
        <v>03</v>
      </c>
      <c r="D56" s="14" t="s">
        <v>10</v>
      </c>
      <c r="E56" s="14" t="s">
        <v>19</v>
      </c>
      <c r="F56" s="19">
        <v>63.99</v>
      </c>
      <c r="G56" s="20">
        <f>SUMPRODUCT(--((B56=$B$4:$B$717)*$F$4:$F$717&gt;F56))+1</f>
        <v>9</v>
      </c>
      <c r="H56" s="18" t="s">
        <v>13</v>
      </c>
    </row>
    <row r="57" s="3" customFormat="1" ht="12" spans="1:8">
      <c r="A57" s="18" t="str">
        <f>"202300129"</f>
        <v>202300129</v>
      </c>
      <c r="B57" s="18" t="str">
        <f t="shared" si="10"/>
        <v>007</v>
      </c>
      <c r="C57" s="18" t="str">
        <f t="shared" ref="C57:C59" si="13">"01"</f>
        <v>01</v>
      </c>
      <c r="D57" s="14" t="s">
        <v>10</v>
      </c>
      <c r="E57" s="14" t="s">
        <v>19</v>
      </c>
      <c r="F57" s="19">
        <v>63.77</v>
      </c>
      <c r="G57" s="20">
        <f>SUMPRODUCT(--((B57=$B$4:$B$717)*$F$4:$F$717&gt;F57))+1</f>
        <v>10</v>
      </c>
      <c r="H57" s="18" t="s">
        <v>13</v>
      </c>
    </row>
    <row r="58" s="3" customFormat="1" ht="12" spans="1:8">
      <c r="A58" s="18" t="str">
        <f>"202300114"</f>
        <v>202300114</v>
      </c>
      <c r="B58" s="18" t="str">
        <f t="shared" si="10"/>
        <v>007</v>
      </c>
      <c r="C58" s="18" t="str">
        <f t="shared" si="13"/>
        <v>01</v>
      </c>
      <c r="D58" s="14" t="s">
        <v>10</v>
      </c>
      <c r="E58" s="14" t="s">
        <v>19</v>
      </c>
      <c r="F58" s="19">
        <v>63.18</v>
      </c>
      <c r="G58" s="20">
        <f>SUMPRODUCT(--((B58=$B$4:$B$717)*$F$4:$F$717&gt;F58))+1</f>
        <v>11</v>
      </c>
      <c r="H58" s="18" t="s">
        <v>13</v>
      </c>
    </row>
    <row r="59" s="3" customFormat="1" ht="12" spans="1:8">
      <c r="A59" s="18" t="str">
        <f>"202300101"</f>
        <v>202300101</v>
      </c>
      <c r="B59" s="18" t="str">
        <f t="shared" si="10"/>
        <v>007</v>
      </c>
      <c r="C59" s="18" t="str">
        <f t="shared" si="13"/>
        <v>01</v>
      </c>
      <c r="D59" s="14" t="s">
        <v>10</v>
      </c>
      <c r="E59" s="14" t="s">
        <v>19</v>
      </c>
      <c r="F59" s="19">
        <v>62.69</v>
      </c>
      <c r="G59" s="20">
        <f>SUMPRODUCT(--((B59=$B$4:$B$717)*$F$4:$F$717&gt;F59))+1</f>
        <v>12</v>
      </c>
      <c r="H59" s="18" t="s">
        <v>13</v>
      </c>
    </row>
    <row r="60" s="3" customFormat="1" ht="12" spans="1:8">
      <c r="A60" s="18" t="str">
        <f>"202300228"</f>
        <v>202300228</v>
      </c>
      <c r="B60" s="18" t="str">
        <f t="shared" si="10"/>
        <v>007</v>
      </c>
      <c r="C60" s="18" t="str">
        <f>"02"</f>
        <v>02</v>
      </c>
      <c r="D60" s="14" t="s">
        <v>10</v>
      </c>
      <c r="E60" s="14" t="s">
        <v>19</v>
      </c>
      <c r="F60" s="19">
        <v>62.52</v>
      </c>
      <c r="G60" s="20">
        <f>SUMPRODUCT(--((B60=$B$4:$B$717)*$F$4:$F$717&gt;F60))+1</f>
        <v>13</v>
      </c>
      <c r="H60" s="18" t="s">
        <v>13</v>
      </c>
    </row>
    <row r="61" s="3" customFormat="1" ht="12" spans="1:8">
      <c r="A61" s="18" t="str">
        <f>"202300121"</f>
        <v>202300121</v>
      </c>
      <c r="B61" s="18" t="str">
        <f t="shared" si="10"/>
        <v>007</v>
      </c>
      <c r="C61" s="18" t="str">
        <f t="shared" ref="C61:C67" si="14">"01"</f>
        <v>01</v>
      </c>
      <c r="D61" s="14" t="s">
        <v>10</v>
      </c>
      <c r="E61" s="14" t="s">
        <v>19</v>
      </c>
      <c r="F61" s="19">
        <v>62.12</v>
      </c>
      <c r="G61" s="20">
        <f>SUMPRODUCT(--((B61=$B$4:$B$717)*$F$4:$F$717&gt;F61))+1</f>
        <v>14</v>
      </c>
      <c r="H61" s="18" t="s">
        <v>13</v>
      </c>
    </row>
    <row r="62" s="3" customFormat="1" ht="12" spans="1:8">
      <c r="A62" s="18" t="str">
        <f>"202300221"</f>
        <v>202300221</v>
      </c>
      <c r="B62" s="18" t="str">
        <f t="shared" si="10"/>
        <v>007</v>
      </c>
      <c r="C62" s="18" t="str">
        <f>"02"</f>
        <v>02</v>
      </c>
      <c r="D62" s="14" t="s">
        <v>10</v>
      </c>
      <c r="E62" s="14" t="s">
        <v>19</v>
      </c>
      <c r="F62" s="19">
        <v>61.37</v>
      </c>
      <c r="G62" s="20">
        <f>SUMPRODUCT(--((B62=$B$4:$B$717)*$F$4:$F$717&gt;F62))+1</f>
        <v>15</v>
      </c>
      <c r="H62" s="18" t="s">
        <v>13</v>
      </c>
    </row>
    <row r="63" s="3" customFormat="1" ht="12" spans="1:8">
      <c r="A63" s="18" t="str">
        <f>"202300312"</f>
        <v>202300312</v>
      </c>
      <c r="B63" s="18" t="str">
        <f t="shared" si="10"/>
        <v>007</v>
      </c>
      <c r="C63" s="18" t="str">
        <f>"03"</f>
        <v>03</v>
      </c>
      <c r="D63" s="14" t="s">
        <v>10</v>
      </c>
      <c r="E63" s="14" t="s">
        <v>19</v>
      </c>
      <c r="F63" s="19">
        <v>61.18</v>
      </c>
      <c r="G63" s="20">
        <f>SUMPRODUCT(--((B63=$B$4:$B$717)*$F$4:$F$717&gt;F63))+1</f>
        <v>16</v>
      </c>
      <c r="H63" s="18" t="s">
        <v>13</v>
      </c>
    </row>
    <row r="64" s="3" customFormat="1" ht="12" spans="1:8">
      <c r="A64" s="18" t="str">
        <f>"202300405"</f>
        <v>202300405</v>
      </c>
      <c r="B64" s="18" t="str">
        <f t="shared" si="10"/>
        <v>007</v>
      </c>
      <c r="C64" s="18" t="str">
        <f>"04"</f>
        <v>04</v>
      </c>
      <c r="D64" s="14" t="s">
        <v>10</v>
      </c>
      <c r="E64" s="14" t="s">
        <v>19</v>
      </c>
      <c r="F64" s="19">
        <v>61.02</v>
      </c>
      <c r="G64" s="20">
        <f>SUMPRODUCT(--((B64=$B$4:$B$717)*$F$4:$F$717&gt;F64))+1</f>
        <v>17</v>
      </c>
      <c r="H64" s="18" t="s">
        <v>13</v>
      </c>
    </row>
    <row r="65" s="3" customFormat="1" ht="12" spans="1:8">
      <c r="A65" s="18" t="str">
        <f>"202300117"</f>
        <v>202300117</v>
      </c>
      <c r="B65" s="18" t="str">
        <f t="shared" si="10"/>
        <v>007</v>
      </c>
      <c r="C65" s="18" t="str">
        <f t="shared" si="14"/>
        <v>01</v>
      </c>
      <c r="D65" s="14" t="s">
        <v>10</v>
      </c>
      <c r="E65" s="14" t="s">
        <v>19</v>
      </c>
      <c r="F65" s="19">
        <v>60.66</v>
      </c>
      <c r="G65" s="20">
        <f>SUMPRODUCT(--((B65=$B$4:$B$717)*$F$4:$F$717&gt;F65))+1</f>
        <v>18</v>
      </c>
      <c r="H65" s="18" t="s">
        <v>13</v>
      </c>
    </row>
    <row r="66" s="3" customFormat="1" ht="12" spans="1:8">
      <c r="A66" s="18" t="str">
        <f>"202300115"</f>
        <v>202300115</v>
      </c>
      <c r="B66" s="18" t="str">
        <f t="shared" si="10"/>
        <v>007</v>
      </c>
      <c r="C66" s="18" t="str">
        <f t="shared" si="14"/>
        <v>01</v>
      </c>
      <c r="D66" s="14" t="s">
        <v>10</v>
      </c>
      <c r="E66" s="14" t="s">
        <v>19</v>
      </c>
      <c r="F66" s="19">
        <v>60.16</v>
      </c>
      <c r="G66" s="20">
        <f>SUMPRODUCT(--((B66=$B$4:$B$717)*$F$4:$F$717&gt;F66))+1</f>
        <v>19</v>
      </c>
      <c r="H66" s="18" t="s">
        <v>13</v>
      </c>
    </row>
    <row r="67" s="3" customFormat="1" ht="12" spans="1:8">
      <c r="A67" s="18" t="str">
        <f>"202300128"</f>
        <v>202300128</v>
      </c>
      <c r="B67" s="18" t="str">
        <f t="shared" si="10"/>
        <v>007</v>
      </c>
      <c r="C67" s="18" t="str">
        <f t="shared" si="14"/>
        <v>01</v>
      </c>
      <c r="D67" s="14" t="s">
        <v>10</v>
      </c>
      <c r="E67" s="14" t="s">
        <v>19</v>
      </c>
      <c r="F67" s="19">
        <v>60.1</v>
      </c>
      <c r="G67" s="20">
        <f>SUMPRODUCT(--((B67=$B$4:$B$717)*$F$4:$F$717&gt;F67))+1</f>
        <v>20</v>
      </c>
      <c r="H67" s="18" t="s">
        <v>13</v>
      </c>
    </row>
    <row r="68" s="3" customFormat="1" ht="12" spans="1:8">
      <c r="A68" s="18" t="str">
        <f>"202300218"</f>
        <v>202300218</v>
      </c>
      <c r="B68" s="18" t="str">
        <f t="shared" si="10"/>
        <v>007</v>
      </c>
      <c r="C68" s="18" t="str">
        <f t="shared" ref="C68:C72" si="15">"02"</f>
        <v>02</v>
      </c>
      <c r="D68" s="14" t="s">
        <v>10</v>
      </c>
      <c r="E68" s="14" t="s">
        <v>19</v>
      </c>
      <c r="F68" s="19">
        <v>59.82</v>
      </c>
      <c r="G68" s="20">
        <f>SUMPRODUCT(--((B68=$B$4:$B$717)*$F$4:$F$717&gt;F68))+1</f>
        <v>21</v>
      </c>
      <c r="H68" s="18" t="s">
        <v>13</v>
      </c>
    </row>
    <row r="69" s="3" customFormat="1" ht="12" spans="1:8">
      <c r="A69" s="18" t="str">
        <f>"202300222"</f>
        <v>202300222</v>
      </c>
      <c r="B69" s="18" t="str">
        <f t="shared" si="10"/>
        <v>007</v>
      </c>
      <c r="C69" s="18" t="str">
        <f t="shared" si="15"/>
        <v>02</v>
      </c>
      <c r="D69" s="14" t="s">
        <v>10</v>
      </c>
      <c r="E69" s="14" t="s">
        <v>19</v>
      </c>
      <c r="F69" s="19">
        <v>58.69</v>
      </c>
      <c r="G69" s="20">
        <f>SUMPRODUCT(--((B69=$B$4:$B$717)*$F$4:$F$717&gt;F69))+1</f>
        <v>22</v>
      </c>
      <c r="H69" s="18" t="s">
        <v>13</v>
      </c>
    </row>
    <row r="70" s="3" customFormat="1" ht="12" spans="1:8">
      <c r="A70" s="18" t="str">
        <f>"202300317"</f>
        <v>202300317</v>
      </c>
      <c r="B70" s="18" t="str">
        <f t="shared" si="10"/>
        <v>007</v>
      </c>
      <c r="C70" s="18" t="str">
        <f t="shared" ref="C70:C75" si="16">"03"</f>
        <v>03</v>
      </c>
      <c r="D70" s="14" t="s">
        <v>10</v>
      </c>
      <c r="E70" s="14" t="s">
        <v>19</v>
      </c>
      <c r="F70" s="19">
        <v>58.6</v>
      </c>
      <c r="G70" s="20">
        <f>SUMPRODUCT(--((B70=$B$4:$B$717)*$F$4:$F$717&gt;F70))+1</f>
        <v>23</v>
      </c>
      <c r="H70" s="18" t="s">
        <v>13</v>
      </c>
    </row>
    <row r="71" s="3" customFormat="1" ht="12" spans="1:8">
      <c r="A71" s="18" t="str">
        <f>"202300112"</f>
        <v>202300112</v>
      </c>
      <c r="B71" s="18" t="str">
        <f t="shared" si="10"/>
        <v>007</v>
      </c>
      <c r="C71" s="18" t="str">
        <f>"01"</f>
        <v>01</v>
      </c>
      <c r="D71" s="14" t="s">
        <v>10</v>
      </c>
      <c r="E71" s="14" t="s">
        <v>19</v>
      </c>
      <c r="F71" s="19">
        <v>58.26</v>
      </c>
      <c r="G71" s="20">
        <f>SUMPRODUCT(--((B71=$B$4:$B$717)*$F$4:$F$717&gt;F71))+1</f>
        <v>24</v>
      </c>
      <c r="H71" s="18" t="s">
        <v>13</v>
      </c>
    </row>
    <row r="72" s="3" customFormat="1" ht="12" spans="1:8">
      <c r="A72" s="18" t="str">
        <f>"202300214"</f>
        <v>202300214</v>
      </c>
      <c r="B72" s="18" t="str">
        <f t="shared" si="10"/>
        <v>007</v>
      </c>
      <c r="C72" s="18" t="str">
        <f t="shared" si="15"/>
        <v>02</v>
      </c>
      <c r="D72" s="14" t="s">
        <v>10</v>
      </c>
      <c r="E72" s="14" t="s">
        <v>19</v>
      </c>
      <c r="F72" s="19">
        <v>58.15</v>
      </c>
      <c r="G72" s="20">
        <f>SUMPRODUCT(--((B72=$B$4:$B$717)*$F$4:$F$717&gt;F72))+1</f>
        <v>25</v>
      </c>
      <c r="H72" s="18" t="s">
        <v>13</v>
      </c>
    </row>
    <row r="73" s="3" customFormat="1" ht="12" spans="1:8">
      <c r="A73" s="18" t="str">
        <f>"202300307"</f>
        <v>202300307</v>
      </c>
      <c r="B73" s="18" t="str">
        <f t="shared" si="10"/>
        <v>007</v>
      </c>
      <c r="C73" s="18" t="str">
        <f t="shared" si="16"/>
        <v>03</v>
      </c>
      <c r="D73" s="14" t="s">
        <v>10</v>
      </c>
      <c r="E73" s="14" t="s">
        <v>19</v>
      </c>
      <c r="F73" s="19">
        <v>58</v>
      </c>
      <c r="G73" s="20">
        <f>SUMPRODUCT(--((B73=$B$4:$B$717)*$F$4:$F$717&gt;F73))+1</f>
        <v>26</v>
      </c>
      <c r="H73" s="18" t="s">
        <v>13</v>
      </c>
    </row>
    <row r="74" s="3" customFormat="1" ht="12" spans="1:8">
      <c r="A74" s="18" t="str">
        <f>"202300327"</f>
        <v>202300327</v>
      </c>
      <c r="B74" s="18" t="str">
        <f t="shared" si="10"/>
        <v>007</v>
      </c>
      <c r="C74" s="18" t="str">
        <f t="shared" si="16"/>
        <v>03</v>
      </c>
      <c r="D74" s="14" t="s">
        <v>10</v>
      </c>
      <c r="E74" s="14" t="s">
        <v>19</v>
      </c>
      <c r="F74" s="19">
        <v>57.76</v>
      </c>
      <c r="G74" s="20">
        <f>SUMPRODUCT(--((B74=$B$4:$B$717)*$F$4:$F$717&gt;F74))+1</f>
        <v>27</v>
      </c>
      <c r="H74" s="18" t="s">
        <v>13</v>
      </c>
    </row>
    <row r="75" s="3" customFormat="1" ht="12" spans="1:8">
      <c r="A75" s="18" t="str">
        <f>"202300313"</f>
        <v>202300313</v>
      </c>
      <c r="B75" s="18" t="str">
        <f t="shared" si="10"/>
        <v>007</v>
      </c>
      <c r="C75" s="18" t="str">
        <f t="shared" si="16"/>
        <v>03</v>
      </c>
      <c r="D75" s="14" t="s">
        <v>10</v>
      </c>
      <c r="E75" s="14" t="s">
        <v>19</v>
      </c>
      <c r="F75" s="19">
        <v>56.83</v>
      </c>
      <c r="G75" s="20">
        <f>SUMPRODUCT(--((B75=$B$4:$B$717)*$F$4:$F$717&gt;F75))+1</f>
        <v>28</v>
      </c>
      <c r="H75" s="18" t="s">
        <v>13</v>
      </c>
    </row>
    <row r="76" s="3" customFormat="1" ht="12" spans="1:8">
      <c r="A76" s="18" t="str">
        <f>"202300102"</f>
        <v>202300102</v>
      </c>
      <c r="B76" s="18" t="str">
        <f t="shared" si="10"/>
        <v>007</v>
      </c>
      <c r="C76" s="18" t="str">
        <f t="shared" ref="C76:C79" si="17">"01"</f>
        <v>01</v>
      </c>
      <c r="D76" s="14" t="s">
        <v>10</v>
      </c>
      <c r="E76" s="14" t="s">
        <v>19</v>
      </c>
      <c r="F76" s="19">
        <v>56.6</v>
      </c>
      <c r="G76" s="20">
        <f>SUMPRODUCT(--((B76=$B$4:$B$717)*$F$4:$F$717&gt;F76))+1</f>
        <v>29</v>
      </c>
      <c r="H76" s="18" t="s">
        <v>13</v>
      </c>
    </row>
    <row r="77" s="3" customFormat="1" ht="12" spans="1:8">
      <c r="A77" s="18" t="str">
        <f>"202300306"</f>
        <v>202300306</v>
      </c>
      <c r="B77" s="18" t="str">
        <f t="shared" si="10"/>
        <v>007</v>
      </c>
      <c r="C77" s="18" t="str">
        <f>"03"</f>
        <v>03</v>
      </c>
      <c r="D77" s="14" t="s">
        <v>10</v>
      </c>
      <c r="E77" s="14" t="s">
        <v>19</v>
      </c>
      <c r="F77" s="19">
        <v>55.78</v>
      </c>
      <c r="G77" s="20">
        <f>SUMPRODUCT(--((B77=$B$4:$B$717)*$F$4:$F$717&gt;F77))+1</f>
        <v>30</v>
      </c>
      <c r="H77" s="18" t="s">
        <v>13</v>
      </c>
    </row>
    <row r="78" s="3" customFormat="1" ht="12" spans="1:8">
      <c r="A78" s="18" t="str">
        <f>"202300110"</f>
        <v>202300110</v>
      </c>
      <c r="B78" s="18" t="str">
        <f t="shared" si="10"/>
        <v>007</v>
      </c>
      <c r="C78" s="18" t="str">
        <f t="shared" si="17"/>
        <v>01</v>
      </c>
      <c r="D78" s="14" t="s">
        <v>10</v>
      </c>
      <c r="E78" s="14" t="s">
        <v>19</v>
      </c>
      <c r="F78" s="19">
        <v>55.66</v>
      </c>
      <c r="G78" s="20">
        <f>SUMPRODUCT(--((B78=$B$4:$B$717)*$F$4:$F$717&gt;F78))+1</f>
        <v>31</v>
      </c>
      <c r="H78" s="18" t="s">
        <v>13</v>
      </c>
    </row>
    <row r="79" s="3" customFormat="1" ht="12" spans="1:8">
      <c r="A79" s="18" t="str">
        <f>"202300125"</f>
        <v>202300125</v>
      </c>
      <c r="B79" s="18" t="str">
        <f t="shared" si="10"/>
        <v>007</v>
      </c>
      <c r="C79" s="18" t="str">
        <f t="shared" si="17"/>
        <v>01</v>
      </c>
      <c r="D79" s="14" t="s">
        <v>10</v>
      </c>
      <c r="E79" s="14" t="s">
        <v>19</v>
      </c>
      <c r="F79" s="19">
        <v>54.27</v>
      </c>
      <c r="G79" s="20">
        <f>SUMPRODUCT(--((B79=$B$4:$B$717)*$F$4:$F$717&gt;F79))+1</f>
        <v>32</v>
      </c>
      <c r="H79" s="18" t="s">
        <v>13</v>
      </c>
    </row>
    <row r="80" s="3" customFormat="1" ht="12" spans="1:8">
      <c r="A80" s="18" t="str">
        <f>"202300407"</f>
        <v>202300407</v>
      </c>
      <c r="B80" s="18" t="str">
        <f t="shared" si="10"/>
        <v>007</v>
      </c>
      <c r="C80" s="18" t="str">
        <f>"04"</f>
        <v>04</v>
      </c>
      <c r="D80" s="14" t="s">
        <v>10</v>
      </c>
      <c r="E80" s="14" t="s">
        <v>19</v>
      </c>
      <c r="F80" s="19">
        <v>54.19</v>
      </c>
      <c r="G80" s="20">
        <f>SUMPRODUCT(--((B80=$B$4:$B$717)*$F$4:$F$717&gt;F80))+1</f>
        <v>33</v>
      </c>
      <c r="H80" s="18" t="s">
        <v>13</v>
      </c>
    </row>
    <row r="81" s="3" customFormat="1" ht="12" spans="1:8">
      <c r="A81" s="18" t="str">
        <f>"202300202"</f>
        <v>202300202</v>
      </c>
      <c r="B81" s="18" t="str">
        <f t="shared" si="10"/>
        <v>007</v>
      </c>
      <c r="C81" s="18" t="str">
        <f t="shared" ref="C81:C83" si="18">"02"</f>
        <v>02</v>
      </c>
      <c r="D81" s="14" t="s">
        <v>10</v>
      </c>
      <c r="E81" s="14" t="s">
        <v>19</v>
      </c>
      <c r="F81" s="19">
        <v>54.17</v>
      </c>
      <c r="G81" s="20">
        <f>SUMPRODUCT(--((B81=$B$4:$B$717)*$F$4:$F$717&gt;F81))+1</f>
        <v>34</v>
      </c>
      <c r="H81" s="18" t="s">
        <v>13</v>
      </c>
    </row>
    <row r="82" s="3" customFormat="1" ht="12" spans="1:8">
      <c r="A82" s="18" t="str">
        <f>"202300211"</f>
        <v>202300211</v>
      </c>
      <c r="B82" s="18" t="str">
        <f t="shared" si="10"/>
        <v>007</v>
      </c>
      <c r="C82" s="18" t="str">
        <f t="shared" si="18"/>
        <v>02</v>
      </c>
      <c r="D82" s="14" t="s">
        <v>10</v>
      </c>
      <c r="E82" s="14" t="s">
        <v>19</v>
      </c>
      <c r="F82" s="19">
        <v>53.92</v>
      </c>
      <c r="G82" s="20">
        <f>SUMPRODUCT(--((B82=$B$4:$B$717)*$F$4:$F$717&gt;F82))+1</f>
        <v>35</v>
      </c>
      <c r="H82" s="18" t="s">
        <v>13</v>
      </c>
    </row>
    <row r="83" s="3" customFormat="1" ht="12" spans="1:8">
      <c r="A83" s="18" t="str">
        <f>"202300216"</f>
        <v>202300216</v>
      </c>
      <c r="B83" s="18" t="str">
        <f t="shared" si="10"/>
        <v>007</v>
      </c>
      <c r="C83" s="18" t="str">
        <f t="shared" si="18"/>
        <v>02</v>
      </c>
      <c r="D83" s="14" t="s">
        <v>10</v>
      </c>
      <c r="E83" s="14" t="s">
        <v>19</v>
      </c>
      <c r="F83" s="19">
        <v>52.59</v>
      </c>
      <c r="G83" s="20">
        <f>SUMPRODUCT(--((B83=$B$4:$B$717)*$F$4:$F$717&gt;F83))+1</f>
        <v>36</v>
      </c>
      <c r="H83" s="18" t="s">
        <v>13</v>
      </c>
    </row>
    <row r="84" s="3" customFormat="1" ht="12" spans="1:8">
      <c r="A84" s="18" t="str">
        <f>"202300402"</f>
        <v>202300402</v>
      </c>
      <c r="B84" s="18" t="str">
        <f t="shared" si="10"/>
        <v>007</v>
      </c>
      <c r="C84" s="18" t="str">
        <f>"04"</f>
        <v>04</v>
      </c>
      <c r="D84" s="14" t="s">
        <v>10</v>
      </c>
      <c r="E84" s="14" t="s">
        <v>19</v>
      </c>
      <c r="F84" s="19">
        <v>52.27</v>
      </c>
      <c r="G84" s="20">
        <f>SUMPRODUCT(--((B84=$B$4:$B$717)*$F$4:$F$717&gt;F84))+1</f>
        <v>37</v>
      </c>
      <c r="H84" s="18" t="s">
        <v>13</v>
      </c>
    </row>
    <row r="85" s="3" customFormat="1" ht="12" spans="1:8">
      <c r="A85" s="18" t="str">
        <f>"202300130"</f>
        <v>202300130</v>
      </c>
      <c r="B85" s="18" t="str">
        <f t="shared" si="10"/>
        <v>007</v>
      </c>
      <c r="C85" s="18" t="str">
        <f>"01"</f>
        <v>01</v>
      </c>
      <c r="D85" s="14" t="s">
        <v>10</v>
      </c>
      <c r="E85" s="14" t="s">
        <v>19</v>
      </c>
      <c r="F85" s="19">
        <v>52.08</v>
      </c>
      <c r="G85" s="20">
        <f>SUMPRODUCT(--((B85=$B$4:$B$717)*$F$4:$F$717&gt;F85))+1</f>
        <v>38</v>
      </c>
      <c r="H85" s="18" t="s">
        <v>13</v>
      </c>
    </row>
    <row r="86" s="3" customFormat="1" ht="12" spans="1:8">
      <c r="A86" s="18" t="str">
        <f>"202300223"</f>
        <v>202300223</v>
      </c>
      <c r="B86" s="18" t="str">
        <f t="shared" si="10"/>
        <v>007</v>
      </c>
      <c r="C86" s="18" t="str">
        <f>"02"</f>
        <v>02</v>
      </c>
      <c r="D86" s="14" t="s">
        <v>10</v>
      </c>
      <c r="E86" s="14" t="s">
        <v>19</v>
      </c>
      <c r="F86" s="19">
        <v>51.76</v>
      </c>
      <c r="G86" s="20">
        <f>SUMPRODUCT(--((B86=$B$4:$B$717)*$F$4:$F$717&gt;F86))+1</f>
        <v>39</v>
      </c>
      <c r="H86" s="18" t="s">
        <v>13</v>
      </c>
    </row>
    <row r="87" s="3" customFormat="1" ht="12" spans="1:8">
      <c r="A87" s="18" t="str">
        <f>"202300322"</f>
        <v>202300322</v>
      </c>
      <c r="B87" s="18" t="str">
        <f t="shared" si="10"/>
        <v>007</v>
      </c>
      <c r="C87" s="18" t="str">
        <f t="shared" ref="C87:C92" si="19">"03"</f>
        <v>03</v>
      </c>
      <c r="D87" s="14" t="s">
        <v>10</v>
      </c>
      <c r="E87" s="14" t="s">
        <v>19</v>
      </c>
      <c r="F87" s="19">
        <v>51.67</v>
      </c>
      <c r="G87" s="20">
        <f>SUMPRODUCT(--((B87=$B$4:$B$717)*$F$4:$F$717&gt;F87))+1</f>
        <v>40</v>
      </c>
      <c r="H87" s="18" t="s">
        <v>13</v>
      </c>
    </row>
    <row r="88" s="3" customFormat="1" ht="12" spans="1:8">
      <c r="A88" s="18" t="str">
        <f>"202300226"</f>
        <v>202300226</v>
      </c>
      <c r="B88" s="18" t="str">
        <f t="shared" si="10"/>
        <v>007</v>
      </c>
      <c r="C88" s="18" t="str">
        <f>"02"</f>
        <v>02</v>
      </c>
      <c r="D88" s="14" t="s">
        <v>10</v>
      </c>
      <c r="E88" s="14" t="s">
        <v>19</v>
      </c>
      <c r="F88" s="19">
        <v>51.6</v>
      </c>
      <c r="G88" s="20">
        <f>SUMPRODUCT(--((B88=$B$4:$B$717)*$F$4:$F$717&gt;F88))+1</f>
        <v>41</v>
      </c>
      <c r="H88" s="18" t="s">
        <v>13</v>
      </c>
    </row>
    <row r="89" s="3" customFormat="1" ht="12" spans="1:8">
      <c r="A89" s="18" t="str">
        <f>"202300118"</f>
        <v>202300118</v>
      </c>
      <c r="B89" s="18" t="str">
        <f t="shared" si="10"/>
        <v>007</v>
      </c>
      <c r="C89" s="18" t="str">
        <f>"01"</f>
        <v>01</v>
      </c>
      <c r="D89" s="14" t="s">
        <v>10</v>
      </c>
      <c r="E89" s="14" t="s">
        <v>19</v>
      </c>
      <c r="F89" s="19">
        <v>51.25</v>
      </c>
      <c r="G89" s="20">
        <f>SUMPRODUCT(--((B89=$B$4:$B$717)*$F$4:$F$717&gt;F89))+1</f>
        <v>42</v>
      </c>
      <c r="H89" s="18" t="s">
        <v>13</v>
      </c>
    </row>
    <row r="90" s="3" customFormat="1" ht="12" spans="1:8">
      <c r="A90" s="18" t="str">
        <f>"202300329"</f>
        <v>202300329</v>
      </c>
      <c r="B90" s="18" t="str">
        <f t="shared" si="10"/>
        <v>007</v>
      </c>
      <c r="C90" s="18" t="str">
        <f t="shared" si="19"/>
        <v>03</v>
      </c>
      <c r="D90" s="14" t="s">
        <v>10</v>
      </c>
      <c r="E90" s="14" t="s">
        <v>19</v>
      </c>
      <c r="F90" s="19">
        <v>51.17</v>
      </c>
      <c r="G90" s="20">
        <f>SUMPRODUCT(--((B90=$B$4:$B$717)*$F$4:$F$717&gt;F90))+1</f>
        <v>43</v>
      </c>
      <c r="H90" s="18" t="s">
        <v>13</v>
      </c>
    </row>
    <row r="91" s="3" customFormat="1" ht="12" spans="1:8">
      <c r="A91" s="18" t="str">
        <f>"202300330"</f>
        <v>202300330</v>
      </c>
      <c r="B91" s="18" t="str">
        <f t="shared" si="10"/>
        <v>007</v>
      </c>
      <c r="C91" s="18" t="str">
        <f t="shared" si="19"/>
        <v>03</v>
      </c>
      <c r="D91" s="14" t="s">
        <v>10</v>
      </c>
      <c r="E91" s="14" t="s">
        <v>19</v>
      </c>
      <c r="F91" s="19">
        <v>50.17</v>
      </c>
      <c r="G91" s="20">
        <f>SUMPRODUCT(--((B91=$B$4:$B$717)*$F$4:$F$717&gt;F91))+1</f>
        <v>44</v>
      </c>
      <c r="H91" s="18" t="s">
        <v>13</v>
      </c>
    </row>
    <row r="92" s="3" customFormat="1" ht="12" spans="1:8">
      <c r="A92" s="18" t="str">
        <f>"202300311"</f>
        <v>202300311</v>
      </c>
      <c r="B92" s="18" t="str">
        <f t="shared" si="10"/>
        <v>007</v>
      </c>
      <c r="C92" s="18" t="str">
        <f t="shared" si="19"/>
        <v>03</v>
      </c>
      <c r="D92" s="14" t="s">
        <v>10</v>
      </c>
      <c r="E92" s="14" t="s">
        <v>19</v>
      </c>
      <c r="F92" s="19">
        <v>50.09</v>
      </c>
      <c r="G92" s="20">
        <f>SUMPRODUCT(--((B92=$B$4:$B$717)*$F$4:$F$717&gt;F92))+1</f>
        <v>45</v>
      </c>
      <c r="H92" s="18" t="s">
        <v>13</v>
      </c>
    </row>
    <row r="93" s="3" customFormat="1" ht="12" spans="1:8">
      <c r="A93" s="18" t="str">
        <f>"202300213"</f>
        <v>202300213</v>
      </c>
      <c r="B93" s="18" t="str">
        <f t="shared" si="10"/>
        <v>007</v>
      </c>
      <c r="C93" s="18" t="str">
        <f t="shared" ref="C93:C98" si="20">"02"</f>
        <v>02</v>
      </c>
      <c r="D93" s="14" t="s">
        <v>10</v>
      </c>
      <c r="E93" s="14" t="s">
        <v>19</v>
      </c>
      <c r="F93" s="19">
        <v>50.07</v>
      </c>
      <c r="G93" s="20">
        <f>SUMPRODUCT(--((B93=$B$4:$B$717)*$F$4:$F$717&gt;F93))+1</f>
        <v>46</v>
      </c>
      <c r="H93" s="18" t="s">
        <v>13</v>
      </c>
    </row>
    <row r="94" s="3" customFormat="1" ht="12" spans="1:8">
      <c r="A94" s="18" t="str">
        <f>"202300401"</f>
        <v>202300401</v>
      </c>
      <c r="B94" s="18" t="str">
        <f t="shared" si="10"/>
        <v>007</v>
      </c>
      <c r="C94" s="18" t="str">
        <f>"04"</f>
        <v>04</v>
      </c>
      <c r="D94" s="14" t="s">
        <v>10</v>
      </c>
      <c r="E94" s="14" t="s">
        <v>19</v>
      </c>
      <c r="F94" s="19">
        <v>49.61</v>
      </c>
      <c r="G94" s="20">
        <f>SUMPRODUCT(--((B94=$B$4:$B$717)*$F$4:$F$717&gt;F94))+1</f>
        <v>47</v>
      </c>
      <c r="H94" s="18" t="s">
        <v>13</v>
      </c>
    </row>
    <row r="95" s="3" customFormat="1" ht="12" spans="1:8">
      <c r="A95" s="18" t="str">
        <f>"202300301"</f>
        <v>202300301</v>
      </c>
      <c r="B95" s="18" t="str">
        <f t="shared" si="10"/>
        <v>007</v>
      </c>
      <c r="C95" s="18" t="str">
        <f t="shared" ref="C95:C100" si="21">"03"</f>
        <v>03</v>
      </c>
      <c r="D95" s="14" t="s">
        <v>10</v>
      </c>
      <c r="E95" s="14" t="s">
        <v>19</v>
      </c>
      <c r="F95" s="19">
        <v>48.56</v>
      </c>
      <c r="G95" s="20">
        <f>SUMPRODUCT(--((B95=$B$4:$B$717)*$F$4:$F$717&gt;F95))+1</f>
        <v>48</v>
      </c>
      <c r="H95" s="18" t="s">
        <v>13</v>
      </c>
    </row>
    <row r="96" s="3" customFormat="1" ht="12" spans="1:8">
      <c r="A96" s="18" t="str">
        <f>"202300104"</f>
        <v>202300104</v>
      </c>
      <c r="B96" s="18" t="str">
        <f t="shared" si="10"/>
        <v>007</v>
      </c>
      <c r="C96" s="18" t="str">
        <f>"01"</f>
        <v>01</v>
      </c>
      <c r="D96" s="14" t="s">
        <v>10</v>
      </c>
      <c r="E96" s="14" t="s">
        <v>19</v>
      </c>
      <c r="F96" s="19">
        <v>47.67</v>
      </c>
      <c r="G96" s="20">
        <f>SUMPRODUCT(--((B96=$B$4:$B$717)*$F$4:$F$717&gt;F96))+1</f>
        <v>49</v>
      </c>
      <c r="H96" s="18" t="s">
        <v>13</v>
      </c>
    </row>
    <row r="97" s="3" customFormat="1" ht="12" spans="1:8">
      <c r="A97" s="18" t="str">
        <f>"202300208"</f>
        <v>202300208</v>
      </c>
      <c r="B97" s="18" t="str">
        <f t="shared" si="10"/>
        <v>007</v>
      </c>
      <c r="C97" s="18" t="str">
        <f t="shared" si="20"/>
        <v>02</v>
      </c>
      <c r="D97" s="14" t="s">
        <v>10</v>
      </c>
      <c r="E97" s="14" t="s">
        <v>19</v>
      </c>
      <c r="F97" s="19">
        <v>47.38</v>
      </c>
      <c r="G97" s="20">
        <f>SUMPRODUCT(--((B97=$B$4:$B$717)*$F$4:$F$717&gt;F97))+1</f>
        <v>50</v>
      </c>
      <c r="H97" s="18" t="s">
        <v>13</v>
      </c>
    </row>
    <row r="98" s="3" customFormat="1" ht="12" spans="1:8">
      <c r="A98" s="18" t="str">
        <f>"202300205"</f>
        <v>202300205</v>
      </c>
      <c r="B98" s="18" t="str">
        <f t="shared" si="10"/>
        <v>007</v>
      </c>
      <c r="C98" s="18" t="str">
        <f t="shared" si="20"/>
        <v>02</v>
      </c>
      <c r="D98" s="14" t="s">
        <v>10</v>
      </c>
      <c r="E98" s="14" t="s">
        <v>19</v>
      </c>
      <c r="F98" s="19">
        <v>47.18</v>
      </c>
      <c r="G98" s="20">
        <f>SUMPRODUCT(--((B98=$B$4:$B$717)*$F$4:$F$717&gt;F98))+1</f>
        <v>51</v>
      </c>
      <c r="H98" s="18" t="s">
        <v>13</v>
      </c>
    </row>
    <row r="99" s="3" customFormat="1" ht="12" spans="1:8">
      <c r="A99" s="18" t="str">
        <f>"202300309"</f>
        <v>202300309</v>
      </c>
      <c r="B99" s="18" t="str">
        <f t="shared" si="10"/>
        <v>007</v>
      </c>
      <c r="C99" s="18" t="str">
        <f t="shared" si="21"/>
        <v>03</v>
      </c>
      <c r="D99" s="14" t="s">
        <v>10</v>
      </c>
      <c r="E99" s="14" t="s">
        <v>19</v>
      </c>
      <c r="F99" s="19">
        <v>41.84</v>
      </c>
      <c r="G99" s="20">
        <f>SUMPRODUCT(--((B99=$B$4:$B$717)*$F$4:$F$717&gt;F99))+1</f>
        <v>52</v>
      </c>
      <c r="H99" s="18" t="s">
        <v>13</v>
      </c>
    </row>
    <row r="100" s="3" customFormat="1" ht="12" spans="1:8">
      <c r="A100" s="18" t="str">
        <f>"202300302"</f>
        <v>202300302</v>
      </c>
      <c r="B100" s="18" t="str">
        <f t="shared" si="10"/>
        <v>007</v>
      </c>
      <c r="C100" s="18" t="str">
        <f t="shared" si="21"/>
        <v>03</v>
      </c>
      <c r="D100" s="14" t="s">
        <v>10</v>
      </c>
      <c r="E100" s="14" t="s">
        <v>19</v>
      </c>
      <c r="F100" s="19">
        <v>40.87</v>
      </c>
      <c r="G100" s="20">
        <f>SUMPRODUCT(--((B100=$B$4:$B$717)*$F$4:$F$717&gt;F100))+1</f>
        <v>53</v>
      </c>
      <c r="H100" s="18" t="s">
        <v>13</v>
      </c>
    </row>
    <row r="101" s="3" customFormat="1" ht="12" spans="1:8">
      <c r="A101" s="18" t="str">
        <f>"202300105"</f>
        <v>202300105</v>
      </c>
      <c r="B101" s="18" t="str">
        <f t="shared" si="10"/>
        <v>007</v>
      </c>
      <c r="C101" s="18" t="str">
        <f t="shared" ref="C101:C116" si="22">"01"</f>
        <v>01</v>
      </c>
      <c r="D101" s="14" t="s">
        <v>10</v>
      </c>
      <c r="E101" s="14" t="s">
        <v>19</v>
      </c>
      <c r="F101" s="19">
        <v>39.09</v>
      </c>
      <c r="G101" s="20">
        <f>SUMPRODUCT(--((B101=$B$4:$B$717)*$F$4:$F$717&gt;F101))+1</f>
        <v>54</v>
      </c>
      <c r="H101" s="18" t="s">
        <v>13</v>
      </c>
    </row>
    <row r="102" s="3" customFormat="1" ht="12" spans="1:8">
      <c r="A102" s="18" t="str">
        <f>"202300319"</f>
        <v>202300319</v>
      </c>
      <c r="B102" s="18" t="str">
        <f t="shared" si="10"/>
        <v>007</v>
      </c>
      <c r="C102" s="18" t="str">
        <f>"03"</f>
        <v>03</v>
      </c>
      <c r="D102" s="14" t="s">
        <v>10</v>
      </c>
      <c r="E102" s="14" t="s">
        <v>19</v>
      </c>
      <c r="F102" s="19">
        <v>36.84</v>
      </c>
      <c r="G102" s="20">
        <f>SUMPRODUCT(--((B102=$B$4:$B$717)*$F$4:$F$717&gt;F102))+1</f>
        <v>55</v>
      </c>
      <c r="H102" s="18" t="s">
        <v>13</v>
      </c>
    </row>
    <row r="103" s="3" customFormat="1" ht="12" spans="1:8">
      <c r="A103" s="18" t="str">
        <f>"202300225"</f>
        <v>202300225</v>
      </c>
      <c r="B103" s="18" t="str">
        <f t="shared" si="10"/>
        <v>007</v>
      </c>
      <c r="C103" s="18" t="str">
        <f>"02"</f>
        <v>02</v>
      </c>
      <c r="D103" s="14" t="s">
        <v>10</v>
      </c>
      <c r="E103" s="14" t="s">
        <v>19</v>
      </c>
      <c r="F103" s="19">
        <v>36.21</v>
      </c>
      <c r="G103" s="20">
        <f>SUMPRODUCT(--((B103=$B$4:$B$717)*$F$4:$F$717&gt;F103))+1</f>
        <v>56</v>
      </c>
      <c r="H103" s="18" t="s">
        <v>13</v>
      </c>
    </row>
    <row r="104" s="3" customFormat="1" ht="12" spans="1:8">
      <c r="A104" s="18" t="str">
        <f>"202300103"</f>
        <v>202300103</v>
      </c>
      <c r="B104" s="18" t="str">
        <f t="shared" si="10"/>
        <v>007</v>
      </c>
      <c r="C104" s="18" t="str">
        <f t="shared" si="22"/>
        <v>01</v>
      </c>
      <c r="D104" s="14" t="s">
        <v>10</v>
      </c>
      <c r="E104" s="14" t="s">
        <v>19</v>
      </c>
      <c r="F104" s="19">
        <v>0</v>
      </c>
      <c r="G104" s="20">
        <f>SUMPRODUCT(--((B104=$B$4:$B$717)*$F$4:$F$717&gt;F104))+1</f>
        <v>57</v>
      </c>
      <c r="H104" s="18" t="s">
        <v>13</v>
      </c>
    </row>
    <row r="105" s="3" customFormat="1" ht="12" spans="1:8">
      <c r="A105" s="18" t="str">
        <f>"202300106"</f>
        <v>202300106</v>
      </c>
      <c r="B105" s="18" t="str">
        <f t="shared" si="10"/>
        <v>007</v>
      </c>
      <c r="C105" s="18" t="str">
        <f t="shared" si="22"/>
        <v>01</v>
      </c>
      <c r="D105" s="14" t="s">
        <v>10</v>
      </c>
      <c r="E105" s="14" t="s">
        <v>19</v>
      </c>
      <c r="F105" s="19">
        <v>0</v>
      </c>
      <c r="G105" s="20">
        <f>SUMPRODUCT(--((B105=$B$4:$B$717)*$F$4:$F$717&gt;F105))+1</f>
        <v>57</v>
      </c>
      <c r="H105" s="18" t="s">
        <v>13</v>
      </c>
    </row>
    <row r="106" s="3" customFormat="1" ht="12" spans="1:8">
      <c r="A106" s="18" t="str">
        <f>"202300107"</f>
        <v>202300107</v>
      </c>
      <c r="B106" s="18" t="str">
        <f t="shared" si="10"/>
        <v>007</v>
      </c>
      <c r="C106" s="18" t="str">
        <f t="shared" si="22"/>
        <v>01</v>
      </c>
      <c r="D106" s="14" t="s">
        <v>10</v>
      </c>
      <c r="E106" s="14" t="s">
        <v>19</v>
      </c>
      <c r="F106" s="19">
        <v>0</v>
      </c>
      <c r="G106" s="20">
        <f>SUMPRODUCT(--((B106=$B$4:$B$717)*$F$4:$F$717&gt;F106))+1</f>
        <v>57</v>
      </c>
      <c r="H106" s="18" t="s">
        <v>13</v>
      </c>
    </row>
    <row r="107" s="3" customFormat="1" ht="12" spans="1:8">
      <c r="A107" s="18" t="str">
        <f>"202300108"</f>
        <v>202300108</v>
      </c>
      <c r="B107" s="18" t="str">
        <f t="shared" si="10"/>
        <v>007</v>
      </c>
      <c r="C107" s="18" t="str">
        <f t="shared" si="22"/>
        <v>01</v>
      </c>
      <c r="D107" s="14" t="s">
        <v>10</v>
      </c>
      <c r="E107" s="14" t="s">
        <v>19</v>
      </c>
      <c r="F107" s="19">
        <v>0</v>
      </c>
      <c r="G107" s="20">
        <f>SUMPRODUCT(--((B107=$B$4:$B$717)*$F$4:$F$717&gt;F107))+1</f>
        <v>57</v>
      </c>
      <c r="H107" s="18" t="s">
        <v>13</v>
      </c>
    </row>
    <row r="108" s="3" customFormat="1" ht="12" spans="1:8">
      <c r="A108" s="18" t="str">
        <f>"202300109"</f>
        <v>202300109</v>
      </c>
      <c r="B108" s="18" t="str">
        <f t="shared" si="10"/>
        <v>007</v>
      </c>
      <c r="C108" s="18" t="str">
        <f t="shared" si="22"/>
        <v>01</v>
      </c>
      <c r="D108" s="14" t="s">
        <v>10</v>
      </c>
      <c r="E108" s="14" t="s">
        <v>19</v>
      </c>
      <c r="F108" s="19">
        <v>0</v>
      </c>
      <c r="G108" s="20">
        <f>SUMPRODUCT(--((B108=$B$4:$B$717)*$F$4:$F$717&gt;F108))+1</f>
        <v>57</v>
      </c>
      <c r="H108" s="18" t="s">
        <v>13</v>
      </c>
    </row>
    <row r="109" s="3" customFormat="1" ht="12" spans="1:8">
      <c r="A109" s="18" t="str">
        <f>"202300111"</f>
        <v>202300111</v>
      </c>
      <c r="B109" s="18" t="str">
        <f t="shared" si="10"/>
        <v>007</v>
      </c>
      <c r="C109" s="18" t="str">
        <f t="shared" si="22"/>
        <v>01</v>
      </c>
      <c r="D109" s="14" t="s">
        <v>10</v>
      </c>
      <c r="E109" s="14" t="s">
        <v>19</v>
      </c>
      <c r="F109" s="19">
        <v>0</v>
      </c>
      <c r="G109" s="20">
        <f>SUMPRODUCT(--((B109=$B$4:$B$717)*$F$4:$F$717&gt;F109))+1</f>
        <v>57</v>
      </c>
      <c r="H109" s="18" t="s">
        <v>13</v>
      </c>
    </row>
    <row r="110" s="3" customFormat="1" ht="12" spans="1:8">
      <c r="A110" s="18" t="str">
        <f>"202300113"</f>
        <v>202300113</v>
      </c>
      <c r="B110" s="18" t="str">
        <f t="shared" si="10"/>
        <v>007</v>
      </c>
      <c r="C110" s="18" t="str">
        <f t="shared" si="22"/>
        <v>01</v>
      </c>
      <c r="D110" s="14" t="s">
        <v>10</v>
      </c>
      <c r="E110" s="14" t="s">
        <v>19</v>
      </c>
      <c r="F110" s="19">
        <v>0</v>
      </c>
      <c r="G110" s="20">
        <f>SUMPRODUCT(--((B110=$B$4:$B$717)*$F$4:$F$717&gt;F110))+1</f>
        <v>57</v>
      </c>
      <c r="H110" s="18" t="s">
        <v>13</v>
      </c>
    </row>
    <row r="111" s="3" customFormat="1" ht="12" spans="1:8">
      <c r="A111" s="18" t="str">
        <f>"202300116"</f>
        <v>202300116</v>
      </c>
      <c r="B111" s="18" t="str">
        <f t="shared" si="10"/>
        <v>007</v>
      </c>
      <c r="C111" s="18" t="str">
        <f t="shared" si="22"/>
        <v>01</v>
      </c>
      <c r="D111" s="14" t="s">
        <v>10</v>
      </c>
      <c r="E111" s="14" t="s">
        <v>19</v>
      </c>
      <c r="F111" s="19">
        <v>0</v>
      </c>
      <c r="G111" s="20">
        <f>SUMPRODUCT(--((B111=$B$4:$B$717)*$F$4:$F$717&gt;F111))+1</f>
        <v>57</v>
      </c>
      <c r="H111" s="18" t="s">
        <v>13</v>
      </c>
    </row>
    <row r="112" s="3" customFormat="1" ht="12" spans="1:8">
      <c r="A112" s="18" t="str">
        <f>"202300120"</f>
        <v>202300120</v>
      </c>
      <c r="B112" s="18" t="str">
        <f t="shared" ref="B112:B144" si="23">"007"</f>
        <v>007</v>
      </c>
      <c r="C112" s="18" t="str">
        <f t="shared" si="22"/>
        <v>01</v>
      </c>
      <c r="D112" s="14" t="s">
        <v>10</v>
      </c>
      <c r="E112" s="14" t="s">
        <v>19</v>
      </c>
      <c r="F112" s="19">
        <v>0</v>
      </c>
      <c r="G112" s="20">
        <f>SUMPRODUCT(--((B112=$B$4:$B$717)*$F$4:$F$717&gt;F112))+1</f>
        <v>57</v>
      </c>
      <c r="H112" s="18" t="s">
        <v>13</v>
      </c>
    </row>
    <row r="113" s="3" customFormat="1" ht="12" spans="1:8">
      <c r="A113" s="18" t="str">
        <f>"202300122"</f>
        <v>202300122</v>
      </c>
      <c r="B113" s="18" t="str">
        <f t="shared" si="23"/>
        <v>007</v>
      </c>
      <c r="C113" s="18" t="str">
        <f t="shared" si="22"/>
        <v>01</v>
      </c>
      <c r="D113" s="14" t="s">
        <v>10</v>
      </c>
      <c r="E113" s="14" t="s">
        <v>19</v>
      </c>
      <c r="F113" s="19">
        <v>0</v>
      </c>
      <c r="G113" s="20">
        <f>SUMPRODUCT(--((B113=$B$4:$B$717)*$F$4:$F$717&gt;F113))+1</f>
        <v>57</v>
      </c>
      <c r="H113" s="18" t="s">
        <v>13</v>
      </c>
    </row>
    <row r="114" s="3" customFormat="1" ht="12" spans="1:8">
      <c r="A114" s="18" t="str">
        <f>"202300124"</f>
        <v>202300124</v>
      </c>
      <c r="B114" s="18" t="str">
        <f t="shared" si="23"/>
        <v>007</v>
      </c>
      <c r="C114" s="18" t="str">
        <f t="shared" si="22"/>
        <v>01</v>
      </c>
      <c r="D114" s="14" t="s">
        <v>10</v>
      </c>
      <c r="E114" s="14" t="s">
        <v>19</v>
      </c>
      <c r="F114" s="19">
        <v>0</v>
      </c>
      <c r="G114" s="20">
        <f>SUMPRODUCT(--((B114=$B$4:$B$717)*$F$4:$F$717&gt;F114))+1</f>
        <v>57</v>
      </c>
      <c r="H114" s="18" t="s">
        <v>13</v>
      </c>
    </row>
    <row r="115" s="3" customFormat="1" ht="12" spans="1:8">
      <c r="A115" s="18" t="str">
        <f>"202300126"</f>
        <v>202300126</v>
      </c>
      <c r="B115" s="18" t="str">
        <f t="shared" si="23"/>
        <v>007</v>
      </c>
      <c r="C115" s="18" t="str">
        <f t="shared" si="22"/>
        <v>01</v>
      </c>
      <c r="D115" s="14" t="s">
        <v>10</v>
      </c>
      <c r="E115" s="14" t="s">
        <v>19</v>
      </c>
      <c r="F115" s="19">
        <v>0</v>
      </c>
      <c r="G115" s="20">
        <f>SUMPRODUCT(--((B115=$B$4:$B$717)*$F$4:$F$717&gt;F115))+1</f>
        <v>57</v>
      </c>
      <c r="H115" s="18" t="s">
        <v>13</v>
      </c>
    </row>
    <row r="116" s="3" customFormat="1" ht="12" spans="1:8">
      <c r="A116" s="18" t="str">
        <f>"202300127"</f>
        <v>202300127</v>
      </c>
      <c r="B116" s="18" t="str">
        <f t="shared" si="23"/>
        <v>007</v>
      </c>
      <c r="C116" s="18" t="str">
        <f t="shared" si="22"/>
        <v>01</v>
      </c>
      <c r="D116" s="14" t="s">
        <v>10</v>
      </c>
      <c r="E116" s="14" t="s">
        <v>19</v>
      </c>
      <c r="F116" s="19">
        <v>0</v>
      </c>
      <c r="G116" s="20">
        <f>SUMPRODUCT(--((B116=$B$4:$B$717)*$F$4:$F$717&gt;F116))+1</f>
        <v>57</v>
      </c>
      <c r="H116" s="18" t="s">
        <v>13</v>
      </c>
    </row>
    <row r="117" s="3" customFormat="1" ht="12" spans="1:8">
      <c r="A117" s="18" t="str">
        <f>"202300203"</f>
        <v>202300203</v>
      </c>
      <c r="B117" s="18" t="str">
        <f t="shared" si="23"/>
        <v>007</v>
      </c>
      <c r="C117" s="18" t="str">
        <f t="shared" ref="C117:C129" si="24">"02"</f>
        <v>02</v>
      </c>
      <c r="D117" s="14" t="s">
        <v>10</v>
      </c>
      <c r="E117" s="14" t="s">
        <v>19</v>
      </c>
      <c r="F117" s="19">
        <v>0</v>
      </c>
      <c r="G117" s="20">
        <f>SUMPRODUCT(--((B117=$B$4:$B$717)*$F$4:$F$717&gt;F117))+1</f>
        <v>57</v>
      </c>
      <c r="H117" s="18" t="s">
        <v>13</v>
      </c>
    </row>
    <row r="118" s="3" customFormat="1" ht="12" spans="1:8">
      <c r="A118" s="18" t="str">
        <f>"202300204"</f>
        <v>202300204</v>
      </c>
      <c r="B118" s="18" t="str">
        <f t="shared" si="23"/>
        <v>007</v>
      </c>
      <c r="C118" s="18" t="str">
        <f t="shared" si="24"/>
        <v>02</v>
      </c>
      <c r="D118" s="14" t="s">
        <v>10</v>
      </c>
      <c r="E118" s="14" t="s">
        <v>19</v>
      </c>
      <c r="F118" s="19">
        <v>0</v>
      </c>
      <c r="G118" s="20">
        <f>SUMPRODUCT(--((B118=$B$4:$B$717)*$F$4:$F$717&gt;F118))+1</f>
        <v>57</v>
      </c>
      <c r="H118" s="18" t="s">
        <v>13</v>
      </c>
    </row>
    <row r="119" s="3" customFormat="1" ht="12" spans="1:8">
      <c r="A119" s="18" t="str">
        <f>"202300206"</f>
        <v>202300206</v>
      </c>
      <c r="B119" s="18" t="str">
        <f t="shared" si="23"/>
        <v>007</v>
      </c>
      <c r="C119" s="18" t="str">
        <f t="shared" si="24"/>
        <v>02</v>
      </c>
      <c r="D119" s="14" t="s">
        <v>10</v>
      </c>
      <c r="E119" s="14" t="s">
        <v>19</v>
      </c>
      <c r="F119" s="19">
        <v>0</v>
      </c>
      <c r="G119" s="20">
        <f>SUMPRODUCT(--((B119=$B$4:$B$717)*$F$4:$F$717&gt;F119))+1</f>
        <v>57</v>
      </c>
      <c r="H119" s="18" t="s">
        <v>13</v>
      </c>
    </row>
    <row r="120" s="3" customFormat="1" ht="12" spans="1:8">
      <c r="A120" s="18" t="str">
        <f>"202300209"</f>
        <v>202300209</v>
      </c>
      <c r="B120" s="18" t="str">
        <f t="shared" si="23"/>
        <v>007</v>
      </c>
      <c r="C120" s="18" t="str">
        <f t="shared" si="24"/>
        <v>02</v>
      </c>
      <c r="D120" s="14" t="s">
        <v>10</v>
      </c>
      <c r="E120" s="14" t="s">
        <v>19</v>
      </c>
      <c r="F120" s="19">
        <v>0</v>
      </c>
      <c r="G120" s="20">
        <f>SUMPRODUCT(--((B120=$B$4:$B$717)*$F$4:$F$717&gt;F120))+1</f>
        <v>57</v>
      </c>
      <c r="H120" s="18" t="s">
        <v>13</v>
      </c>
    </row>
    <row r="121" s="3" customFormat="1" ht="12" spans="1:8">
      <c r="A121" s="18" t="str">
        <f>"202300212"</f>
        <v>202300212</v>
      </c>
      <c r="B121" s="18" t="str">
        <f t="shared" si="23"/>
        <v>007</v>
      </c>
      <c r="C121" s="18" t="str">
        <f t="shared" si="24"/>
        <v>02</v>
      </c>
      <c r="D121" s="14" t="s">
        <v>10</v>
      </c>
      <c r="E121" s="14" t="s">
        <v>19</v>
      </c>
      <c r="F121" s="19">
        <v>0</v>
      </c>
      <c r="G121" s="20">
        <f>SUMPRODUCT(--((B121=$B$4:$B$717)*$F$4:$F$717&gt;F121))+1</f>
        <v>57</v>
      </c>
      <c r="H121" s="18" t="s">
        <v>13</v>
      </c>
    </row>
    <row r="122" s="3" customFormat="1" ht="12" spans="1:8">
      <c r="A122" s="18" t="str">
        <f>"202300215"</f>
        <v>202300215</v>
      </c>
      <c r="B122" s="18" t="str">
        <f t="shared" si="23"/>
        <v>007</v>
      </c>
      <c r="C122" s="18" t="str">
        <f t="shared" si="24"/>
        <v>02</v>
      </c>
      <c r="D122" s="14" t="s">
        <v>10</v>
      </c>
      <c r="E122" s="14" t="s">
        <v>19</v>
      </c>
      <c r="F122" s="19">
        <v>0</v>
      </c>
      <c r="G122" s="20">
        <f>SUMPRODUCT(--((B122=$B$4:$B$717)*$F$4:$F$717&gt;F122))+1</f>
        <v>57</v>
      </c>
      <c r="H122" s="18" t="s">
        <v>13</v>
      </c>
    </row>
    <row r="123" s="3" customFormat="1" ht="12" spans="1:8">
      <c r="A123" s="18" t="str">
        <f>"202300217"</f>
        <v>202300217</v>
      </c>
      <c r="B123" s="18" t="str">
        <f t="shared" si="23"/>
        <v>007</v>
      </c>
      <c r="C123" s="18" t="str">
        <f t="shared" si="24"/>
        <v>02</v>
      </c>
      <c r="D123" s="14" t="s">
        <v>10</v>
      </c>
      <c r="E123" s="14" t="s">
        <v>19</v>
      </c>
      <c r="F123" s="19">
        <v>0</v>
      </c>
      <c r="G123" s="20">
        <f>SUMPRODUCT(--((B123=$B$4:$B$717)*$F$4:$F$717&gt;F123))+1</f>
        <v>57</v>
      </c>
      <c r="H123" s="18" t="s">
        <v>13</v>
      </c>
    </row>
    <row r="124" s="3" customFormat="1" ht="12" spans="1:8">
      <c r="A124" s="18" t="str">
        <f>"202300219"</f>
        <v>202300219</v>
      </c>
      <c r="B124" s="18" t="str">
        <f t="shared" si="23"/>
        <v>007</v>
      </c>
      <c r="C124" s="18" t="str">
        <f t="shared" si="24"/>
        <v>02</v>
      </c>
      <c r="D124" s="14" t="s">
        <v>10</v>
      </c>
      <c r="E124" s="14" t="s">
        <v>19</v>
      </c>
      <c r="F124" s="19">
        <v>0</v>
      </c>
      <c r="G124" s="20">
        <f>SUMPRODUCT(--((B124=$B$4:$B$717)*$F$4:$F$717&gt;F124))+1</f>
        <v>57</v>
      </c>
      <c r="H124" s="18" t="s">
        <v>13</v>
      </c>
    </row>
    <row r="125" s="3" customFormat="1" ht="12" spans="1:8">
      <c r="A125" s="18" t="str">
        <f>"202300220"</f>
        <v>202300220</v>
      </c>
      <c r="B125" s="18" t="str">
        <f t="shared" si="23"/>
        <v>007</v>
      </c>
      <c r="C125" s="18" t="str">
        <f t="shared" si="24"/>
        <v>02</v>
      </c>
      <c r="D125" s="14" t="s">
        <v>10</v>
      </c>
      <c r="E125" s="14" t="s">
        <v>19</v>
      </c>
      <c r="F125" s="19">
        <v>0</v>
      </c>
      <c r="G125" s="20">
        <f>SUMPRODUCT(--((B125=$B$4:$B$717)*$F$4:$F$717&gt;F125))+1</f>
        <v>57</v>
      </c>
      <c r="H125" s="18" t="s">
        <v>13</v>
      </c>
    </row>
    <row r="126" s="3" customFormat="1" ht="12" spans="1:8">
      <c r="A126" s="18" t="str">
        <f>"202300224"</f>
        <v>202300224</v>
      </c>
      <c r="B126" s="18" t="str">
        <f t="shared" si="23"/>
        <v>007</v>
      </c>
      <c r="C126" s="18" t="str">
        <f t="shared" si="24"/>
        <v>02</v>
      </c>
      <c r="D126" s="14" t="s">
        <v>10</v>
      </c>
      <c r="E126" s="14" t="s">
        <v>19</v>
      </c>
      <c r="F126" s="19">
        <v>0</v>
      </c>
      <c r="G126" s="20">
        <f>SUMPRODUCT(--((B126=$B$4:$B$717)*$F$4:$F$717&gt;F126))+1</f>
        <v>57</v>
      </c>
      <c r="H126" s="18" t="s">
        <v>13</v>
      </c>
    </row>
    <row r="127" s="3" customFormat="1" ht="12" spans="1:8">
      <c r="A127" s="18" t="str">
        <f>"202300227"</f>
        <v>202300227</v>
      </c>
      <c r="B127" s="18" t="str">
        <f t="shared" si="23"/>
        <v>007</v>
      </c>
      <c r="C127" s="18" t="str">
        <f t="shared" si="24"/>
        <v>02</v>
      </c>
      <c r="D127" s="14" t="s">
        <v>10</v>
      </c>
      <c r="E127" s="14" t="s">
        <v>19</v>
      </c>
      <c r="F127" s="19">
        <v>0</v>
      </c>
      <c r="G127" s="20">
        <f>SUMPRODUCT(--((B127=$B$4:$B$717)*$F$4:$F$717&gt;F127))+1</f>
        <v>57</v>
      </c>
      <c r="H127" s="18" t="s">
        <v>13</v>
      </c>
    </row>
    <row r="128" s="3" customFormat="1" ht="12" spans="1:8">
      <c r="A128" s="18" t="str">
        <f>"202300229"</f>
        <v>202300229</v>
      </c>
      <c r="B128" s="18" t="str">
        <f t="shared" si="23"/>
        <v>007</v>
      </c>
      <c r="C128" s="18" t="str">
        <f t="shared" si="24"/>
        <v>02</v>
      </c>
      <c r="D128" s="14" t="s">
        <v>10</v>
      </c>
      <c r="E128" s="14" t="s">
        <v>19</v>
      </c>
      <c r="F128" s="19">
        <v>0</v>
      </c>
      <c r="G128" s="20">
        <f>SUMPRODUCT(--((B128=$B$4:$B$717)*$F$4:$F$717&gt;F128))+1</f>
        <v>57</v>
      </c>
      <c r="H128" s="18" t="s">
        <v>13</v>
      </c>
    </row>
    <row r="129" s="3" customFormat="1" ht="12" spans="1:8">
      <c r="A129" s="18" t="str">
        <f>"202300230"</f>
        <v>202300230</v>
      </c>
      <c r="B129" s="18" t="str">
        <f t="shared" si="23"/>
        <v>007</v>
      </c>
      <c r="C129" s="18" t="str">
        <f t="shared" si="24"/>
        <v>02</v>
      </c>
      <c r="D129" s="14" t="s">
        <v>10</v>
      </c>
      <c r="E129" s="14" t="s">
        <v>19</v>
      </c>
      <c r="F129" s="19">
        <v>0</v>
      </c>
      <c r="G129" s="20">
        <f>SUMPRODUCT(--((B129=$B$4:$B$717)*$F$4:$F$717&gt;F129))+1</f>
        <v>57</v>
      </c>
      <c r="H129" s="18" t="s">
        <v>13</v>
      </c>
    </row>
    <row r="130" s="3" customFormat="1" ht="12" spans="1:8">
      <c r="A130" s="18" t="str">
        <f>"202300303"</f>
        <v>202300303</v>
      </c>
      <c r="B130" s="18" t="str">
        <f t="shared" si="23"/>
        <v>007</v>
      </c>
      <c r="C130" s="18" t="str">
        <f t="shared" ref="C130:C141" si="25">"03"</f>
        <v>03</v>
      </c>
      <c r="D130" s="14" t="s">
        <v>10</v>
      </c>
      <c r="E130" s="14" t="s">
        <v>19</v>
      </c>
      <c r="F130" s="19">
        <v>0</v>
      </c>
      <c r="G130" s="20">
        <f>SUMPRODUCT(--((B130=$B$4:$B$717)*$F$4:$F$717&gt;F130))+1</f>
        <v>57</v>
      </c>
      <c r="H130" s="18" t="s">
        <v>13</v>
      </c>
    </row>
    <row r="131" s="3" customFormat="1" ht="12" spans="1:8">
      <c r="A131" s="18" t="str">
        <f>"202300304"</f>
        <v>202300304</v>
      </c>
      <c r="B131" s="18" t="str">
        <f t="shared" si="23"/>
        <v>007</v>
      </c>
      <c r="C131" s="18" t="str">
        <f t="shared" si="25"/>
        <v>03</v>
      </c>
      <c r="D131" s="14" t="s">
        <v>10</v>
      </c>
      <c r="E131" s="14" t="s">
        <v>19</v>
      </c>
      <c r="F131" s="19">
        <v>0</v>
      </c>
      <c r="G131" s="20">
        <f>SUMPRODUCT(--((B131=$B$4:$B$717)*$F$4:$F$717&gt;F131))+1</f>
        <v>57</v>
      </c>
      <c r="H131" s="18" t="s">
        <v>13</v>
      </c>
    </row>
    <row r="132" s="3" customFormat="1" ht="12" spans="1:8">
      <c r="A132" s="18" t="str">
        <f>"202300305"</f>
        <v>202300305</v>
      </c>
      <c r="B132" s="18" t="str">
        <f t="shared" si="23"/>
        <v>007</v>
      </c>
      <c r="C132" s="18" t="str">
        <f t="shared" si="25"/>
        <v>03</v>
      </c>
      <c r="D132" s="14" t="s">
        <v>10</v>
      </c>
      <c r="E132" s="14" t="s">
        <v>19</v>
      </c>
      <c r="F132" s="19">
        <v>0</v>
      </c>
      <c r="G132" s="20">
        <f>SUMPRODUCT(--((B132=$B$4:$B$717)*$F$4:$F$717&gt;F132))+1</f>
        <v>57</v>
      </c>
      <c r="H132" s="18" t="s">
        <v>13</v>
      </c>
    </row>
    <row r="133" s="3" customFormat="1" ht="12" spans="1:8">
      <c r="A133" s="18" t="str">
        <f>"202300310"</f>
        <v>202300310</v>
      </c>
      <c r="B133" s="18" t="str">
        <f t="shared" si="23"/>
        <v>007</v>
      </c>
      <c r="C133" s="18" t="str">
        <f t="shared" si="25"/>
        <v>03</v>
      </c>
      <c r="D133" s="14" t="s">
        <v>10</v>
      </c>
      <c r="E133" s="14" t="s">
        <v>19</v>
      </c>
      <c r="F133" s="19">
        <v>0</v>
      </c>
      <c r="G133" s="20">
        <f>SUMPRODUCT(--((B133=$B$4:$B$717)*$F$4:$F$717&gt;F133))+1</f>
        <v>57</v>
      </c>
      <c r="H133" s="18" t="s">
        <v>13</v>
      </c>
    </row>
    <row r="134" s="3" customFormat="1" ht="12" spans="1:8">
      <c r="A134" s="18" t="str">
        <f>"202300314"</f>
        <v>202300314</v>
      </c>
      <c r="B134" s="18" t="str">
        <f t="shared" si="23"/>
        <v>007</v>
      </c>
      <c r="C134" s="18" t="str">
        <f t="shared" si="25"/>
        <v>03</v>
      </c>
      <c r="D134" s="14" t="s">
        <v>10</v>
      </c>
      <c r="E134" s="14" t="s">
        <v>19</v>
      </c>
      <c r="F134" s="19">
        <v>0</v>
      </c>
      <c r="G134" s="20">
        <f>SUMPRODUCT(--((B134=$B$4:$B$717)*$F$4:$F$717&gt;F134))+1</f>
        <v>57</v>
      </c>
      <c r="H134" s="18" t="s">
        <v>13</v>
      </c>
    </row>
    <row r="135" s="3" customFormat="1" ht="12" spans="1:8">
      <c r="A135" s="18" t="str">
        <f>"202300315"</f>
        <v>202300315</v>
      </c>
      <c r="B135" s="18" t="str">
        <f t="shared" si="23"/>
        <v>007</v>
      </c>
      <c r="C135" s="18" t="str">
        <f t="shared" si="25"/>
        <v>03</v>
      </c>
      <c r="D135" s="14" t="s">
        <v>10</v>
      </c>
      <c r="E135" s="14" t="s">
        <v>19</v>
      </c>
      <c r="F135" s="19">
        <v>0</v>
      </c>
      <c r="G135" s="20">
        <f>SUMPRODUCT(--((B135=$B$4:$B$717)*$F$4:$F$717&gt;F135))+1</f>
        <v>57</v>
      </c>
      <c r="H135" s="18" t="s">
        <v>13</v>
      </c>
    </row>
    <row r="136" s="3" customFormat="1" ht="12" spans="1:8">
      <c r="A136" s="18" t="str">
        <f>"202300316"</f>
        <v>202300316</v>
      </c>
      <c r="B136" s="18" t="str">
        <f t="shared" si="23"/>
        <v>007</v>
      </c>
      <c r="C136" s="18" t="str">
        <f t="shared" si="25"/>
        <v>03</v>
      </c>
      <c r="D136" s="14" t="s">
        <v>10</v>
      </c>
      <c r="E136" s="14" t="s">
        <v>19</v>
      </c>
      <c r="F136" s="19">
        <v>0</v>
      </c>
      <c r="G136" s="20">
        <f>SUMPRODUCT(--((B136=$B$4:$B$717)*$F$4:$F$717&gt;F136))+1</f>
        <v>57</v>
      </c>
      <c r="H136" s="18" t="s">
        <v>13</v>
      </c>
    </row>
    <row r="137" s="3" customFormat="1" ht="12" spans="1:8">
      <c r="A137" s="18" t="str">
        <f>"202300318"</f>
        <v>202300318</v>
      </c>
      <c r="B137" s="18" t="str">
        <f t="shared" si="23"/>
        <v>007</v>
      </c>
      <c r="C137" s="18" t="str">
        <f t="shared" si="25"/>
        <v>03</v>
      </c>
      <c r="D137" s="14" t="s">
        <v>10</v>
      </c>
      <c r="E137" s="14" t="s">
        <v>19</v>
      </c>
      <c r="F137" s="19">
        <v>0</v>
      </c>
      <c r="G137" s="20">
        <f>SUMPRODUCT(--((B137=$B$4:$B$717)*$F$4:$F$717&gt;F137))+1</f>
        <v>57</v>
      </c>
      <c r="H137" s="18" t="s">
        <v>13</v>
      </c>
    </row>
    <row r="138" s="3" customFormat="1" ht="12" spans="1:8">
      <c r="A138" s="18" t="str">
        <f>"202300321"</f>
        <v>202300321</v>
      </c>
      <c r="B138" s="18" t="str">
        <f t="shared" si="23"/>
        <v>007</v>
      </c>
      <c r="C138" s="18" t="str">
        <f t="shared" si="25"/>
        <v>03</v>
      </c>
      <c r="D138" s="14" t="s">
        <v>10</v>
      </c>
      <c r="E138" s="14" t="s">
        <v>19</v>
      </c>
      <c r="F138" s="19">
        <v>0</v>
      </c>
      <c r="G138" s="20">
        <f>SUMPRODUCT(--((B138=$B$4:$B$717)*$F$4:$F$717&gt;F138))+1</f>
        <v>57</v>
      </c>
      <c r="H138" s="18" t="s">
        <v>13</v>
      </c>
    </row>
    <row r="139" s="3" customFormat="1" ht="12" spans="1:8">
      <c r="A139" s="18" t="str">
        <f>"202300323"</f>
        <v>202300323</v>
      </c>
      <c r="B139" s="18" t="str">
        <f t="shared" si="23"/>
        <v>007</v>
      </c>
      <c r="C139" s="18" t="str">
        <f t="shared" si="25"/>
        <v>03</v>
      </c>
      <c r="D139" s="14" t="s">
        <v>10</v>
      </c>
      <c r="E139" s="14" t="s">
        <v>19</v>
      </c>
      <c r="F139" s="19">
        <v>0</v>
      </c>
      <c r="G139" s="20">
        <f>SUMPRODUCT(--((B139=$B$4:$B$717)*$F$4:$F$717&gt;F139))+1</f>
        <v>57</v>
      </c>
      <c r="H139" s="18" t="s">
        <v>13</v>
      </c>
    </row>
    <row r="140" s="3" customFormat="1" ht="12" spans="1:8">
      <c r="A140" s="18" t="str">
        <f>"202300325"</f>
        <v>202300325</v>
      </c>
      <c r="B140" s="18" t="str">
        <f t="shared" si="23"/>
        <v>007</v>
      </c>
      <c r="C140" s="18" t="str">
        <f t="shared" si="25"/>
        <v>03</v>
      </c>
      <c r="D140" s="14" t="s">
        <v>10</v>
      </c>
      <c r="E140" s="14" t="s">
        <v>19</v>
      </c>
      <c r="F140" s="19">
        <v>0</v>
      </c>
      <c r="G140" s="20">
        <f>SUMPRODUCT(--((B140=$B$4:$B$717)*$F$4:$F$717&gt;F140))+1</f>
        <v>57</v>
      </c>
      <c r="H140" s="18" t="s">
        <v>13</v>
      </c>
    </row>
    <row r="141" s="3" customFormat="1" ht="12" spans="1:8">
      <c r="A141" s="18" t="str">
        <f>"202300328"</f>
        <v>202300328</v>
      </c>
      <c r="B141" s="18" t="str">
        <f t="shared" si="23"/>
        <v>007</v>
      </c>
      <c r="C141" s="18" t="str">
        <f t="shared" si="25"/>
        <v>03</v>
      </c>
      <c r="D141" s="14" t="s">
        <v>10</v>
      </c>
      <c r="E141" s="14" t="s">
        <v>19</v>
      </c>
      <c r="F141" s="19">
        <v>0</v>
      </c>
      <c r="G141" s="20">
        <f>SUMPRODUCT(--((B141=$B$4:$B$717)*$F$4:$F$717&gt;F141))+1</f>
        <v>57</v>
      </c>
      <c r="H141" s="18" t="s">
        <v>13</v>
      </c>
    </row>
    <row r="142" s="3" customFormat="1" ht="12" spans="1:8">
      <c r="A142" s="18" t="str">
        <f>"202300403"</f>
        <v>202300403</v>
      </c>
      <c r="B142" s="18" t="str">
        <f t="shared" si="23"/>
        <v>007</v>
      </c>
      <c r="C142" s="18" t="str">
        <f t="shared" ref="C142:C144" si="26">"04"</f>
        <v>04</v>
      </c>
      <c r="D142" s="14" t="s">
        <v>10</v>
      </c>
      <c r="E142" s="14" t="s">
        <v>19</v>
      </c>
      <c r="F142" s="19">
        <v>0</v>
      </c>
      <c r="G142" s="20">
        <f>SUMPRODUCT(--((B142=$B$4:$B$717)*$F$4:$F$717&gt;F142))+1</f>
        <v>57</v>
      </c>
      <c r="H142" s="18" t="s">
        <v>13</v>
      </c>
    </row>
    <row r="143" s="3" customFormat="1" ht="12" spans="1:8">
      <c r="A143" s="18" t="str">
        <f>"202300404"</f>
        <v>202300404</v>
      </c>
      <c r="B143" s="18" t="str">
        <f t="shared" si="23"/>
        <v>007</v>
      </c>
      <c r="C143" s="18" t="str">
        <f t="shared" si="26"/>
        <v>04</v>
      </c>
      <c r="D143" s="14" t="s">
        <v>10</v>
      </c>
      <c r="E143" s="14" t="s">
        <v>19</v>
      </c>
      <c r="F143" s="19">
        <v>0</v>
      </c>
      <c r="G143" s="20">
        <f>SUMPRODUCT(--((B143=$B$4:$B$717)*$F$4:$F$717&gt;F143))+1</f>
        <v>57</v>
      </c>
      <c r="H143" s="18" t="s">
        <v>13</v>
      </c>
    </row>
    <row r="144" s="3" customFormat="1" ht="12" spans="1:8">
      <c r="A144" s="18" t="str">
        <f>"202300406"</f>
        <v>202300406</v>
      </c>
      <c r="B144" s="18" t="str">
        <f t="shared" si="23"/>
        <v>007</v>
      </c>
      <c r="C144" s="18" t="str">
        <f t="shared" si="26"/>
        <v>04</v>
      </c>
      <c r="D144" s="14" t="s">
        <v>10</v>
      </c>
      <c r="E144" s="14" t="s">
        <v>19</v>
      </c>
      <c r="F144" s="19">
        <v>0</v>
      </c>
      <c r="G144" s="20">
        <f>SUMPRODUCT(--((B144=$B$4:$B$717)*$F$4:$F$717&gt;F144))+1</f>
        <v>57</v>
      </c>
      <c r="H144" s="18" t="s">
        <v>13</v>
      </c>
    </row>
    <row r="145" s="3" customFormat="1" ht="12" spans="1:8">
      <c r="A145" s="14" t="str">
        <f>"202302015"</f>
        <v>202302015</v>
      </c>
      <c r="B145" s="14" t="str">
        <f t="shared" ref="B145:B208" si="27">"008"</f>
        <v>008</v>
      </c>
      <c r="C145" s="14" t="str">
        <f>"20"</f>
        <v>20</v>
      </c>
      <c r="D145" s="14" t="s">
        <v>10</v>
      </c>
      <c r="E145" s="14" t="s">
        <v>20</v>
      </c>
      <c r="F145" s="16">
        <v>71.44</v>
      </c>
      <c r="G145" s="17">
        <f>SUMPRODUCT(--((B145=$B$4:$B$717)*$F$4:$F$717&gt;F145))+1</f>
        <v>1</v>
      </c>
      <c r="H145" s="18" t="s">
        <v>12</v>
      </c>
    </row>
    <row r="146" s="3" customFormat="1" ht="12" spans="1:8">
      <c r="A146" s="14" t="str">
        <f>"202302222"</f>
        <v>202302222</v>
      </c>
      <c r="B146" s="14" t="str">
        <f t="shared" si="27"/>
        <v>008</v>
      </c>
      <c r="C146" s="14" t="str">
        <f>"22"</f>
        <v>22</v>
      </c>
      <c r="D146" s="14" t="s">
        <v>10</v>
      </c>
      <c r="E146" s="14" t="s">
        <v>20</v>
      </c>
      <c r="F146" s="16">
        <v>68.44</v>
      </c>
      <c r="G146" s="17">
        <f>SUMPRODUCT(--((B146=$B$4:$B$717)*$F$4:$F$717&gt;F146))+1</f>
        <v>2</v>
      </c>
      <c r="H146" s="18" t="s">
        <v>12</v>
      </c>
    </row>
    <row r="147" s="3" customFormat="1" ht="12" spans="1:8">
      <c r="A147" s="14" t="str">
        <f>"202302127"</f>
        <v>202302127</v>
      </c>
      <c r="B147" s="14" t="str">
        <f t="shared" si="27"/>
        <v>008</v>
      </c>
      <c r="C147" s="14" t="str">
        <f t="shared" ref="C147:C152" si="28">"21"</f>
        <v>21</v>
      </c>
      <c r="D147" s="14" t="s">
        <v>10</v>
      </c>
      <c r="E147" s="14" t="s">
        <v>20</v>
      </c>
      <c r="F147" s="16">
        <v>67.33</v>
      </c>
      <c r="G147" s="17">
        <f>SUMPRODUCT(--((B147=$B$4:$B$717)*$F$4:$F$717&gt;F147))+1</f>
        <v>3</v>
      </c>
      <c r="H147" s="18" t="s">
        <v>12</v>
      </c>
    </row>
    <row r="148" s="3" customFormat="1" ht="12" spans="1:8">
      <c r="A148" s="14" t="str">
        <f>"202302125"</f>
        <v>202302125</v>
      </c>
      <c r="B148" s="14" t="str">
        <f t="shared" si="27"/>
        <v>008</v>
      </c>
      <c r="C148" s="14" t="str">
        <f t="shared" si="28"/>
        <v>21</v>
      </c>
      <c r="D148" s="14" t="s">
        <v>10</v>
      </c>
      <c r="E148" s="14" t="s">
        <v>20</v>
      </c>
      <c r="F148" s="16">
        <v>65.92</v>
      </c>
      <c r="G148" s="17">
        <f>SUMPRODUCT(--((B148=$B$4:$B$717)*$F$4:$F$717&gt;F148))+1</f>
        <v>4</v>
      </c>
      <c r="H148" s="18" t="s">
        <v>12</v>
      </c>
    </row>
    <row r="149" s="3" customFormat="1" ht="12" spans="1:8">
      <c r="A149" s="14" t="str">
        <f>"202302321"</f>
        <v>202302321</v>
      </c>
      <c r="B149" s="14" t="str">
        <f t="shared" si="27"/>
        <v>008</v>
      </c>
      <c r="C149" s="14" t="str">
        <f t="shared" ref="C149:C154" si="29">"23"</f>
        <v>23</v>
      </c>
      <c r="D149" s="14" t="s">
        <v>10</v>
      </c>
      <c r="E149" s="14" t="s">
        <v>20</v>
      </c>
      <c r="F149" s="16">
        <v>64.58</v>
      </c>
      <c r="G149" s="17">
        <f>SUMPRODUCT(--((B149=$B$4:$B$717)*$F$4:$F$717&gt;F149))+1</f>
        <v>5</v>
      </c>
      <c r="H149" s="18" t="s">
        <v>12</v>
      </c>
    </row>
    <row r="150" s="3" customFormat="1" ht="12" spans="1:8">
      <c r="A150" s="14" t="str">
        <f>"202302016"</f>
        <v>202302016</v>
      </c>
      <c r="B150" s="14" t="str">
        <f t="shared" si="27"/>
        <v>008</v>
      </c>
      <c r="C150" s="14" t="str">
        <f>"20"</f>
        <v>20</v>
      </c>
      <c r="D150" s="14" t="s">
        <v>10</v>
      </c>
      <c r="E150" s="14" t="s">
        <v>20</v>
      </c>
      <c r="F150" s="16">
        <v>63.7</v>
      </c>
      <c r="G150" s="17">
        <f>SUMPRODUCT(--((B150=$B$4:$B$717)*$F$4:$F$717&gt;F150))+1</f>
        <v>6</v>
      </c>
      <c r="H150" s="18" t="s">
        <v>12</v>
      </c>
    </row>
    <row r="151" s="3" customFormat="1" ht="12" spans="1:8">
      <c r="A151" s="18" t="str">
        <f>"202302301"</f>
        <v>202302301</v>
      </c>
      <c r="B151" s="18" t="str">
        <f t="shared" si="27"/>
        <v>008</v>
      </c>
      <c r="C151" s="18" t="str">
        <f t="shared" si="29"/>
        <v>23</v>
      </c>
      <c r="D151" s="14" t="s">
        <v>10</v>
      </c>
      <c r="E151" s="14" t="s">
        <v>20</v>
      </c>
      <c r="F151" s="19">
        <v>62.84</v>
      </c>
      <c r="G151" s="20">
        <f>SUMPRODUCT(--((B151=$B$4:$B$717)*$F$4:$F$717&gt;F151))+1</f>
        <v>7</v>
      </c>
      <c r="H151" s="18" t="s">
        <v>13</v>
      </c>
    </row>
    <row r="152" s="3" customFormat="1" ht="12" spans="1:8">
      <c r="A152" s="18" t="str">
        <f>"202302129"</f>
        <v>202302129</v>
      </c>
      <c r="B152" s="18" t="str">
        <f t="shared" si="27"/>
        <v>008</v>
      </c>
      <c r="C152" s="18" t="str">
        <f t="shared" si="28"/>
        <v>21</v>
      </c>
      <c r="D152" s="14" t="s">
        <v>10</v>
      </c>
      <c r="E152" s="14" t="s">
        <v>20</v>
      </c>
      <c r="F152" s="19">
        <v>62.28</v>
      </c>
      <c r="G152" s="20">
        <f>SUMPRODUCT(--((B152=$B$4:$B$717)*$F$4:$F$717&gt;F152))+1</f>
        <v>8</v>
      </c>
      <c r="H152" s="18" t="s">
        <v>13</v>
      </c>
    </row>
    <row r="153" s="3" customFormat="1" ht="12" spans="1:8">
      <c r="A153" s="18" t="str">
        <f>"202302315"</f>
        <v>202302315</v>
      </c>
      <c r="B153" s="18" t="str">
        <f t="shared" si="27"/>
        <v>008</v>
      </c>
      <c r="C153" s="18" t="str">
        <f t="shared" si="29"/>
        <v>23</v>
      </c>
      <c r="D153" s="14" t="s">
        <v>10</v>
      </c>
      <c r="E153" s="14" t="s">
        <v>20</v>
      </c>
      <c r="F153" s="19">
        <v>62.28</v>
      </c>
      <c r="G153" s="20">
        <f>SUMPRODUCT(--((B153=$B$4:$B$717)*$F$4:$F$717&gt;F153))+1</f>
        <v>8</v>
      </c>
      <c r="H153" s="18" t="s">
        <v>13</v>
      </c>
    </row>
    <row r="154" s="3" customFormat="1" ht="12" spans="1:8">
      <c r="A154" s="18" t="str">
        <f>"202302323"</f>
        <v>202302323</v>
      </c>
      <c r="B154" s="18" t="str">
        <f t="shared" si="27"/>
        <v>008</v>
      </c>
      <c r="C154" s="18" t="str">
        <f t="shared" si="29"/>
        <v>23</v>
      </c>
      <c r="D154" s="14" t="s">
        <v>10</v>
      </c>
      <c r="E154" s="14" t="s">
        <v>20</v>
      </c>
      <c r="F154" s="19">
        <v>61.68</v>
      </c>
      <c r="G154" s="20">
        <f>SUMPRODUCT(--((B154=$B$4:$B$717)*$F$4:$F$717&gt;F154))+1</f>
        <v>10</v>
      </c>
      <c r="H154" s="18" t="s">
        <v>13</v>
      </c>
    </row>
    <row r="155" s="3" customFormat="1" ht="12" spans="1:8">
      <c r="A155" s="18" t="str">
        <f>"202302227"</f>
        <v>202302227</v>
      </c>
      <c r="B155" s="18" t="str">
        <f t="shared" si="27"/>
        <v>008</v>
      </c>
      <c r="C155" s="18" t="str">
        <f>"22"</f>
        <v>22</v>
      </c>
      <c r="D155" s="14" t="s">
        <v>10</v>
      </c>
      <c r="E155" s="14" t="s">
        <v>20</v>
      </c>
      <c r="F155" s="19">
        <v>61.11</v>
      </c>
      <c r="G155" s="20">
        <f>SUMPRODUCT(--((B155=$B$4:$B$717)*$F$4:$F$717&gt;F155))+1</f>
        <v>11</v>
      </c>
      <c r="H155" s="18" t="s">
        <v>13</v>
      </c>
    </row>
    <row r="156" s="3" customFormat="1" ht="12" spans="1:8">
      <c r="A156" s="18" t="str">
        <f>"202302026"</f>
        <v>202302026</v>
      </c>
      <c r="B156" s="18" t="str">
        <f t="shared" si="27"/>
        <v>008</v>
      </c>
      <c r="C156" s="18" t="str">
        <f>"20"</f>
        <v>20</v>
      </c>
      <c r="D156" s="14" t="s">
        <v>10</v>
      </c>
      <c r="E156" s="14" t="s">
        <v>20</v>
      </c>
      <c r="F156" s="19">
        <v>60.04</v>
      </c>
      <c r="G156" s="20">
        <f>SUMPRODUCT(--((B156=$B$4:$B$717)*$F$4:$F$717&gt;F156))+1</f>
        <v>12</v>
      </c>
      <c r="H156" s="18" t="s">
        <v>13</v>
      </c>
    </row>
    <row r="157" s="3" customFormat="1" ht="12" spans="1:8">
      <c r="A157" s="18" t="str">
        <f>"202302305"</f>
        <v>202302305</v>
      </c>
      <c r="B157" s="18" t="str">
        <f t="shared" si="27"/>
        <v>008</v>
      </c>
      <c r="C157" s="18" t="str">
        <f>"23"</f>
        <v>23</v>
      </c>
      <c r="D157" s="14" t="s">
        <v>10</v>
      </c>
      <c r="E157" s="14" t="s">
        <v>20</v>
      </c>
      <c r="F157" s="19">
        <v>59.93</v>
      </c>
      <c r="G157" s="20">
        <f>SUMPRODUCT(--((B157=$B$4:$B$717)*$F$4:$F$717&gt;F157))+1</f>
        <v>13</v>
      </c>
      <c r="H157" s="18" t="s">
        <v>13</v>
      </c>
    </row>
    <row r="158" s="3" customFormat="1" ht="12" spans="1:8">
      <c r="A158" s="18" t="str">
        <f>"202302108"</f>
        <v>202302108</v>
      </c>
      <c r="B158" s="18" t="str">
        <f t="shared" si="27"/>
        <v>008</v>
      </c>
      <c r="C158" s="18" t="str">
        <f t="shared" ref="C158:C162" si="30">"21"</f>
        <v>21</v>
      </c>
      <c r="D158" s="14" t="s">
        <v>10</v>
      </c>
      <c r="E158" s="14" t="s">
        <v>20</v>
      </c>
      <c r="F158" s="19">
        <v>59.6</v>
      </c>
      <c r="G158" s="20">
        <f>SUMPRODUCT(--((B158=$B$4:$B$717)*$F$4:$F$717&gt;F158))+1</f>
        <v>14</v>
      </c>
      <c r="H158" s="18" t="s">
        <v>13</v>
      </c>
    </row>
    <row r="159" s="3" customFormat="1" ht="12" spans="1:8">
      <c r="A159" s="18" t="str">
        <f>"202302128"</f>
        <v>202302128</v>
      </c>
      <c r="B159" s="18" t="str">
        <f t="shared" si="27"/>
        <v>008</v>
      </c>
      <c r="C159" s="18" t="str">
        <f t="shared" si="30"/>
        <v>21</v>
      </c>
      <c r="D159" s="14" t="s">
        <v>10</v>
      </c>
      <c r="E159" s="14" t="s">
        <v>20</v>
      </c>
      <c r="F159" s="19">
        <v>59.52</v>
      </c>
      <c r="G159" s="20">
        <f>SUMPRODUCT(--((B159=$B$4:$B$717)*$F$4:$F$717&gt;F159))+1</f>
        <v>15</v>
      </c>
      <c r="H159" s="18" t="s">
        <v>13</v>
      </c>
    </row>
    <row r="160" s="3" customFormat="1" ht="12" spans="1:8">
      <c r="A160" s="18" t="str">
        <f>"202302320"</f>
        <v>202302320</v>
      </c>
      <c r="B160" s="18" t="str">
        <f t="shared" si="27"/>
        <v>008</v>
      </c>
      <c r="C160" s="18" t="str">
        <f>"23"</f>
        <v>23</v>
      </c>
      <c r="D160" s="14" t="s">
        <v>10</v>
      </c>
      <c r="E160" s="14" t="s">
        <v>20</v>
      </c>
      <c r="F160" s="19">
        <v>59.37</v>
      </c>
      <c r="G160" s="20">
        <f>SUMPRODUCT(--((B160=$B$4:$B$717)*$F$4:$F$717&gt;F160))+1</f>
        <v>16</v>
      </c>
      <c r="H160" s="18" t="s">
        <v>13</v>
      </c>
    </row>
    <row r="161" s="3" customFormat="1" ht="12" spans="1:8">
      <c r="A161" s="18" t="str">
        <f>"202302416"</f>
        <v>202302416</v>
      </c>
      <c r="B161" s="18" t="str">
        <f t="shared" si="27"/>
        <v>008</v>
      </c>
      <c r="C161" s="18" t="str">
        <f>"24"</f>
        <v>24</v>
      </c>
      <c r="D161" s="14" t="s">
        <v>10</v>
      </c>
      <c r="E161" s="14" t="s">
        <v>20</v>
      </c>
      <c r="F161" s="19">
        <v>59.28</v>
      </c>
      <c r="G161" s="20">
        <f>SUMPRODUCT(--((B161=$B$4:$B$717)*$F$4:$F$717&gt;F161))+1</f>
        <v>17</v>
      </c>
      <c r="H161" s="18" t="s">
        <v>13</v>
      </c>
    </row>
    <row r="162" s="3" customFormat="1" ht="12" spans="1:8">
      <c r="A162" s="18" t="str">
        <f>"202302109"</f>
        <v>202302109</v>
      </c>
      <c r="B162" s="18" t="str">
        <f t="shared" si="27"/>
        <v>008</v>
      </c>
      <c r="C162" s="18" t="str">
        <f t="shared" si="30"/>
        <v>21</v>
      </c>
      <c r="D162" s="14" t="s">
        <v>10</v>
      </c>
      <c r="E162" s="14" t="s">
        <v>20</v>
      </c>
      <c r="F162" s="19">
        <v>58.93</v>
      </c>
      <c r="G162" s="20">
        <f>SUMPRODUCT(--((B162=$B$4:$B$717)*$F$4:$F$717&gt;F162))+1</f>
        <v>18</v>
      </c>
      <c r="H162" s="18" t="s">
        <v>13</v>
      </c>
    </row>
    <row r="163" s="3" customFormat="1" ht="12" spans="1:8">
      <c r="A163" s="18" t="str">
        <f>"202302417"</f>
        <v>202302417</v>
      </c>
      <c r="B163" s="18" t="str">
        <f t="shared" si="27"/>
        <v>008</v>
      </c>
      <c r="C163" s="18" t="str">
        <f>"24"</f>
        <v>24</v>
      </c>
      <c r="D163" s="14" t="s">
        <v>10</v>
      </c>
      <c r="E163" s="14" t="s">
        <v>20</v>
      </c>
      <c r="F163" s="19">
        <v>58.92</v>
      </c>
      <c r="G163" s="20">
        <f>SUMPRODUCT(--((B163=$B$4:$B$717)*$F$4:$F$717&gt;F163))+1</f>
        <v>19</v>
      </c>
      <c r="H163" s="18" t="s">
        <v>13</v>
      </c>
    </row>
    <row r="164" s="3" customFormat="1" ht="12" spans="1:8">
      <c r="A164" s="18" t="str">
        <f>"202302124"</f>
        <v>202302124</v>
      </c>
      <c r="B164" s="18" t="str">
        <f t="shared" si="27"/>
        <v>008</v>
      </c>
      <c r="C164" s="18" t="str">
        <f>"21"</f>
        <v>21</v>
      </c>
      <c r="D164" s="14" t="s">
        <v>10</v>
      </c>
      <c r="E164" s="14" t="s">
        <v>20</v>
      </c>
      <c r="F164" s="19">
        <v>58.84</v>
      </c>
      <c r="G164" s="20">
        <f>SUMPRODUCT(--((B164=$B$4:$B$717)*$F$4:$F$717&gt;F164))+1</f>
        <v>20</v>
      </c>
      <c r="H164" s="18" t="s">
        <v>13</v>
      </c>
    </row>
    <row r="165" s="3" customFormat="1" ht="12" spans="1:8">
      <c r="A165" s="18" t="str">
        <f>"202302201"</f>
        <v>202302201</v>
      </c>
      <c r="B165" s="18" t="str">
        <f t="shared" si="27"/>
        <v>008</v>
      </c>
      <c r="C165" s="18" t="str">
        <f t="shared" ref="C165:C168" si="31">"22"</f>
        <v>22</v>
      </c>
      <c r="D165" s="14" t="s">
        <v>10</v>
      </c>
      <c r="E165" s="14" t="s">
        <v>20</v>
      </c>
      <c r="F165" s="19">
        <v>58.09</v>
      </c>
      <c r="G165" s="20">
        <f>SUMPRODUCT(--((B165=$B$4:$B$717)*$F$4:$F$717&gt;F165))+1</f>
        <v>21</v>
      </c>
      <c r="H165" s="18" t="s">
        <v>13</v>
      </c>
    </row>
    <row r="166" s="3" customFormat="1" ht="12" spans="1:8">
      <c r="A166" s="18" t="str">
        <f>"202302221"</f>
        <v>202302221</v>
      </c>
      <c r="B166" s="18" t="str">
        <f t="shared" si="27"/>
        <v>008</v>
      </c>
      <c r="C166" s="18" t="str">
        <f t="shared" si="31"/>
        <v>22</v>
      </c>
      <c r="D166" s="14" t="s">
        <v>10</v>
      </c>
      <c r="E166" s="14" t="s">
        <v>20</v>
      </c>
      <c r="F166" s="19">
        <v>57.33</v>
      </c>
      <c r="G166" s="20">
        <f>SUMPRODUCT(--((B166=$B$4:$B$717)*$F$4:$F$717&gt;F166))+1</f>
        <v>22</v>
      </c>
      <c r="H166" s="18" t="s">
        <v>13</v>
      </c>
    </row>
    <row r="167" s="3" customFormat="1" ht="12" spans="1:8">
      <c r="A167" s="18" t="str">
        <f>"202302207"</f>
        <v>202302207</v>
      </c>
      <c r="B167" s="18" t="str">
        <f t="shared" si="27"/>
        <v>008</v>
      </c>
      <c r="C167" s="18" t="str">
        <f t="shared" si="31"/>
        <v>22</v>
      </c>
      <c r="D167" s="14" t="s">
        <v>10</v>
      </c>
      <c r="E167" s="14" t="s">
        <v>20</v>
      </c>
      <c r="F167" s="19">
        <v>56.84</v>
      </c>
      <c r="G167" s="20">
        <f>SUMPRODUCT(--((B167=$B$4:$B$717)*$F$4:$F$717&gt;F167))+1</f>
        <v>23</v>
      </c>
      <c r="H167" s="18" t="s">
        <v>13</v>
      </c>
    </row>
    <row r="168" s="3" customFormat="1" ht="12" spans="1:8">
      <c r="A168" s="18" t="str">
        <f>"202302226"</f>
        <v>202302226</v>
      </c>
      <c r="B168" s="18" t="str">
        <f t="shared" si="27"/>
        <v>008</v>
      </c>
      <c r="C168" s="18" t="str">
        <f t="shared" si="31"/>
        <v>22</v>
      </c>
      <c r="D168" s="14" t="s">
        <v>10</v>
      </c>
      <c r="E168" s="14" t="s">
        <v>20</v>
      </c>
      <c r="F168" s="19">
        <v>56.6</v>
      </c>
      <c r="G168" s="20">
        <f>SUMPRODUCT(--((B168=$B$4:$B$717)*$F$4:$F$717&gt;F168))+1</f>
        <v>24</v>
      </c>
      <c r="H168" s="18" t="s">
        <v>13</v>
      </c>
    </row>
    <row r="169" s="3" customFormat="1" ht="12" spans="1:8">
      <c r="A169" s="18" t="str">
        <f>"202302130"</f>
        <v>202302130</v>
      </c>
      <c r="B169" s="18" t="str">
        <f t="shared" si="27"/>
        <v>008</v>
      </c>
      <c r="C169" s="18" t="str">
        <f>"21"</f>
        <v>21</v>
      </c>
      <c r="D169" s="14" t="s">
        <v>10</v>
      </c>
      <c r="E169" s="14" t="s">
        <v>20</v>
      </c>
      <c r="F169" s="19">
        <v>56.59</v>
      </c>
      <c r="G169" s="20">
        <f>SUMPRODUCT(--((B169=$B$4:$B$717)*$F$4:$F$717&gt;F169))+1</f>
        <v>25</v>
      </c>
      <c r="H169" s="18" t="s">
        <v>13</v>
      </c>
    </row>
    <row r="170" s="3" customFormat="1" ht="12" spans="1:8">
      <c r="A170" s="18" t="str">
        <f>"202302029"</f>
        <v>202302029</v>
      </c>
      <c r="B170" s="18" t="str">
        <f t="shared" si="27"/>
        <v>008</v>
      </c>
      <c r="C170" s="18" t="str">
        <f>"20"</f>
        <v>20</v>
      </c>
      <c r="D170" s="14" t="s">
        <v>10</v>
      </c>
      <c r="E170" s="14" t="s">
        <v>20</v>
      </c>
      <c r="F170" s="19">
        <v>56.44</v>
      </c>
      <c r="G170" s="20">
        <f>SUMPRODUCT(--((B170=$B$4:$B$717)*$F$4:$F$717&gt;F170))+1</f>
        <v>26</v>
      </c>
      <c r="H170" s="18" t="s">
        <v>13</v>
      </c>
    </row>
    <row r="171" s="3" customFormat="1" ht="12" spans="1:8">
      <c r="A171" s="18" t="str">
        <f>"202302224"</f>
        <v>202302224</v>
      </c>
      <c r="B171" s="18" t="str">
        <f t="shared" si="27"/>
        <v>008</v>
      </c>
      <c r="C171" s="18" t="str">
        <f>"22"</f>
        <v>22</v>
      </c>
      <c r="D171" s="14" t="s">
        <v>10</v>
      </c>
      <c r="E171" s="14" t="s">
        <v>20</v>
      </c>
      <c r="F171" s="19">
        <v>56.41</v>
      </c>
      <c r="G171" s="20">
        <f>SUMPRODUCT(--((B171=$B$4:$B$717)*$F$4:$F$717&gt;F171))+1</f>
        <v>27</v>
      </c>
      <c r="H171" s="18" t="s">
        <v>13</v>
      </c>
    </row>
    <row r="172" s="3" customFormat="1" ht="12" spans="1:8">
      <c r="A172" s="18" t="str">
        <f>"202302327"</f>
        <v>202302327</v>
      </c>
      <c r="B172" s="18" t="str">
        <f t="shared" si="27"/>
        <v>008</v>
      </c>
      <c r="C172" s="18" t="str">
        <f t="shared" ref="C172:C175" si="32">"23"</f>
        <v>23</v>
      </c>
      <c r="D172" s="14" t="s">
        <v>10</v>
      </c>
      <c r="E172" s="14" t="s">
        <v>20</v>
      </c>
      <c r="F172" s="19">
        <v>55.51</v>
      </c>
      <c r="G172" s="20">
        <f>SUMPRODUCT(--((B172=$B$4:$B$717)*$F$4:$F$717&gt;F172))+1</f>
        <v>28</v>
      </c>
      <c r="H172" s="18" t="s">
        <v>13</v>
      </c>
    </row>
    <row r="173" s="3" customFormat="1" ht="12" spans="1:8">
      <c r="A173" s="18" t="str">
        <f>"202302302"</f>
        <v>202302302</v>
      </c>
      <c r="B173" s="18" t="str">
        <f t="shared" si="27"/>
        <v>008</v>
      </c>
      <c r="C173" s="18" t="str">
        <f t="shared" si="32"/>
        <v>23</v>
      </c>
      <c r="D173" s="14" t="s">
        <v>10</v>
      </c>
      <c r="E173" s="14" t="s">
        <v>20</v>
      </c>
      <c r="F173" s="19">
        <v>55.33</v>
      </c>
      <c r="G173" s="20">
        <f>SUMPRODUCT(--((B173=$B$4:$B$717)*$F$4:$F$717&gt;F173))+1</f>
        <v>29</v>
      </c>
      <c r="H173" s="18" t="s">
        <v>13</v>
      </c>
    </row>
    <row r="174" s="3" customFormat="1" ht="12" spans="1:8">
      <c r="A174" s="18" t="str">
        <f>"202302111"</f>
        <v>202302111</v>
      </c>
      <c r="B174" s="18" t="str">
        <f t="shared" si="27"/>
        <v>008</v>
      </c>
      <c r="C174" s="18" t="str">
        <f t="shared" ref="C174:C180" si="33">"21"</f>
        <v>21</v>
      </c>
      <c r="D174" s="14" t="s">
        <v>10</v>
      </c>
      <c r="E174" s="14" t="s">
        <v>20</v>
      </c>
      <c r="F174" s="19">
        <v>54.93</v>
      </c>
      <c r="G174" s="20">
        <f>SUMPRODUCT(--((B174=$B$4:$B$717)*$F$4:$F$717&gt;F174))+1</f>
        <v>30</v>
      </c>
      <c r="H174" s="18" t="s">
        <v>13</v>
      </c>
    </row>
    <row r="175" s="3" customFormat="1" ht="12" spans="1:8">
      <c r="A175" s="18" t="str">
        <f>"202302313"</f>
        <v>202302313</v>
      </c>
      <c r="B175" s="18" t="str">
        <f t="shared" si="27"/>
        <v>008</v>
      </c>
      <c r="C175" s="18" t="str">
        <f t="shared" si="32"/>
        <v>23</v>
      </c>
      <c r="D175" s="14" t="s">
        <v>10</v>
      </c>
      <c r="E175" s="14" t="s">
        <v>20</v>
      </c>
      <c r="F175" s="19">
        <v>54.93</v>
      </c>
      <c r="G175" s="20">
        <f>SUMPRODUCT(--((B175=$B$4:$B$717)*$F$4:$F$717&gt;F175))+1</f>
        <v>30</v>
      </c>
      <c r="H175" s="18" t="s">
        <v>13</v>
      </c>
    </row>
    <row r="176" s="3" customFormat="1" ht="12" spans="1:8">
      <c r="A176" s="18" t="str">
        <f>"202302218"</f>
        <v>202302218</v>
      </c>
      <c r="B176" s="18" t="str">
        <f t="shared" si="27"/>
        <v>008</v>
      </c>
      <c r="C176" s="18" t="str">
        <f>"22"</f>
        <v>22</v>
      </c>
      <c r="D176" s="14" t="s">
        <v>10</v>
      </c>
      <c r="E176" s="14" t="s">
        <v>20</v>
      </c>
      <c r="F176" s="19">
        <v>54.92</v>
      </c>
      <c r="G176" s="20">
        <f>SUMPRODUCT(--((B176=$B$4:$B$717)*$F$4:$F$717&gt;F176))+1</f>
        <v>32</v>
      </c>
      <c r="H176" s="18" t="s">
        <v>13</v>
      </c>
    </row>
    <row r="177" s="3" customFormat="1" ht="12" spans="1:8">
      <c r="A177" s="18" t="str">
        <f>"202302215"</f>
        <v>202302215</v>
      </c>
      <c r="B177" s="18" t="str">
        <f t="shared" si="27"/>
        <v>008</v>
      </c>
      <c r="C177" s="18" t="str">
        <f>"22"</f>
        <v>22</v>
      </c>
      <c r="D177" s="14" t="s">
        <v>10</v>
      </c>
      <c r="E177" s="14" t="s">
        <v>20</v>
      </c>
      <c r="F177" s="19">
        <v>54.2</v>
      </c>
      <c r="G177" s="20">
        <f>SUMPRODUCT(--((B177=$B$4:$B$717)*$F$4:$F$717&gt;F177))+1</f>
        <v>33</v>
      </c>
      <c r="H177" s="18" t="s">
        <v>13</v>
      </c>
    </row>
    <row r="178" s="3" customFormat="1" ht="12" spans="1:8">
      <c r="A178" s="18" t="str">
        <f>"202302113"</f>
        <v>202302113</v>
      </c>
      <c r="B178" s="18" t="str">
        <f t="shared" si="27"/>
        <v>008</v>
      </c>
      <c r="C178" s="18" t="str">
        <f t="shared" si="33"/>
        <v>21</v>
      </c>
      <c r="D178" s="14" t="s">
        <v>10</v>
      </c>
      <c r="E178" s="14" t="s">
        <v>20</v>
      </c>
      <c r="F178" s="19">
        <v>54.17</v>
      </c>
      <c r="G178" s="20">
        <f>SUMPRODUCT(--((B178=$B$4:$B$717)*$F$4:$F$717&gt;F178))+1</f>
        <v>34</v>
      </c>
      <c r="H178" s="18" t="s">
        <v>13</v>
      </c>
    </row>
    <row r="179" s="3" customFormat="1" ht="12" spans="1:8">
      <c r="A179" s="18" t="str">
        <f>"202302106"</f>
        <v>202302106</v>
      </c>
      <c r="B179" s="18" t="str">
        <f t="shared" si="27"/>
        <v>008</v>
      </c>
      <c r="C179" s="18" t="str">
        <f t="shared" si="33"/>
        <v>21</v>
      </c>
      <c r="D179" s="14" t="s">
        <v>10</v>
      </c>
      <c r="E179" s="14" t="s">
        <v>20</v>
      </c>
      <c r="F179" s="19">
        <v>54.1</v>
      </c>
      <c r="G179" s="20">
        <f>SUMPRODUCT(--((B179=$B$4:$B$717)*$F$4:$F$717&gt;F179))+1</f>
        <v>35</v>
      </c>
      <c r="H179" s="18" t="s">
        <v>13</v>
      </c>
    </row>
    <row r="180" s="3" customFormat="1" ht="12" spans="1:8">
      <c r="A180" s="18" t="str">
        <f>"202302114"</f>
        <v>202302114</v>
      </c>
      <c r="B180" s="18" t="str">
        <f t="shared" si="27"/>
        <v>008</v>
      </c>
      <c r="C180" s="18" t="str">
        <f t="shared" si="33"/>
        <v>21</v>
      </c>
      <c r="D180" s="14" t="s">
        <v>10</v>
      </c>
      <c r="E180" s="14" t="s">
        <v>20</v>
      </c>
      <c r="F180" s="19">
        <v>54.08</v>
      </c>
      <c r="G180" s="20">
        <f>SUMPRODUCT(--((B180=$B$4:$B$717)*$F$4:$F$717&gt;F180))+1</f>
        <v>36</v>
      </c>
      <c r="H180" s="18" t="s">
        <v>13</v>
      </c>
    </row>
    <row r="181" s="3" customFormat="1" ht="12" spans="1:8">
      <c r="A181" s="18" t="str">
        <f>"202302412"</f>
        <v>202302412</v>
      </c>
      <c r="B181" s="18" t="str">
        <f t="shared" si="27"/>
        <v>008</v>
      </c>
      <c r="C181" s="18" t="str">
        <f t="shared" ref="C181:C186" si="34">"24"</f>
        <v>24</v>
      </c>
      <c r="D181" s="14" t="s">
        <v>10</v>
      </c>
      <c r="E181" s="14" t="s">
        <v>20</v>
      </c>
      <c r="F181" s="19">
        <v>54.08</v>
      </c>
      <c r="G181" s="20">
        <f>SUMPRODUCT(--((B181=$B$4:$B$717)*$F$4:$F$717&gt;F181))+1</f>
        <v>36</v>
      </c>
      <c r="H181" s="18" t="s">
        <v>13</v>
      </c>
    </row>
    <row r="182" s="3" customFormat="1" ht="12" spans="1:8">
      <c r="A182" s="18" t="str">
        <f>"202302303"</f>
        <v>202302303</v>
      </c>
      <c r="B182" s="18" t="str">
        <f t="shared" si="27"/>
        <v>008</v>
      </c>
      <c r="C182" s="18" t="str">
        <f t="shared" ref="C182:C188" si="35">"23"</f>
        <v>23</v>
      </c>
      <c r="D182" s="14" t="s">
        <v>10</v>
      </c>
      <c r="E182" s="14" t="s">
        <v>20</v>
      </c>
      <c r="F182" s="19">
        <v>53.86</v>
      </c>
      <c r="G182" s="20">
        <f>SUMPRODUCT(--((B182=$B$4:$B$717)*$F$4:$F$717&gt;F182))+1</f>
        <v>38</v>
      </c>
      <c r="H182" s="18" t="s">
        <v>13</v>
      </c>
    </row>
    <row r="183" s="3" customFormat="1" ht="12" spans="1:8">
      <c r="A183" s="18" t="str">
        <f>"202302306"</f>
        <v>202302306</v>
      </c>
      <c r="B183" s="18" t="str">
        <f t="shared" si="27"/>
        <v>008</v>
      </c>
      <c r="C183" s="18" t="str">
        <f t="shared" si="35"/>
        <v>23</v>
      </c>
      <c r="D183" s="14" t="s">
        <v>10</v>
      </c>
      <c r="E183" s="14" t="s">
        <v>20</v>
      </c>
      <c r="F183" s="19">
        <v>53.85</v>
      </c>
      <c r="G183" s="20">
        <f>SUMPRODUCT(--((B183=$B$4:$B$717)*$F$4:$F$717&gt;F183))+1</f>
        <v>39</v>
      </c>
      <c r="H183" s="18" t="s">
        <v>13</v>
      </c>
    </row>
    <row r="184" s="3" customFormat="1" ht="12" spans="1:8">
      <c r="A184" s="18" t="str">
        <f>"202302120"</f>
        <v>202302120</v>
      </c>
      <c r="B184" s="18" t="str">
        <f t="shared" si="27"/>
        <v>008</v>
      </c>
      <c r="C184" s="18" t="str">
        <f>"21"</f>
        <v>21</v>
      </c>
      <c r="D184" s="14" t="s">
        <v>10</v>
      </c>
      <c r="E184" s="14" t="s">
        <v>20</v>
      </c>
      <c r="F184" s="19">
        <v>53.69</v>
      </c>
      <c r="G184" s="20">
        <f>SUMPRODUCT(--((B184=$B$4:$B$717)*$F$4:$F$717&gt;F184))+1</f>
        <v>40</v>
      </c>
      <c r="H184" s="18" t="s">
        <v>13</v>
      </c>
    </row>
    <row r="185" s="3" customFormat="1" ht="12" spans="1:8">
      <c r="A185" s="18" t="str">
        <f>"202302411"</f>
        <v>202302411</v>
      </c>
      <c r="B185" s="18" t="str">
        <f t="shared" si="27"/>
        <v>008</v>
      </c>
      <c r="C185" s="18" t="str">
        <f t="shared" si="34"/>
        <v>24</v>
      </c>
      <c r="D185" s="14" t="s">
        <v>10</v>
      </c>
      <c r="E185" s="14" t="s">
        <v>20</v>
      </c>
      <c r="F185" s="19">
        <v>53.52</v>
      </c>
      <c r="G185" s="20">
        <f>SUMPRODUCT(--((B185=$B$4:$B$717)*$F$4:$F$717&gt;F185))+1</f>
        <v>41</v>
      </c>
      <c r="H185" s="18" t="s">
        <v>13</v>
      </c>
    </row>
    <row r="186" s="3" customFormat="1" ht="12" spans="1:8">
      <c r="A186" s="18" t="str">
        <f>"202302407"</f>
        <v>202302407</v>
      </c>
      <c r="B186" s="18" t="str">
        <f t="shared" si="27"/>
        <v>008</v>
      </c>
      <c r="C186" s="18" t="str">
        <f t="shared" si="34"/>
        <v>24</v>
      </c>
      <c r="D186" s="14" t="s">
        <v>10</v>
      </c>
      <c r="E186" s="14" t="s">
        <v>20</v>
      </c>
      <c r="F186" s="19">
        <v>53.45</v>
      </c>
      <c r="G186" s="20">
        <f>SUMPRODUCT(--((B186=$B$4:$B$717)*$F$4:$F$717&gt;F186))+1</f>
        <v>42</v>
      </c>
      <c r="H186" s="18" t="s">
        <v>13</v>
      </c>
    </row>
    <row r="187" s="3" customFormat="1" ht="12" spans="1:8">
      <c r="A187" s="18" t="str">
        <f>"202302324"</f>
        <v>202302324</v>
      </c>
      <c r="B187" s="18" t="str">
        <f t="shared" si="27"/>
        <v>008</v>
      </c>
      <c r="C187" s="18" t="str">
        <f t="shared" si="35"/>
        <v>23</v>
      </c>
      <c r="D187" s="14" t="s">
        <v>10</v>
      </c>
      <c r="E187" s="14" t="s">
        <v>20</v>
      </c>
      <c r="F187" s="19">
        <v>53.43</v>
      </c>
      <c r="G187" s="20">
        <f>SUMPRODUCT(--((B187=$B$4:$B$717)*$F$4:$F$717&gt;F187))+1</f>
        <v>43</v>
      </c>
      <c r="H187" s="18" t="s">
        <v>13</v>
      </c>
    </row>
    <row r="188" s="3" customFormat="1" ht="12" spans="1:8">
      <c r="A188" s="18" t="str">
        <f>"202302309"</f>
        <v>202302309</v>
      </c>
      <c r="B188" s="18" t="str">
        <f t="shared" si="27"/>
        <v>008</v>
      </c>
      <c r="C188" s="18" t="str">
        <f t="shared" si="35"/>
        <v>23</v>
      </c>
      <c r="D188" s="14" t="s">
        <v>10</v>
      </c>
      <c r="E188" s="14" t="s">
        <v>20</v>
      </c>
      <c r="F188" s="19">
        <v>52.34</v>
      </c>
      <c r="G188" s="20">
        <f>SUMPRODUCT(--((B188=$B$4:$B$717)*$F$4:$F$717&gt;F188))+1</f>
        <v>44</v>
      </c>
      <c r="H188" s="18" t="s">
        <v>13</v>
      </c>
    </row>
    <row r="189" s="3" customFormat="1" ht="12" spans="1:8">
      <c r="A189" s="18" t="str">
        <f>"202302012"</f>
        <v>202302012</v>
      </c>
      <c r="B189" s="18" t="str">
        <f t="shared" si="27"/>
        <v>008</v>
      </c>
      <c r="C189" s="18" t="str">
        <f t="shared" ref="C189:C194" si="36">"20"</f>
        <v>20</v>
      </c>
      <c r="D189" s="14" t="s">
        <v>10</v>
      </c>
      <c r="E189" s="14" t="s">
        <v>20</v>
      </c>
      <c r="F189" s="19">
        <v>52.03</v>
      </c>
      <c r="G189" s="20">
        <f>SUMPRODUCT(--((B189=$B$4:$B$717)*$F$4:$F$717&gt;F189))+1</f>
        <v>45</v>
      </c>
      <c r="H189" s="18" t="s">
        <v>13</v>
      </c>
    </row>
    <row r="190" s="3" customFormat="1" ht="12" spans="1:8">
      <c r="A190" s="18" t="str">
        <f>"202302209"</f>
        <v>202302209</v>
      </c>
      <c r="B190" s="18" t="str">
        <f t="shared" si="27"/>
        <v>008</v>
      </c>
      <c r="C190" s="18" t="str">
        <f t="shared" ref="C190:C192" si="37">"22"</f>
        <v>22</v>
      </c>
      <c r="D190" s="14" t="s">
        <v>10</v>
      </c>
      <c r="E190" s="14" t="s">
        <v>20</v>
      </c>
      <c r="F190" s="19">
        <v>51.97</v>
      </c>
      <c r="G190" s="20">
        <f>SUMPRODUCT(--((B190=$B$4:$B$717)*$F$4:$F$717&gt;F190))+1</f>
        <v>46</v>
      </c>
      <c r="H190" s="18" t="s">
        <v>13</v>
      </c>
    </row>
    <row r="191" s="3" customFormat="1" ht="12" spans="1:8">
      <c r="A191" s="18" t="str">
        <f>"202302223"</f>
        <v>202302223</v>
      </c>
      <c r="B191" s="18" t="str">
        <f t="shared" si="27"/>
        <v>008</v>
      </c>
      <c r="C191" s="18" t="str">
        <f t="shared" si="37"/>
        <v>22</v>
      </c>
      <c r="D191" s="14" t="s">
        <v>10</v>
      </c>
      <c r="E191" s="14" t="s">
        <v>20</v>
      </c>
      <c r="F191" s="19">
        <v>51.93</v>
      </c>
      <c r="G191" s="20">
        <f>SUMPRODUCT(--((B191=$B$4:$B$717)*$F$4:$F$717&gt;F191))+1</f>
        <v>47</v>
      </c>
      <c r="H191" s="18" t="s">
        <v>13</v>
      </c>
    </row>
    <row r="192" s="3" customFormat="1" ht="12" spans="1:8">
      <c r="A192" s="18" t="str">
        <f>"202302225"</f>
        <v>202302225</v>
      </c>
      <c r="B192" s="18" t="str">
        <f t="shared" si="27"/>
        <v>008</v>
      </c>
      <c r="C192" s="18" t="str">
        <f t="shared" si="37"/>
        <v>22</v>
      </c>
      <c r="D192" s="14" t="s">
        <v>10</v>
      </c>
      <c r="E192" s="14" t="s">
        <v>20</v>
      </c>
      <c r="F192" s="19">
        <v>51.85</v>
      </c>
      <c r="G192" s="20">
        <f>SUMPRODUCT(--((B192=$B$4:$B$717)*$F$4:$F$717&gt;F192))+1</f>
        <v>48</v>
      </c>
      <c r="H192" s="18" t="s">
        <v>13</v>
      </c>
    </row>
    <row r="193" s="3" customFormat="1" ht="12" spans="1:8">
      <c r="A193" s="18" t="str">
        <f>"202302021"</f>
        <v>202302021</v>
      </c>
      <c r="B193" s="18" t="str">
        <f t="shared" si="27"/>
        <v>008</v>
      </c>
      <c r="C193" s="18" t="str">
        <f t="shared" si="36"/>
        <v>20</v>
      </c>
      <c r="D193" s="14" t="s">
        <v>10</v>
      </c>
      <c r="E193" s="14" t="s">
        <v>20</v>
      </c>
      <c r="F193" s="19">
        <v>51.7</v>
      </c>
      <c r="G193" s="20">
        <f>SUMPRODUCT(--((B193=$B$4:$B$717)*$F$4:$F$717&gt;F193))+1</f>
        <v>49</v>
      </c>
      <c r="H193" s="18" t="s">
        <v>13</v>
      </c>
    </row>
    <row r="194" s="3" customFormat="1" ht="12" spans="1:8">
      <c r="A194" s="18" t="str">
        <f>"202302024"</f>
        <v>202302024</v>
      </c>
      <c r="B194" s="18" t="str">
        <f t="shared" si="27"/>
        <v>008</v>
      </c>
      <c r="C194" s="18" t="str">
        <f t="shared" si="36"/>
        <v>20</v>
      </c>
      <c r="D194" s="14" t="s">
        <v>10</v>
      </c>
      <c r="E194" s="14" t="s">
        <v>20</v>
      </c>
      <c r="F194" s="19">
        <v>51.64</v>
      </c>
      <c r="G194" s="20">
        <f>SUMPRODUCT(--((B194=$B$4:$B$717)*$F$4:$F$717&gt;F194))+1</f>
        <v>50</v>
      </c>
      <c r="H194" s="18" t="s">
        <v>13</v>
      </c>
    </row>
    <row r="195" s="3" customFormat="1" ht="12" spans="1:8">
      <c r="A195" s="18" t="str">
        <f>"202302214"</f>
        <v>202302214</v>
      </c>
      <c r="B195" s="18" t="str">
        <f t="shared" si="27"/>
        <v>008</v>
      </c>
      <c r="C195" s="18" t="str">
        <f>"22"</f>
        <v>22</v>
      </c>
      <c r="D195" s="14" t="s">
        <v>10</v>
      </c>
      <c r="E195" s="14" t="s">
        <v>20</v>
      </c>
      <c r="F195" s="19">
        <v>51.59</v>
      </c>
      <c r="G195" s="20">
        <f>SUMPRODUCT(--((B195=$B$4:$B$717)*$F$4:$F$717&gt;F195))+1</f>
        <v>51</v>
      </c>
      <c r="H195" s="18" t="s">
        <v>13</v>
      </c>
    </row>
    <row r="196" s="3" customFormat="1" ht="12" spans="1:8">
      <c r="A196" s="18" t="str">
        <f>"202302329"</f>
        <v>202302329</v>
      </c>
      <c r="B196" s="18" t="str">
        <f t="shared" si="27"/>
        <v>008</v>
      </c>
      <c r="C196" s="18" t="str">
        <f t="shared" ref="C196:C202" si="38">"23"</f>
        <v>23</v>
      </c>
      <c r="D196" s="14" t="s">
        <v>10</v>
      </c>
      <c r="E196" s="14" t="s">
        <v>20</v>
      </c>
      <c r="F196" s="19">
        <v>51.51</v>
      </c>
      <c r="G196" s="20">
        <f>SUMPRODUCT(--((B196=$B$4:$B$717)*$F$4:$F$717&gt;F196))+1</f>
        <v>52</v>
      </c>
      <c r="H196" s="18" t="s">
        <v>13</v>
      </c>
    </row>
    <row r="197" s="3" customFormat="1" ht="12" spans="1:8">
      <c r="A197" s="18" t="str">
        <f>"202302206"</f>
        <v>202302206</v>
      </c>
      <c r="B197" s="18" t="str">
        <f t="shared" si="27"/>
        <v>008</v>
      </c>
      <c r="C197" s="18" t="str">
        <f>"22"</f>
        <v>22</v>
      </c>
      <c r="D197" s="14" t="s">
        <v>10</v>
      </c>
      <c r="E197" s="14" t="s">
        <v>20</v>
      </c>
      <c r="F197" s="19">
        <v>51.33</v>
      </c>
      <c r="G197" s="20">
        <f>SUMPRODUCT(--((B197=$B$4:$B$717)*$F$4:$F$717&gt;F197))+1</f>
        <v>53</v>
      </c>
      <c r="H197" s="18" t="s">
        <v>13</v>
      </c>
    </row>
    <row r="198" s="3" customFormat="1" ht="12" spans="1:8">
      <c r="A198" s="18" t="str">
        <f>"202302115"</f>
        <v>202302115</v>
      </c>
      <c r="B198" s="18" t="str">
        <f t="shared" si="27"/>
        <v>008</v>
      </c>
      <c r="C198" s="18" t="str">
        <f>"21"</f>
        <v>21</v>
      </c>
      <c r="D198" s="14" t="s">
        <v>10</v>
      </c>
      <c r="E198" s="14" t="s">
        <v>20</v>
      </c>
      <c r="F198" s="19">
        <v>51.27</v>
      </c>
      <c r="G198" s="20">
        <f>SUMPRODUCT(--((B198=$B$4:$B$717)*$F$4:$F$717&gt;F198))+1</f>
        <v>54</v>
      </c>
      <c r="H198" s="18" t="s">
        <v>13</v>
      </c>
    </row>
    <row r="199" s="3" customFormat="1" ht="12" spans="1:8">
      <c r="A199" s="18" t="str">
        <f>"202302314"</f>
        <v>202302314</v>
      </c>
      <c r="B199" s="18" t="str">
        <f t="shared" si="27"/>
        <v>008</v>
      </c>
      <c r="C199" s="18" t="str">
        <f t="shared" si="38"/>
        <v>23</v>
      </c>
      <c r="D199" s="14" t="s">
        <v>10</v>
      </c>
      <c r="E199" s="14" t="s">
        <v>20</v>
      </c>
      <c r="F199" s="19">
        <v>50.44</v>
      </c>
      <c r="G199" s="20">
        <f>SUMPRODUCT(--((B199=$B$4:$B$717)*$F$4:$F$717&gt;F199))+1</f>
        <v>55</v>
      </c>
      <c r="H199" s="18" t="s">
        <v>13</v>
      </c>
    </row>
    <row r="200" s="3" customFormat="1" ht="12" spans="1:8">
      <c r="A200" s="18" t="str">
        <f>"202302116"</f>
        <v>202302116</v>
      </c>
      <c r="B200" s="18" t="str">
        <f t="shared" si="27"/>
        <v>008</v>
      </c>
      <c r="C200" s="18" t="str">
        <f>"21"</f>
        <v>21</v>
      </c>
      <c r="D200" s="14" t="s">
        <v>10</v>
      </c>
      <c r="E200" s="14" t="s">
        <v>20</v>
      </c>
      <c r="F200" s="19">
        <v>50.26</v>
      </c>
      <c r="G200" s="20">
        <f>SUMPRODUCT(--((B200=$B$4:$B$717)*$F$4:$F$717&gt;F200))+1</f>
        <v>56</v>
      </c>
      <c r="H200" s="18" t="s">
        <v>13</v>
      </c>
    </row>
    <row r="201" s="3" customFormat="1" ht="12" spans="1:8">
      <c r="A201" s="18" t="str">
        <f>"202302325"</f>
        <v>202302325</v>
      </c>
      <c r="B201" s="18" t="str">
        <f t="shared" si="27"/>
        <v>008</v>
      </c>
      <c r="C201" s="18" t="str">
        <f t="shared" si="38"/>
        <v>23</v>
      </c>
      <c r="D201" s="14" t="s">
        <v>10</v>
      </c>
      <c r="E201" s="14" t="s">
        <v>20</v>
      </c>
      <c r="F201" s="19">
        <v>50.17</v>
      </c>
      <c r="G201" s="20">
        <f>SUMPRODUCT(--((B201=$B$4:$B$717)*$F$4:$F$717&gt;F201))+1</f>
        <v>57</v>
      </c>
      <c r="H201" s="18" t="s">
        <v>13</v>
      </c>
    </row>
    <row r="202" s="3" customFormat="1" ht="12" spans="1:8">
      <c r="A202" s="18" t="str">
        <f>"202302307"</f>
        <v>202302307</v>
      </c>
      <c r="B202" s="18" t="str">
        <f t="shared" si="27"/>
        <v>008</v>
      </c>
      <c r="C202" s="18" t="str">
        <f t="shared" si="38"/>
        <v>23</v>
      </c>
      <c r="D202" s="14" t="s">
        <v>10</v>
      </c>
      <c r="E202" s="14" t="s">
        <v>20</v>
      </c>
      <c r="F202" s="19">
        <v>50.03</v>
      </c>
      <c r="G202" s="20">
        <f>SUMPRODUCT(--((B202=$B$4:$B$717)*$F$4:$F$717&gt;F202))+1</f>
        <v>58</v>
      </c>
      <c r="H202" s="18" t="s">
        <v>13</v>
      </c>
    </row>
    <row r="203" s="3" customFormat="1" ht="12" spans="1:8">
      <c r="A203" s="18" t="str">
        <f>"202302404"</f>
        <v>202302404</v>
      </c>
      <c r="B203" s="18" t="str">
        <f t="shared" si="27"/>
        <v>008</v>
      </c>
      <c r="C203" s="18" t="str">
        <f t="shared" ref="C203:C208" si="39">"24"</f>
        <v>24</v>
      </c>
      <c r="D203" s="14" t="s">
        <v>10</v>
      </c>
      <c r="E203" s="14" t="s">
        <v>20</v>
      </c>
      <c r="F203" s="19">
        <v>50.02</v>
      </c>
      <c r="G203" s="20">
        <f>SUMPRODUCT(--((B203=$B$4:$B$717)*$F$4:$F$717&gt;F203))+1</f>
        <v>59</v>
      </c>
      <c r="H203" s="18" t="s">
        <v>13</v>
      </c>
    </row>
    <row r="204" s="3" customFormat="1" ht="12" spans="1:8">
      <c r="A204" s="18" t="str">
        <f>"202302419"</f>
        <v>202302419</v>
      </c>
      <c r="B204" s="18" t="str">
        <f t="shared" si="27"/>
        <v>008</v>
      </c>
      <c r="C204" s="18" t="str">
        <f t="shared" si="39"/>
        <v>24</v>
      </c>
      <c r="D204" s="14" t="s">
        <v>10</v>
      </c>
      <c r="E204" s="14" t="s">
        <v>20</v>
      </c>
      <c r="F204" s="19">
        <v>49.85</v>
      </c>
      <c r="G204" s="20">
        <f>SUMPRODUCT(--((B204=$B$4:$B$717)*$F$4:$F$717&gt;F204))+1</f>
        <v>60</v>
      </c>
      <c r="H204" s="18" t="s">
        <v>13</v>
      </c>
    </row>
    <row r="205" s="3" customFormat="1" ht="12" spans="1:8">
      <c r="A205" s="18" t="str">
        <f>"202302121"</f>
        <v>202302121</v>
      </c>
      <c r="B205" s="18" t="str">
        <f t="shared" si="27"/>
        <v>008</v>
      </c>
      <c r="C205" s="18" t="str">
        <f t="shared" ref="C205:C210" si="40">"21"</f>
        <v>21</v>
      </c>
      <c r="D205" s="14" t="s">
        <v>10</v>
      </c>
      <c r="E205" s="14" t="s">
        <v>20</v>
      </c>
      <c r="F205" s="19">
        <v>49.66</v>
      </c>
      <c r="G205" s="20">
        <f>SUMPRODUCT(--((B205=$B$4:$B$717)*$F$4:$F$717&gt;F205))+1</f>
        <v>61</v>
      </c>
      <c r="H205" s="18" t="s">
        <v>13</v>
      </c>
    </row>
    <row r="206" s="3" customFormat="1" ht="12" spans="1:8">
      <c r="A206" s="18" t="str">
        <f>"202302415"</f>
        <v>202302415</v>
      </c>
      <c r="B206" s="18" t="str">
        <f t="shared" si="27"/>
        <v>008</v>
      </c>
      <c r="C206" s="18" t="str">
        <f t="shared" si="39"/>
        <v>24</v>
      </c>
      <c r="D206" s="14" t="s">
        <v>10</v>
      </c>
      <c r="E206" s="14" t="s">
        <v>20</v>
      </c>
      <c r="F206" s="19">
        <v>49.43</v>
      </c>
      <c r="G206" s="20">
        <f>SUMPRODUCT(--((B206=$B$4:$B$717)*$F$4:$F$717&gt;F206))+1</f>
        <v>62</v>
      </c>
      <c r="H206" s="18" t="s">
        <v>13</v>
      </c>
    </row>
    <row r="207" s="3" customFormat="1" ht="12" spans="1:8">
      <c r="A207" s="18" t="str">
        <f>"202302424"</f>
        <v>202302424</v>
      </c>
      <c r="B207" s="18" t="str">
        <f t="shared" si="27"/>
        <v>008</v>
      </c>
      <c r="C207" s="18" t="str">
        <f t="shared" si="39"/>
        <v>24</v>
      </c>
      <c r="D207" s="14" t="s">
        <v>10</v>
      </c>
      <c r="E207" s="14" t="s">
        <v>20</v>
      </c>
      <c r="F207" s="19">
        <v>49.43</v>
      </c>
      <c r="G207" s="20">
        <f>SUMPRODUCT(--((B207=$B$4:$B$717)*$F$4:$F$717&gt;F207))+1</f>
        <v>62</v>
      </c>
      <c r="H207" s="18" t="s">
        <v>13</v>
      </c>
    </row>
    <row r="208" s="3" customFormat="1" ht="12" spans="1:8">
      <c r="A208" s="18" t="str">
        <f>"202302422"</f>
        <v>202302422</v>
      </c>
      <c r="B208" s="18" t="str">
        <f t="shared" si="27"/>
        <v>008</v>
      </c>
      <c r="C208" s="18" t="str">
        <f t="shared" si="39"/>
        <v>24</v>
      </c>
      <c r="D208" s="14" t="s">
        <v>10</v>
      </c>
      <c r="E208" s="14" t="s">
        <v>20</v>
      </c>
      <c r="F208" s="19">
        <v>49.29</v>
      </c>
      <c r="G208" s="20">
        <f>SUMPRODUCT(--((B208=$B$4:$B$717)*$F$4:$F$717&gt;F208))+1</f>
        <v>64</v>
      </c>
      <c r="H208" s="18" t="s">
        <v>13</v>
      </c>
    </row>
    <row r="209" s="3" customFormat="1" ht="12" spans="1:8">
      <c r="A209" s="18" t="str">
        <f>"202302107"</f>
        <v>202302107</v>
      </c>
      <c r="B209" s="18" t="str">
        <f t="shared" ref="B209:B272" si="41">"008"</f>
        <v>008</v>
      </c>
      <c r="C209" s="18" t="str">
        <f t="shared" si="40"/>
        <v>21</v>
      </c>
      <c r="D209" s="14" t="s">
        <v>10</v>
      </c>
      <c r="E209" s="14" t="s">
        <v>20</v>
      </c>
      <c r="F209" s="19">
        <v>48.94</v>
      </c>
      <c r="G209" s="20">
        <f>SUMPRODUCT(--((B209=$B$4:$B$717)*$F$4:$F$717&gt;F209))+1</f>
        <v>65</v>
      </c>
      <c r="H209" s="18" t="s">
        <v>13</v>
      </c>
    </row>
    <row r="210" s="3" customFormat="1" ht="12" spans="1:8">
      <c r="A210" s="18" t="str">
        <f>"202302112"</f>
        <v>202302112</v>
      </c>
      <c r="B210" s="18" t="str">
        <f t="shared" si="41"/>
        <v>008</v>
      </c>
      <c r="C210" s="18" t="str">
        <f t="shared" si="40"/>
        <v>21</v>
      </c>
      <c r="D210" s="14" t="s">
        <v>10</v>
      </c>
      <c r="E210" s="14" t="s">
        <v>20</v>
      </c>
      <c r="F210" s="19">
        <v>48.12</v>
      </c>
      <c r="G210" s="20">
        <f>SUMPRODUCT(--((B210=$B$4:$B$717)*$F$4:$F$717&gt;F210))+1</f>
        <v>66</v>
      </c>
      <c r="H210" s="18" t="s">
        <v>13</v>
      </c>
    </row>
    <row r="211" s="3" customFormat="1" ht="12" spans="1:8">
      <c r="A211" s="18" t="str">
        <f>"202302330"</f>
        <v>202302330</v>
      </c>
      <c r="B211" s="18" t="str">
        <f t="shared" si="41"/>
        <v>008</v>
      </c>
      <c r="C211" s="18" t="str">
        <f t="shared" ref="C211:C216" si="42">"23"</f>
        <v>23</v>
      </c>
      <c r="D211" s="14" t="s">
        <v>10</v>
      </c>
      <c r="E211" s="14" t="s">
        <v>20</v>
      </c>
      <c r="F211" s="19">
        <v>48.1</v>
      </c>
      <c r="G211" s="20">
        <f>SUMPRODUCT(--((B211=$B$4:$B$717)*$F$4:$F$717&gt;F211))+1</f>
        <v>67</v>
      </c>
      <c r="H211" s="18" t="s">
        <v>13</v>
      </c>
    </row>
    <row r="212" s="3" customFormat="1" ht="12" spans="1:8">
      <c r="A212" s="18" t="str">
        <f>"202302022"</f>
        <v>202302022</v>
      </c>
      <c r="B212" s="18" t="str">
        <f t="shared" si="41"/>
        <v>008</v>
      </c>
      <c r="C212" s="18" t="str">
        <f>"20"</f>
        <v>20</v>
      </c>
      <c r="D212" s="14" t="s">
        <v>10</v>
      </c>
      <c r="E212" s="14" t="s">
        <v>20</v>
      </c>
      <c r="F212" s="19">
        <v>47.37</v>
      </c>
      <c r="G212" s="20">
        <f>SUMPRODUCT(--((B212=$B$4:$B$717)*$F$4:$F$717&gt;F212))+1</f>
        <v>68</v>
      </c>
      <c r="H212" s="18" t="s">
        <v>13</v>
      </c>
    </row>
    <row r="213" s="3" customFormat="1" ht="12" spans="1:8">
      <c r="A213" s="18" t="str">
        <f>"202302030"</f>
        <v>202302030</v>
      </c>
      <c r="B213" s="18" t="str">
        <f t="shared" si="41"/>
        <v>008</v>
      </c>
      <c r="C213" s="18" t="str">
        <f>"20"</f>
        <v>20</v>
      </c>
      <c r="D213" s="14" t="s">
        <v>10</v>
      </c>
      <c r="E213" s="14" t="s">
        <v>20</v>
      </c>
      <c r="F213" s="19">
        <v>47.26</v>
      </c>
      <c r="G213" s="20">
        <f>SUMPRODUCT(--((B213=$B$4:$B$717)*$F$4:$F$717&gt;F213))+1</f>
        <v>69</v>
      </c>
      <c r="H213" s="18" t="s">
        <v>13</v>
      </c>
    </row>
    <row r="214" s="3" customFormat="1" ht="12" spans="1:8">
      <c r="A214" s="18" t="str">
        <f>"202302318"</f>
        <v>202302318</v>
      </c>
      <c r="B214" s="18" t="str">
        <f t="shared" si="41"/>
        <v>008</v>
      </c>
      <c r="C214" s="18" t="str">
        <f t="shared" si="42"/>
        <v>23</v>
      </c>
      <c r="D214" s="14" t="s">
        <v>10</v>
      </c>
      <c r="E214" s="14" t="s">
        <v>20</v>
      </c>
      <c r="F214" s="19">
        <v>47.24</v>
      </c>
      <c r="G214" s="20">
        <f>SUMPRODUCT(--((B214=$B$4:$B$717)*$F$4:$F$717&gt;F214))+1</f>
        <v>70</v>
      </c>
      <c r="H214" s="18" t="s">
        <v>13</v>
      </c>
    </row>
    <row r="215" s="3" customFormat="1" ht="12" spans="1:8">
      <c r="A215" s="18" t="str">
        <f>"202302211"</f>
        <v>202302211</v>
      </c>
      <c r="B215" s="18" t="str">
        <f t="shared" si="41"/>
        <v>008</v>
      </c>
      <c r="C215" s="18" t="str">
        <f>"22"</f>
        <v>22</v>
      </c>
      <c r="D215" s="14" t="s">
        <v>10</v>
      </c>
      <c r="E215" s="14" t="s">
        <v>20</v>
      </c>
      <c r="F215" s="19">
        <v>46.6</v>
      </c>
      <c r="G215" s="20">
        <f>SUMPRODUCT(--((B215=$B$4:$B$717)*$F$4:$F$717&gt;F215))+1</f>
        <v>71</v>
      </c>
      <c r="H215" s="18" t="s">
        <v>13</v>
      </c>
    </row>
    <row r="216" s="3" customFormat="1" ht="12" spans="1:8">
      <c r="A216" s="18" t="str">
        <f>"202302322"</f>
        <v>202302322</v>
      </c>
      <c r="B216" s="18" t="str">
        <f t="shared" si="41"/>
        <v>008</v>
      </c>
      <c r="C216" s="18" t="str">
        <f t="shared" si="42"/>
        <v>23</v>
      </c>
      <c r="D216" s="14" t="s">
        <v>10</v>
      </c>
      <c r="E216" s="14" t="s">
        <v>20</v>
      </c>
      <c r="F216" s="19">
        <v>46.58</v>
      </c>
      <c r="G216" s="20">
        <f>SUMPRODUCT(--((B216=$B$4:$B$717)*$F$4:$F$717&gt;F216))+1</f>
        <v>72</v>
      </c>
      <c r="H216" s="18" t="s">
        <v>13</v>
      </c>
    </row>
    <row r="217" s="3" customFormat="1" ht="12" spans="1:8">
      <c r="A217" s="18" t="str">
        <f>"202302119"</f>
        <v>202302119</v>
      </c>
      <c r="B217" s="18" t="str">
        <f t="shared" si="41"/>
        <v>008</v>
      </c>
      <c r="C217" s="18" t="str">
        <f t="shared" ref="C217:C221" si="43">"21"</f>
        <v>21</v>
      </c>
      <c r="D217" s="14" t="s">
        <v>10</v>
      </c>
      <c r="E217" s="14" t="s">
        <v>20</v>
      </c>
      <c r="F217" s="19">
        <v>46.49</v>
      </c>
      <c r="G217" s="20">
        <f>SUMPRODUCT(--((B217=$B$4:$B$717)*$F$4:$F$717&gt;F217))+1</f>
        <v>73</v>
      </c>
      <c r="H217" s="18" t="s">
        <v>13</v>
      </c>
    </row>
    <row r="218" s="3" customFormat="1" ht="12" spans="1:8">
      <c r="A218" s="18" t="str">
        <f>"202302413"</f>
        <v>202302413</v>
      </c>
      <c r="B218" s="18" t="str">
        <f t="shared" si="41"/>
        <v>008</v>
      </c>
      <c r="C218" s="18" t="str">
        <f t="shared" ref="C218:C222" si="44">"24"</f>
        <v>24</v>
      </c>
      <c r="D218" s="14" t="s">
        <v>10</v>
      </c>
      <c r="E218" s="14" t="s">
        <v>20</v>
      </c>
      <c r="F218" s="19">
        <v>45.99</v>
      </c>
      <c r="G218" s="20">
        <f>SUMPRODUCT(--((B218=$B$4:$B$717)*$F$4:$F$717&gt;F218))+1</f>
        <v>74</v>
      </c>
      <c r="H218" s="18" t="s">
        <v>13</v>
      </c>
    </row>
    <row r="219" s="3" customFormat="1" ht="12" spans="1:8">
      <c r="A219" s="18" t="str">
        <f>"202302403"</f>
        <v>202302403</v>
      </c>
      <c r="B219" s="18" t="str">
        <f t="shared" si="41"/>
        <v>008</v>
      </c>
      <c r="C219" s="18" t="str">
        <f t="shared" si="44"/>
        <v>24</v>
      </c>
      <c r="D219" s="14" t="s">
        <v>10</v>
      </c>
      <c r="E219" s="14" t="s">
        <v>20</v>
      </c>
      <c r="F219" s="19">
        <v>45.43</v>
      </c>
      <c r="G219" s="20">
        <f>SUMPRODUCT(--((B219=$B$4:$B$717)*$F$4:$F$717&gt;F219))+1</f>
        <v>75</v>
      </c>
      <c r="H219" s="18" t="s">
        <v>13</v>
      </c>
    </row>
    <row r="220" s="3" customFormat="1" ht="12" spans="1:8">
      <c r="A220" s="18" t="str">
        <f>"202302103"</f>
        <v>202302103</v>
      </c>
      <c r="B220" s="18" t="str">
        <f t="shared" si="41"/>
        <v>008</v>
      </c>
      <c r="C220" s="18" t="str">
        <f t="shared" si="43"/>
        <v>21</v>
      </c>
      <c r="D220" s="14" t="s">
        <v>10</v>
      </c>
      <c r="E220" s="14" t="s">
        <v>20</v>
      </c>
      <c r="F220" s="19">
        <v>45.4</v>
      </c>
      <c r="G220" s="20">
        <f>SUMPRODUCT(--((B220=$B$4:$B$717)*$F$4:$F$717&gt;F220))+1</f>
        <v>76</v>
      </c>
      <c r="H220" s="18" t="s">
        <v>13</v>
      </c>
    </row>
    <row r="221" s="3" customFormat="1" ht="12" spans="1:8">
      <c r="A221" s="18" t="str">
        <f>"202302101"</f>
        <v>202302101</v>
      </c>
      <c r="B221" s="18" t="str">
        <f t="shared" si="41"/>
        <v>008</v>
      </c>
      <c r="C221" s="18" t="str">
        <f t="shared" si="43"/>
        <v>21</v>
      </c>
      <c r="D221" s="14" t="s">
        <v>10</v>
      </c>
      <c r="E221" s="14" t="s">
        <v>20</v>
      </c>
      <c r="F221" s="19">
        <v>42</v>
      </c>
      <c r="G221" s="20">
        <f>SUMPRODUCT(--((B221=$B$4:$B$717)*$F$4:$F$717&gt;F221))+1</f>
        <v>77</v>
      </c>
      <c r="H221" s="18" t="s">
        <v>13</v>
      </c>
    </row>
    <row r="222" s="3" customFormat="1" ht="12" spans="1:8">
      <c r="A222" s="18" t="str">
        <f>"202302405"</f>
        <v>202302405</v>
      </c>
      <c r="B222" s="18" t="str">
        <f t="shared" si="41"/>
        <v>008</v>
      </c>
      <c r="C222" s="18" t="str">
        <f t="shared" si="44"/>
        <v>24</v>
      </c>
      <c r="D222" s="14" t="s">
        <v>10</v>
      </c>
      <c r="E222" s="14" t="s">
        <v>20</v>
      </c>
      <c r="F222" s="19">
        <v>41.68</v>
      </c>
      <c r="G222" s="20">
        <f>SUMPRODUCT(--((B222=$B$4:$B$717)*$F$4:$F$717&gt;F222))+1</f>
        <v>78</v>
      </c>
      <c r="H222" s="18" t="s">
        <v>13</v>
      </c>
    </row>
    <row r="223" s="3" customFormat="1" ht="12" spans="1:8">
      <c r="A223" s="18" t="str">
        <f>"202302220"</f>
        <v>202302220</v>
      </c>
      <c r="B223" s="18" t="str">
        <f t="shared" si="41"/>
        <v>008</v>
      </c>
      <c r="C223" s="18" t="str">
        <f>"22"</f>
        <v>22</v>
      </c>
      <c r="D223" s="14" t="s">
        <v>10</v>
      </c>
      <c r="E223" s="14" t="s">
        <v>20</v>
      </c>
      <c r="F223" s="19">
        <v>40.44</v>
      </c>
      <c r="G223" s="20">
        <f>SUMPRODUCT(--((B223=$B$4:$B$717)*$F$4:$F$717&gt;F223))+1</f>
        <v>79</v>
      </c>
      <c r="H223" s="18" t="s">
        <v>13</v>
      </c>
    </row>
    <row r="224" s="3" customFormat="1" ht="12" spans="1:8">
      <c r="A224" s="18" t="str">
        <f>"202302423"</f>
        <v>202302423</v>
      </c>
      <c r="B224" s="18" t="str">
        <f t="shared" si="41"/>
        <v>008</v>
      </c>
      <c r="C224" s="18" t="str">
        <f>"24"</f>
        <v>24</v>
      </c>
      <c r="D224" s="14" t="s">
        <v>10</v>
      </c>
      <c r="E224" s="14" t="s">
        <v>20</v>
      </c>
      <c r="F224" s="19">
        <v>39.77</v>
      </c>
      <c r="G224" s="20">
        <f>SUMPRODUCT(--((B224=$B$4:$B$717)*$F$4:$F$717&gt;F224))+1</f>
        <v>80</v>
      </c>
      <c r="H224" s="18" t="s">
        <v>13</v>
      </c>
    </row>
    <row r="225" s="3" customFormat="1" ht="12" spans="1:8">
      <c r="A225" s="18" t="str">
        <f>"202302126"</f>
        <v>202302126</v>
      </c>
      <c r="B225" s="18" t="str">
        <f t="shared" si="41"/>
        <v>008</v>
      </c>
      <c r="C225" s="18" t="str">
        <f>"21"</f>
        <v>21</v>
      </c>
      <c r="D225" s="14" t="s">
        <v>10</v>
      </c>
      <c r="E225" s="14" t="s">
        <v>20</v>
      </c>
      <c r="F225" s="19">
        <v>37.26</v>
      </c>
      <c r="G225" s="20">
        <f>SUMPRODUCT(--((B225=$B$4:$B$717)*$F$4:$F$717&gt;F225))+1</f>
        <v>81</v>
      </c>
      <c r="H225" s="18" t="s">
        <v>13</v>
      </c>
    </row>
    <row r="226" s="3" customFormat="1" ht="12" spans="1:8">
      <c r="A226" s="18" t="str">
        <f>"202302402"</f>
        <v>202302402</v>
      </c>
      <c r="B226" s="18" t="str">
        <f t="shared" si="41"/>
        <v>008</v>
      </c>
      <c r="C226" s="18" t="str">
        <f>"24"</f>
        <v>24</v>
      </c>
      <c r="D226" s="14" t="s">
        <v>10</v>
      </c>
      <c r="E226" s="14" t="s">
        <v>20</v>
      </c>
      <c r="F226" s="19">
        <v>35.51</v>
      </c>
      <c r="G226" s="20">
        <f>SUMPRODUCT(--((B226=$B$4:$B$717)*$F$4:$F$717&gt;F226))+1</f>
        <v>82</v>
      </c>
      <c r="H226" s="18" t="s">
        <v>13</v>
      </c>
    </row>
    <row r="227" s="3" customFormat="1" ht="12" spans="1:8">
      <c r="A227" s="18" t="str">
        <f>"202302023"</f>
        <v>202302023</v>
      </c>
      <c r="B227" s="18" t="str">
        <f t="shared" si="41"/>
        <v>008</v>
      </c>
      <c r="C227" s="18" t="str">
        <f t="shared" ref="C227:C236" si="45">"20"</f>
        <v>20</v>
      </c>
      <c r="D227" s="14" t="s">
        <v>10</v>
      </c>
      <c r="E227" s="14" t="s">
        <v>20</v>
      </c>
      <c r="F227" s="19">
        <v>28.02</v>
      </c>
      <c r="G227" s="20">
        <f>SUMPRODUCT(--((B227=$B$4:$B$717)*$F$4:$F$717&gt;F227))+1</f>
        <v>83</v>
      </c>
      <c r="H227" s="18" t="s">
        <v>13</v>
      </c>
    </row>
    <row r="228" s="3" customFormat="1" ht="12" spans="1:8">
      <c r="A228" s="18" t="str">
        <f>"202302013"</f>
        <v>202302013</v>
      </c>
      <c r="B228" s="18" t="str">
        <f t="shared" si="41"/>
        <v>008</v>
      </c>
      <c r="C228" s="18" t="str">
        <f t="shared" si="45"/>
        <v>20</v>
      </c>
      <c r="D228" s="14" t="s">
        <v>10</v>
      </c>
      <c r="E228" s="14" t="s">
        <v>20</v>
      </c>
      <c r="F228" s="19">
        <v>0</v>
      </c>
      <c r="G228" s="20">
        <f>SUMPRODUCT(--((B228=$B$4:$B$717)*$F$4:$F$717&gt;F228))+1</f>
        <v>84</v>
      </c>
      <c r="H228" s="18" t="s">
        <v>13</v>
      </c>
    </row>
    <row r="229" s="3" customFormat="1" ht="12" spans="1:8">
      <c r="A229" s="18" t="str">
        <f>"202302014"</f>
        <v>202302014</v>
      </c>
      <c r="B229" s="18" t="str">
        <f t="shared" si="41"/>
        <v>008</v>
      </c>
      <c r="C229" s="18" t="str">
        <f t="shared" si="45"/>
        <v>20</v>
      </c>
      <c r="D229" s="14" t="s">
        <v>10</v>
      </c>
      <c r="E229" s="14" t="s">
        <v>20</v>
      </c>
      <c r="F229" s="19">
        <v>0</v>
      </c>
      <c r="G229" s="20">
        <f>SUMPRODUCT(--((B229=$B$4:$B$717)*$F$4:$F$717&gt;F229))+1</f>
        <v>84</v>
      </c>
      <c r="H229" s="18" t="s">
        <v>13</v>
      </c>
    </row>
    <row r="230" s="3" customFormat="1" ht="12" spans="1:8">
      <c r="A230" s="18" t="str">
        <f>"202302017"</f>
        <v>202302017</v>
      </c>
      <c r="B230" s="18" t="str">
        <f t="shared" si="41"/>
        <v>008</v>
      </c>
      <c r="C230" s="18" t="str">
        <f t="shared" si="45"/>
        <v>20</v>
      </c>
      <c r="D230" s="14" t="s">
        <v>10</v>
      </c>
      <c r="E230" s="14" t="s">
        <v>20</v>
      </c>
      <c r="F230" s="19">
        <v>0</v>
      </c>
      <c r="G230" s="20">
        <f>SUMPRODUCT(--((B230=$B$4:$B$717)*$F$4:$F$717&gt;F230))+1</f>
        <v>84</v>
      </c>
      <c r="H230" s="18" t="s">
        <v>13</v>
      </c>
    </row>
    <row r="231" s="3" customFormat="1" ht="12" spans="1:8">
      <c r="A231" s="18" t="str">
        <f>"202302018"</f>
        <v>202302018</v>
      </c>
      <c r="B231" s="18" t="str">
        <f t="shared" si="41"/>
        <v>008</v>
      </c>
      <c r="C231" s="18" t="str">
        <f t="shared" si="45"/>
        <v>20</v>
      </c>
      <c r="D231" s="14" t="s">
        <v>10</v>
      </c>
      <c r="E231" s="14" t="s">
        <v>20</v>
      </c>
      <c r="F231" s="19">
        <v>0</v>
      </c>
      <c r="G231" s="20">
        <f>SUMPRODUCT(--((B231=$B$4:$B$717)*$F$4:$F$717&gt;F231))+1</f>
        <v>84</v>
      </c>
      <c r="H231" s="18" t="s">
        <v>13</v>
      </c>
    </row>
    <row r="232" s="3" customFormat="1" ht="12" spans="1:8">
      <c r="A232" s="18" t="str">
        <f>"202302019"</f>
        <v>202302019</v>
      </c>
      <c r="B232" s="18" t="str">
        <f t="shared" si="41"/>
        <v>008</v>
      </c>
      <c r="C232" s="18" t="str">
        <f t="shared" si="45"/>
        <v>20</v>
      </c>
      <c r="D232" s="14" t="s">
        <v>10</v>
      </c>
      <c r="E232" s="14" t="s">
        <v>20</v>
      </c>
      <c r="F232" s="19">
        <v>0</v>
      </c>
      <c r="G232" s="20">
        <f>SUMPRODUCT(--((B232=$B$4:$B$717)*$F$4:$F$717&gt;F232))+1</f>
        <v>84</v>
      </c>
      <c r="H232" s="18" t="s">
        <v>13</v>
      </c>
    </row>
    <row r="233" s="3" customFormat="1" ht="12" spans="1:8">
      <c r="A233" s="18" t="str">
        <f>"202302020"</f>
        <v>202302020</v>
      </c>
      <c r="B233" s="18" t="str">
        <f t="shared" si="41"/>
        <v>008</v>
      </c>
      <c r="C233" s="18" t="str">
        <f t="shared" si="45"/>
        <v>20</v>
      </c>
      <c r="D233" s="14" t="s">
        <v>10</v>
      </c>
      <c r="E233" s="14" t="s">
        <v>20</v>
      </c>
      <c r="F233" s="19">
        <v>0</v>
      </c>
      <c r="G233" s="20">
        <f>SUMPRODUCT(--((B233=$B$4:$B$717)*$F$4:$F$717&gt;F233))+1</f>
        <v>84</v>
      </c>
      <c r="H233" s="18" t="s">
        <v>13</v>
      </c>
    </row>
    <row r="234" s="3" customFormat="1" ht="12" spans="1:8">
      <c r="A234" s="18" t="str">
        <f>"202302025"</f>
        <v>202302025</v>
      </c>
      <c r="B234" s="18" t="str">
        <f t="shared" si="41"/>
        <v>008</v>
      </c>
      <c r="C234" s="18" t="str">
        <f t="shared" si="45"/>
        <v>20</v>
      </c>
      <c r="D234" s="14" t="s">
        <v>10</v>
      </c>
      <c r="E234" s="14" t="s">
        <v>20</v>
      </c>
      <c r="F234" s="19">
        <v>0</v>
      </c>
      <c r="G234" s="20">
        <f>SUMPRODUCT(--((B234=$B$4:$B$717)*$F$4:$F$717&gt;F234))+1</f>
        <v>84</v>
      </c>
      <c r="H234" s="18" t="s">
        <v>13</v>
      </c>
    </row>
    <row r="235" s="3" customFormat="1" ht="12" spans="1:8">
      <c r="A235" s="18" t="str">
        <f>"202302027"</f>
        <v>202302027</v>
      </c>
      <c r="B235" s="18" t="str">
        <f t="shared" si="41"/>
        <v>008</v>
      </c>
      <c r="C235" s="18" t="str">
        <f t="shared" si="45"/>
        <v>20</v>
      </c>
      <c r="D235" s="14" t="s">
        <v>10</v>
      </c>
      <c r="E235" s="14" t="s">
        <v>20</v>
      </c>
      <c r="F235" s="19">
        <v>0</v>
      </c>
      <c r="G235" s="20">
        <f>SUMPRODUCT(--((B235=$B$4:$B$717)*$F$4:$F$717&gt;F235))+1</f>
        <v>84</v>
      </c>
      <c r="H235" s="18" t="s">
        <v>13</v>
      </c>
    </row>
    <row r="236" s="3" customFormat="1" ht="12" spans="1:8">
      <c r="A236" s="18" t="str">
        <f>"202302028"</f>
        <v>202302028</v>
      </c>
      <c r="B236" s="18" t="str">
        <f t="shared" si="41"/>
        <v>008</v>
      </c>
      <c r="C236" s="18" t="str">
        <f t="shared" si="45"/>
        <v>20</v>
      </c>
      <c r="D236" s="14" t="s">
        <v>10</v>
      </c>
      <c r="E236" s="14" t="s">
        <v>20</v>
      </c>
      <c r="F236" s="19">
        <v>0</v>
      </c>
      <c r="G236" s="20">
        <f>SUMPRODUCT(--((B236=$B$4:$B$717)*$F$4:$F$717&gt;F236))+1</f>
        <v>84</v>
      </c>
      <c r="H236" s="18" t="s">
        <v>13</v>
      </c>
    </row>
    <row r="237" s="3" customFormat="1" ht="12" spans="1:8">
      <c r="A237" s="18" t="str">
        <f>"202302102"</f>
        <v>202302102</v>
      </c>
      <c r="B237" s="18" t="str">
        <f t="shared" si="41"/>
        <v>008</v>
      </c>
      <c r="C237" s="18" t="str">
        <f t="shared" ref="C237:C244" si="46">"21"</f>
        <v>21</v>
      </c>
      <c r="D237" s="14" t="s">
        <v>10</v>
      </c>
      <c r="E237" s="14" t="s">
        <v>20</v>
      </c>
      <c r="F237" s="19">
        <v>0</v>
      </c>
      <c r="G237" s="20">
        <f>SUMPRODUCT(--((B237=$B$4:$B$717)*$F$4:$F$717&gt;F237))+1</f>
        <v>84</v>
      </c>
      <c r="H237" s="18" t="s">
        <v>13</v>
      </c>
    </row>
    <row r="238" s="3" customFormat="1" ht="12" spans="1:8">
      <c r="A238" s="18" t="str">
        <f>"202302104"</f>
        <v>202302104</v>
      </c>
      <c r="B238" s="18" t="str">
        <f t="shared" si="41"/>
        <v>008</v>
      </c>
      <c r="C238" s="18" t="str">
        <f t="shared" si="46"/>
        <v>21</v>
      </c>
      <c r="D238" s="14" t="s">
        <v>10</v>
      </c>
      <c r="E238" s="14" t="s">
        <v>20</v>
      </c>
      <c r="F238" s="19">
        <v>0</v>
      </c>
      <c r="G238" s="20">
        <f>SUMPRODUCT(--((B238=$B$4:$B$717)*$F$4:$F$717&gt;F238))+1</f>
        <v>84</v>
      </c>
      <c r="H238" s="18" t="s">
        <v>13</v>
      </c>
    </row>
    <row r="239" s="3" customFormat="1" ht="12" spans="1:8">
      <c r="A239" s="18" t="str">
        <f>"202302105"</f>
        <v>202302105</v>
      </c>
      <c r="B239" s="18" t="str">
        <f t="shared" si="41"/>
        <v>008</v>
      </c>
      <c r="C239" s="18" t="str">
        <f t="shared" si="46"/>
        <v>21</v>
      </c>
      <c r="D239" s="14" t="s">
        <v>10</v>
      </c>
      <c r="E239" s="14" t="s">
        <v>20</v>
      </c>
      <c r="F239" s="19">
        <v>0</v>
      </c>
      <c r="G239" s="20">
        <f>SUMPRODUCT(--((B239=$B$4:$B$717)*$F$4:$F$717&gt;F239))+1</f>
        <v>84</v>
      </c>
      <c r="H239" s="18" t="s">
        <v>13</v>
      </c>
    </row>
    <row r="240" s="3" customFormat="1" ht="12" spans="1:8">
      <c r="A240" s="18" t="str">
        <f>"202302110"</f>
        <v>202302110</v>
      </c>
      <c r="B240" s="18" t="str">
        <f t="shared" si="41"/>
        <v>008</v>
      </c>
      <c r="C240" s="18" t="str">
        <f t="shared" si="46"/>
        <v>21</v>
      </c>
      <c r="D240" s="14" t="s">
        <v>10</v>
      </c>
      <c r="E240" s="14" t="s">
        <v>20</v>
      </c>
      <c r="F240" s="19">
        <v>0</v>
      </c>
      <c r="G240" s="20">
        <f>SUMPRODUCT(--((B240=$B$4:$B$717)*$F$4:$F$717&gt;F240))+1</f>
        <v>84</v>
      </c>
      <c r="H240" s="18" t="s">
        <v>13</v>
      </c>
    </row>
    <row r="241" s="3" customFormat="1" ht="12" spans="1:8">
      <c r="A241" s="18" t="str">
        <f>"202302117"</f>
        <v>202302117</v>
      </c>
      <c r="B241" s="18" t="str">
        <f t="shared" si="41"/>
        <v>008</v>
      </c>
      <c r="C241" s="18" t="str">
        <f t="shared" si="46"/>
        <v>21</v>
      </c>
      <c r="D241" s="14" t="s">
        <v>10</v>
      </c>
      <c r="E241" s="14" t="s">
        <v>20</v>
      </c>
      <c r="F241" s="19">
        <v>0</v>
      </c>
      <c r="G241" s="20">
        <f>SUMPRODUCT(--((B241=$B$4:$B$717)*$F$4:$F$717&gt;F241))+1</f>
        <v>84</v>
      </c>
      <c r="H241" s="18" t="s">
        <v>13</v>
      </c>
    </row>
    <row r="242" s="3" customFormat="1" ht="12" spans="1:8">
      <c r="A242" s="18" t="str">
        <f>"202302118"</f>
        <v>202302118</v>
      </c>
      <c r="B242" s="18" t="str">
        <f t="shared" si="41"/>
        <v>008</v>
      </c>
      <c r="C242" s="18" t="str">
        <f t="shared" si="46"/>
        <v>21</v>
      </c>
      <c r="D242" s="14" t="s">
        <v>10</v>
      </c>
      <c r="E242" s="14" t="s">
        <v>20</v>
      </c>
      <c r="F242" s="19">
        <v>0</v>
      </c>
      <c r="G242" s="20">
        <f>SUMPRODUCT(--((B242=$B$4:$B$717)*$F$4:$F$717&gt;F242))+1</f>
        <v>84</v>
      </c>
      <c r="H242" s="18" t="s">
        <v>13</v>
      </c>
    </row>
    <row r="243" s="3" customFormat="1" ht="12" spans="1:8">
      <c r="A243" s="18" t="str">
        <f>"202302122"</f>
        <v>202302122</v>
      </c>
      <c r="B243" s="18" t="str">
        <f t="shared" si="41"/>
        <v>008</v>
      </c>
      <c r="C243" s="18" t="str">
        <f t="shared" si="46"/>
        <v>21</v>
      </c>
      <c r="D243" s="14" t="s">
        <v>10</v>
      </c>
      <c r="E243" s="14" t="s">
        <v>20</v>
      </c>
      <c r="F243" s="19">
        <v>0</v>
      </c>
      <c r="G243" s="20">
        <f>SUMPRODUCT(--((B243=$B$4:$B$717)*$F$4:$F$717&gt;F243))+1</f>
        <v>84</v>
      </c>
      <c r="H243" s="18" t="s">
        <v>13</v>
      </c>
    </row>
    <row r="244" s="3" customFormat="1" ht="12" spans="1:8">
      <c r="A244" s="18" t="str">
        <f>"202302123"</f>
        <v>202302123</v>
      </c>
      <c r="B244" s="18" t="str">
        <f t="shared" si="41"/>
        <v>008</v>
      </c>
      <c r="C244" s="18" t="str">
        <f t="shared" si="46"/>
        <v>21</v>
      </c>
      <c r="D244" s="14" t="s">
        <v>10</v>
      </c>
      <c r="E244" s="14" t="s">
        <v>20</v>
      </c>
      <c r="F244" s="19">
        <v>0</v>
      </c>
      <c r="G244" s="20">
        <f>SUMPRODUCT(--((B244=$B$4:$B$717)*$F$4:$F$717&gt;F244))+1</f>
        <v>84</v>
      </c>
      <c r="H244" s="18" t="s">
        <v>13</v>
      </c>
    </row>
    <row r="245" s="3" customFormat="1" ht="12" spans="1:8">
      <c r="A245" s="18" t="str">
        <f>"202302202"</f>
        <v>202302202</v>
      </c>
      <c r="B245" s="18" t="str">
        <f t="shared" si="41"/>
        <v>008</v>
      </c>
      <c r="C245" s="18" t="str">
        <f t="shared" ref="C245:C258" si="47">"22"</f>
        <v>22</v>
      </c>
      <c r="D245" s="14" t="s">
        <v>10</v>
      </c>
      <c r="E245" s="14" t="s">
        <v>20</v>
      </c>
      <c r="F245" s="19">
        <v>0</v>
      </c>
      <c r="G245" s="20">
        <f>SUMPRODUCT(--((B245=$B$4:$B$717)*$F$4:$F$717&gt;F245))+1</f>
        <v>84</v>
      </c>
      <c r="H245" s="18" t="s">
        <v>13</v>
      </c>
    </row>
    <row r="246" s="3" customFormat="1" ht="12" spans="1:8">
      <c r="A246" s="18" t="str">
        <f>"202302203"</f>
        <v>202302203</v>
      </c>
      <c r="B246" s="18" t="str">
        <f t="shared" si="41"/>
        <v>008</v>
      </c>
      <c r="C246" s="18" t="str">
        <f t="shared" si="47"/>
        <v>22</v>
      </c>
      <c r="D246" s="14" t="s">
        <v>10</v>
      </c>
      <c r="E246" s="14" t="s">
        <v>20</v>
      </c>
      <c r="F246" s="19">
        <v>0</v>
      </c>
      <c r="G246" s="20">
        <f>SUMPRODUCT(--((B246=$B$4:$B$717)*$F$4:$F$717&gt;F246))+1</f>
        <v>84</v>
      </c>
      <c r="H246" s="18" t="s">
        <v>13</v>
      </c>
    </row>
    <row r="247" s="3" customFormat="1" ht="12" spans="1:8">
      <c r="A247" s="18" t="str">
        <f>"202302204"</f>
        <v>202302204</v>
      </c>
      <c r="B247" s="18" t="str">
        <f t="shared" si="41"/>
        <v>008</v>
      </c>
      <c r="C247" s="18" t="str">
        <f t="shared" si="47"/>
        <v>22</v>
      </c>
      <c r="D247" s="14" t="s">
        <v>10</v>
      </c>
      <c r="E247" s="14" t="s">
        <v>20</v>
      </c>
      <c r="F247" s="19">
        <v>0</v>
      </c>
      <c r="G247" s="20">
        <f>SUMPRODUCT(--((B247=$B$4:$B$717)*$F$4:$F$717&gt;F247))+1</f>
        <v>84</v>
      </c>
      <c r="H247" s="18" t="s">
        <v>13</v>
      </c>
    </row>
    <row r="248" s="3" customFormat="1" ht="12" spans="1:8">
      <c r="A248" s="18" t="str">
        <f>"202302205"</f>
        <v>202302205</v>
      </c>
      <c r="B248" s="18" t="str">
        <f t="shared" si="41"/>
        <v>008</v>
      </c>
      <c r="C248" s="18" t="str">
        <f t="shared" si="47"/>
        <v>22</v>
      </c>
      <c r="D248" s="14" t="s">
        <v>10</v>
      </c>
      <c r="E248" s="14" t="s">
        <v>20</v>
      </c>
      <c r="F248" s="19">
        <v>0</v>
      </c>
      <c r="G248" s="20">
        <f>SUMPRODUCT(--((B248=$B$4:$B$717)*$F$4:$F$717&gt;F248))+1</f>
        <v>84</v>
      </c>
      <c r="H248" s="18" t="s">
        <v>13</v>
      </c>
    </row>
    <row r="249" s="3" customFormat="1" ht="12" spans="1:8">
      <c r="A249" s="18" t="str">
        <f>"202302208"</f>
        <v>202302208</v>
      </c>
      <c r="B249" s="18" t="str">
        <f t="shared" si="41"/>
        <v>008</v>
      </c>
      <c r="C249" s="18" t="str">
        <f t="shared" si="47"/>
        <v>22</v>
      </c>
      <c r="D249" s="14" t="s">
        <v>10</v>
      </c>
      <c r="E249" s="14" t="s">
        <v>20</v>
      </c>
      <c r="F249" s="19">
        <v>0</v>
      </c>
      <c r="G249" s="20">
        <f>SUMPRODUCT(--((B249=$B$4:$B$717)*$F$4:$F$717&gt;F249))+1</f>
        <v>84</v>
      </c>
      <c r="H249" s="18" t="s">
        <v>13</v>
      </c>
    </row>
    <row r="250" s="3" customFormat="1" ht="12" spans="1:8">
      <c r="A250" s="18" t="str">
        <f>"202302210"</f>
        <v>202302210</v>
      </c>
      <c r="B250" s="18" t="str">
        <f t="shared" si="41"/>
        <v>008</v>
      </c>
      <c r="C250" s="18" t="str">
        <f t="shared" si="47"/>
        <v>22</v>
      </c>
      <c r="D250" s="14" t="s">
        <v>10</v>
      </c>
      <c r="E250" s="14" t="s">
        <v>20</v>
      </c>
      <c r="F250" s="19">
        <v>0</v>
      </c>
      <c r="G250" s="20">
        <f>SUMPRODUCT(--((B250=$B$4:$B$717)*$F$4:$F$717&gt;F250))+1</f>
        <v>84</v>
      </c>
      <c r="H250" s="18" t="s">
        <v>13</v>
      </c>
    </row>
    <row r="251" s="3" customFormat="1" ht="12" spans="1:8">
      <c r="A251" s="18" t="str">
        <f>"202302212"</f>
        <v>202302212</v>
      </c>
      <c r="B251" s="18" t="str">
        <f t="shared" si="41"/>
        <v>008</v>
      </c>
      <c r="C251" s="18" t="str">
        <f t="shared" si="47"/>
        <v>22</v>
      </c>
      <c r="D251" s="14" t="s">
        <v>10</v>
      </c>
      <c r="E251" s="14" t="s">
        <v>20</v>
      </c>
      <c r="F251" s="19">
        <v>0</v>
      </c>
      <c r="G251" s="20">
        <f>SUMPRODUCT(--((B251=$B$4:$B$717)*$F$4:$F$717&gt;F251))+1</f>
        <v>84</v>
      </c>
      <c r="H251" s="18" t="s">
        <v>13</v>
      </c>
    </row>
    <row r="252" s="3" customFormat="1" ht="12" spans="1:8">
      <c r="A252" s="18" t="str">
        <f>"202302213"</f>
        <v>202302213</v>
      </c>
      <c r="B252" s="18" t="str">
        <f t="shared" si="41"/>
        <v>008</v>
      </c>
      <c r="C252" s="18" t="str">
        <f t="shared" si="47"/>
        <v>22</v>
      </c>
      <c r="D252" s="14" t="s">
        <v>10</v>
      </c>
      <c r="E252" s="14" t="s">
        <v>20</v>
      </c>
      <c r="F252" s="19">
        <v>0</v>
      </c>
      <c r="G252" s="20">
        <f>SUMPRODUCT(--((B252=$B$4:$B$717)*$F$4:$F$717&gt;F252))+1</f>
        <v>84</v>
      </c>
      <c r="H252" s="18" t="s">
        <v>13</v>
      </c>
    </row>
    <row r="253" s="3" customFormat="1" ht="12" spans="1:8">
      <c r="A253" s="18" t="str">
        <f>"202302216"</f>
        <v>202302216</v>
      </c>
      <c r="B253" s="18" t="str">
        <f t="shared" si="41"/>
        <v>008</v>
      </c>
      <c r="C253" s="18" t="str">
        <f t="shared" si="47"/>
        <v>22</v>
      </c>
      <c r="D253" s="14" t="s">
        <v>10</v>
      </c>
      <c r="E253" s="14" t="s">
        <v>20</v>
      </c>
      <c r="F253" s="19">
        <v>0</v>
      </c>
      <c r="G253" s="20">
        <f>SUMPRODUCT(--((B253=$B$4:$B$717)*$F$4:$F$717&gt;F253))+1</f>
        <v>84</v>
      </c>
      <c r="H253" s="18" t="s">
        <v>13</v>
      </c>
    </row>
    <row r="254" s="3" customFormat="1" ht="12" spans="1:8">
      <c r="A254" s="18" t="str">
        <f>"202302217"</f>
        <v>202302217</v>
      </c>
      <c r="B254" s="18" t="str">
        <f t="shared" si="41"/>
        <v>008</v>
      </c>
      <c r="C254" s="18" t="str">
        <f t="shared" si="47"/>
        <v>22</v>
      </c>
      <c r="D254" s="14" t="s">
        <v>10</v>
      </c>
      <c r="E254" s="14" t="s">
        <v>20</v>
      </c>
      <c r="F254" s="19">
        <v>0</v>
      </c>
      <c r="G254" s="20">
        <f>SUMPRODUCT(--((B254=$B$4:$B$717)*$F$4:$F$717&gt;F254))+1</f>
        <v>84</v>
      </c>
      <c r="H254" s="18" t="s">
        <v>13</v>
      </c>
    </row>
    <row r="255" s="3" customFormat="1" ht="12" spans="1:8">
      <c r="A255" s="18" t="str">
        <f>"202302219"</f>
        <v>202302219</v>
      </c>
      <c r="B255" s="18" t="str">
        <f t="shared" si="41"/>
        <v>008</v>
      </c>
      <c r="C255" s="18" t="str">
        <f t="shared" si="47"/>
        <v>22</v>
      </c>
      <c r="D255" s="14" t="s">
        <v>10</v>
      </c>
      <c r="E255" s="14" t="s">
        <v>20</v>
      </c>
      <c r="F255" s="19">
        <v>0</v>
      </c>
      <c r="G255" s="20">
        <f>SUMPRODUCT(--((B255=$B$4:$B$717)*$F$4:$F$717&gt;F255))+1</f>
        <v>84</v>
      </c>
      <c r="H255" s="18" t="s">
        <v>13</v>
      </c>
    </row>
    <row r="256" s="3" customFormat="1" ht="12" spans="1:8">
      <c r="A256" s="18" t="str">
        <f>"202302228"</f>
        <v>202302228</v>
      </c>
      <c r="B256" s="18" t="str">
        <f t="shared" si="41"/>
        <v>008</v>
      </c>
      <c r="C256" s="18" t="str">
        <f t="shared" si="47"/>
        <v>22</v>
      </c>
      <c r="D256" s="14" t="s">
        <v>10</v>
      </c>
      <c r="E256" s="14" t="s">
        <v>20</v>
      </c>
      <c r="F256" s="19">
        <v>0</v>
      </c>
      <c r="G256" s="20">
        <f>SUMPRODUCT(--((B256=$B$4:$B$717)*$F$4:$F$717&gt;F256))+1</f>
        <v>84</v>
      </c>
      <c r="H256" s="18" t="s">
        <v>13</v>
      </c>
    </row>
    <row r="257" s="3" customFormat="1" ht="12" spans="1:8">
      <c r="A257" s="18" t="str">
        <f>"202302229"</f>
        <v>202302229</v>
      </c>
      <c r="B257" s="18" t="str">
        <f t="shared" si="41"/>
        <v>008</v>
      </c>
      <c r="C257" s="18" t="str">
        <f t="shared" si="47"/>
        <v>22</v>
      </c>
      <c r="D257" s="14" t="s">
        <v>10</v>
      </c>
      <c r="E257" s="14" t="s">
        <v>20</v>
      </c>
      <c r="F257" s="19">
        <v>0</v>
      </c>
      <c r="G257" s="20">
        <f>SUMPRODUCT(--((B257=$B$4:$B$717)*$F$4:$F$717&gt;F257))+1</f>
        <v>84</v>
      </c>
      <c r="H257" s="18" t="s">
        <v>13</v>
      </c>
    </row>
    <row r="258" s="3" customFormat="1" ht="12" spans="1:8">
      <c r="A258" s="18" t="str">
        <f>"202302230"</f>
        <v>202302230</v>
      </c>
      <c r="B258" s="18" t="str">
        <f t="shared" si="41"/>
        <v>008</v>
      </c>
      <c r="C258" s="18" t="str">
        <f t="shared" si="47"/>
        <v>22</v>
      </c>
      <c r="D258" s="14" t="s">
        <v>10</v>
      </c>
      <c r="E258" s="14" t="s">
        <v>20</v>
      </c>
      <c r="F258" s="19">
        <v>0</v>
      </c>
      <c r="G258" s="20">
        <f>SUMPRODUCT(--((B258=$B$4:$B$717)*$F$4:$F$717&gt;F258))+1</f>
        <v>84</v>
      </c>
      <c r="H258" s="18" t="s">
        <v>13</v>
      </c>
    </row>
    <row r="259" s="3" customFormat="1" ht="12" spans="1:8">
      <c r="A259" s="18" t="str">
        <f>"202302304"</f>
        <v>202302304</v>
      </c>
      <c r="B259" s="18" t="str">
        <f t="shared" si="41"/>
        <v>008</v>
      </c>
      <c r="C259" s="18" t="str">
        <f t="shared" ref="C259:C268" si="48">"23"</f>
        <v>23</v>
      </c>
      <c r="D259" s="14" t="s">
        <v>10</v>
      </c>
      <c r="E259" s="14" t="s">
        <v>20</v>
      </c>
      <c r="F259" s="19">
        <v>0</v>
      </c>
      <c r="G259" s="20">
        <f>SUMPRODUCT(--((B259=$B$4:$B$717)*$F$4:$F$717&gt;F259))+1</f>
        <v>84</v>
      </c>
      <c r="H259" s="18" t="s">
        <v>13</v>
      </c>
    </row>
    <row r="260" s="3" customFormat="1" ht="12" spans="1:8">
      <c r="A260" s="18" t="str">
        <f>"202302308"</f>
        <v>202302308</v>
      </c>
      <c r="B260" s="18" t="str">
        <f t="shared" si="41"/>
        <v>008</v>
      </c>
      <c r="C260" s="18" t="str">
        <f t="shared" si="48"/>
        <v>23</v>
      </c>
      <c r="D260" s="14" t="s">
        <v>10</v>
      </c>
      <c r="E260" s="14" t="s">
        <v>20</v>
      </c>
      <c r="F260" s="19">
        <v>0</v>
      </c>
      <c r="G260" s="20">
        <f>SUMPRODUCT(--((B260=$B$4:$B$717)*$F$4:$F$717&gt;F260))+1</f>
        <v>84</v>
      </c>
      <c r="H260" s="18" t="s">
        <v>13</v>
      </c>
    </row>
    <row r="261" s="3" customFormat="1" ht="12" spans="1:8">
      <c r="A261" s="18" t="str">
        <f>"202302310"</f>
        <v>202302310</v>
      </c>
      <c r="B261" s="18" t="str">
        <f t="shared" si="41"/>
        <v>008</v>
      </c>
      <c r="C261" s="18" t="str">
        <f t="shared" si="48"/>
        <v>23</v>
      </c>
      <c r="D261" s="14" t="s">
        <v>10</v>
      </c>
      <c r="E261" s="14" t="s">
        <v>20</v>
      </c>
      <c r="F261" s="19">
        <v>0</v>
      </c>
      <c r="G261" s="20">
        <f>SUMPRODUCT(--((B261=$B$4:$B$717)*$F$4:$F$717&gt;F261))+1</f>
        <v>84</v>
      </c>
      <c r="H261" s="18" t="s">
        <v>13</v>
      </c>
    </row>
    <row r="262" s="3" customFormat="1" ht="12" spans="1:8">
      <c r="A262" s="18" t="str">
        <f>"202302311"</f>
        <v>202302311</v>
      </c>
      <c r="B262" s="18" t="str">
        <f t="shared" si="41"/>
        <v>008</v>
      </c>
      <c r="C262" s="18" t="str">
        <f t="shared" si="48"/>
        <v>23</v>
      </c>
      <c r="D262" s="14" t="s">
        <v>10</v>
      </c>
      <c r="E262" s="14" t="s">
        <v>20</v>
      </c>
      <c r="F262" s="19">
        <v>0</v>
      </c>
      <c r="G262" s="20">
        <f>SUMPRODUCT(--((B262=$B$4:$B$717)*$F$4:$F$717&gt;F262))+1</f>
        <v>84</v>
      </c>
      <c r="H262" s="18" t="s">
        <v>13</v>
      </c>
    </row>
    <row r="263" s="3" customFormat="1" ht="12" spans="1:8">
      <c r="A263" s="18" t="str">
        <f>"202302312"</f>
        <v>202302312</v>
      </c>
      <c r="B263" s="18" t="str">
        <f t="shared" si="41"/>
        <v>008</v>
      </c>
      <c r="C263" s="18" t="str">
        <f t="shared" si="48"/>
        <v>23</v>
      </c>
      <c r="D263" s="14" t="s">
        <v>10</v>
      </c>
      <c r="E263" s="14" t="s">
        <v>20</v>
      </c>
      <c r="F263" s="19">
        <v>0</v>
      </c>
      <c r="G263" s="20">
        <f>SUMPRODUCT(--((B263=$B$4:$B$717)*$F$4:$F$717&gt;F263))+1</f>
        <v>84</v>
      </c>
      <c r="H263" s="18" t="s">
        <v>13</v>
      </c>
    </row>
    <row r="264" s="3" customFormat="1" ht="12" spans="1:8">
      <c r="A264" s="18" t="str">
        <f>"202302316"</f>
        <v>202302316</v>
      </c>
      <c r="B264" s="18" t="str">
        <f t="shared" si="41"/>
        <v>008</v>
      </c>
      <c r="C264" s="18" t="str">
        <f t="shared" si="48"/>
        <v>23</v>
      </c>
      <c r="D264" s="14" t="s">
        <v>10</v>
      </c>
      <c r="E264" s="14" t="s">
        <v>20</v>
      </c>
      <c r="F264" s="19">
        <v>0</v>
      </c>
      <c r="G264" s="20">
        <f>SUMPRODUCT(--((B264=$B$4:$B$717)*$F$4:$F$717&gt;F264))+1</f>
        <v>84</v>
      </c>
      <c r="H264" s="18" t="s">
        <v>13</v>
      </c>
    </row>
    <row r="265" s="3" customFormat="1" ht="12" spans="1:8">
      <c r="A265" s="18" t="str">
        <f>"202302317"</f>
        <v>202302317</v>
      </c>
      <c r="B265" s="18" t="str">
        <f t="shared" si="41"/>
        <v>008</v>
      </c>
      <c r="C265" s="18" t="str">
        <f t="shared" si="48"/>
        <v>23</v>
      </c>
      <c r="D265" s="14" t="s">
        <v>10</v>
      </c>
      <c r="E265" s="14" t="s">
        <v>20</v>
      </c>
      <c r="F265" s="19">
        <v>0</v>
      </c>
      <c r="G265" s="20">
        <f>SUMPRODUCT(--((B265=$B$4:$B$717)*$F$4:$F$717&gt;F265))+1</f>
        <v>84</v>
      </c>
      <c r="H265" s="18" t="s">
        <v>13</v>
      </c>
    </row>
    <row r="266" s="3" customFormat="1" ht="12" spans="1:8">
      <c r="A266" s="18" t="str">
        <f>"202302319"</f>
        <v>202302319</v>
      </c>
      <c r="B266" s="18" t="str">
        <f t="shared" si="41"/>
        <v>008</v>
      </c>
      <c r="C266" s="18" t="str">
        <f t="shared" si="48"/>
        <v>23</v>
      </c>
      <c r="D266" s="14" t="s">
        <v>10</v>
      </c>
      <c r="E266" s="14" t="s">
        <v>20</v>
      </c>
      <c r="F266" s="19">
        <v>0</v>
      </c>
      <c r="G266" s="20">
        <f>SUMPRODUCT(--((B266=$B$4:$B$717)*$F$4:$F$717&gt;F266))+1</f>
        <v>84</v>
      </c>
      <c r="H266" s="18" t="s">
        <v>13</v>
      </c>
    </row>
    <row r="267" s="3" customFormat="1" ht="12" spans="1:8">
      <c r="A267" s="18" t="str">
        <f>"202302326"</f>
        <v>202302326</v>
      </c>
      <c r="B267" s="18" t="str">
        <f t="shared" si="41"/>
        <v>008</v>
      </c>
      <c r="C267" s="18" t="str">
        <f t="shared" si="48"/>
        <v>23</v>
      </c>
      <c r="D267" s="14" t="s">
        <v>10</v>
      </c>
      <c r="E267" s="14" t="s">
        <v>20</v>
      </c>
      <c r="F267" s="19">
        <v>0</v>
      </c>
      <c r="G267" s="20">
        <f>SUMPRODUCT(--((B267=$B$4:$B$717)*$F$4:$F$717&gt;F267))+1</f>
        <v>84</v>
      </c>
      <c r="H267" s="18" t="s">
        <v>13</v>
      </c>
    </row>
    <row r="268" s="3" customFormat="1" ht="12" spans="1:8">
      <c r="A268" s="18" t="str">
        <f>"202302328"</f>
        <v>202302328</v>
      </c>
      <c r="B268" s="18" t="str">
        <f t="shared" si="41"/>
        <v>008</v>
      </c>
      <c r="C268" s="18" t="str">
        <f t="shared" si="48"/>
        <v>23</v>
      </c>
      <c r="D268" s="14" t="s">
        <v>10</v>
      </c>
      <c r="E268" s="14" t="s">
        <v>20</v>
      </c>
      <c r="F268" s="19">
        <v>0</v>
      </c>
      <c r="G268" s="20">
        <f>SUMPRODUCT(--((B268=$B$4:$B$717)*$F$4:$F$717&gt;F268))+1</f>
        <v>84</v>
      </c>
      <c r="H268" s="18" t="s">
        <v>13</v>
      </c>
    </row>
    <row r="269" s="3" customFormat="1" ht="12" spans="1:8">
      <c r="A269" s="18" t="str">
        <f>"202302401"</f>
        <v>202302401</v>
      </c>
      <c r="B269" s="18" t="str">
        <f t="shared" si="41"/>
        <v>008</v>
      </c>
      <c r="C269" s="18" t="str">
        <f t="shared" ref="C269:C277" si="49">"24"</f>
        <v>24</v>
      </c>
      <c r="D269" s="14" t="s">
        <v>10</v>
      </c>
      <c r="E269" s="14" t="s">
        <v>20</v>
      </c>
      <c r="F269" s="19">
        <v>0</v>
      </c>
      <c r="G269" s="20">
        <f>SUMPRODUCT(--((B269=$B$4:$B$717)*$F$4:$F$717&gt;F269))+1</f>
        <v>84</v>
      </c>
      <c r="H269" s="18" t="s">
        <v>13</v>
      </c>
    </row>
    <row r="270" s="3" customFormat="1" ht="12" spans="1:8">
      <c r="A270" s="18" t="str">
        <f>"202302406"</f>
        <v>202302406</v>
      </c>
      <c r="B270" s="18" t="str">
        <f t="shared" si="41"/>
        <v>008</v>
      </c>
      <c r="C270" s="18" t="str">
        <f t="shared" si="49"/>
        <v>24</v>
      </c>
      <c r="D270" s="14" t="s">
        <v>10</v>
      </c>
      <c r="E270" s="14" t="s">
        <v>20</v>
      </c>
      <c r="F270" s="19">
        <v>0</v>
      </c>
      <c r="G270" s="20">
        <f>SUMPRODUCT(--((B270=$B$4:$B$717)*$F$4:$F$717&gt;F270))+1</f>
        <v>84</v>
      </c>
      <c r="H270" s="18" t="s">
        <v>13</v>
      </c>
    </row>
    <row r="271" s="3" customFormat="1" ht="12" spans="1:8">
      <c r="A271" s="18" t="str">
        <f>"202302408"</f>
        <v>202302408</v>
      </c>
      <c r="B271" s="18" t="str">
        <f t="shared" si="41"/>
        <v>008</v>
      </c>
      <c r="C271" s="18" t="str">
        <f t="shared" si="49"/>
        <v>24</v>
      </c>
      <c r="D271" s="14" t="s">
        <v>10</v>
      </c>
      <c r="E271" s="14" t="s">
        <v>20</v>
      </c>
      <c r="F271" s="19">
        <v>0</v>
      </c>
      <c r="G271" s="20">
        <f>SUMPRODUCT(--((B271=$B$4:$B$717)*$F$4:$F$717&gt;F271))+1</f>
        <v>84</v>
      </c>
      <c r="H271" s="18" t="s">
        <v>13</v>
      </c>
    </row>
    <row r="272" s="3" customFormat="1" ht="12" spans="1:8">
      <c r="A272" s="18" t="str">
        <f>"202302409"</f>
        <v>202302409</v>
      </c>
      <c r="B272" s="18" t="str">
        <f t="shared" si="41"/>
        <v>008</v>
      </c>
      <c r="C272" s="18" t="str">
        <f t="shared" si="49"/>
        <v>24</v>
      </c>
      <c r="D272" s="14" t="s">
        <v>10</v>
      </c>
      <c r="E272" s="14" t="s">
        <v>20</v>
      </c>
      <c r="F272" s="19">
        <v>0</v>
      </c>
      <c r="G272" s="20">
        <f>SUMPRODUCT(--((B272=$B$4:$B$717)*$F$4:$F$717&gt;F272))+1</f>
        <v>84</v>
      </c>
      <c r="H272" s="18" t="s">
        <v>13</v>
      </c>
    </row>
    <row r="273" s="3" customFormat="1" ht="12" spans="1:8">
      <c r="A273" s="18" t="str">
        <f>"202302410"</f>
        <v>202302410</v>
      </c>
      <c r="B273" s="18" t="str">
        <f t="shared" ref="B273:B277" si="50">"008"</f>
        <v>008</v>
      </c>
      <c r="C273" s="18" t="str">
        <f t="shared" si="49"/>
        <v>24</v>
      </c>
      <c r="D273" s="14" t="s">
        <v>10</v>
      </c>
      <c r="E273" s="14" t="s">
        <v>20</v>
      </c>
      <c r="F273" s="19">
        <v>0</v>
      </c>
      <c r="G273" s="20">
        <f>SUMPRODUCT(--((B273=$B$4:$B$717)*$F$4:$F$717&gt;F273))+1</f>
        <v>84</v>
      </c>
      <c r="H273" s="18" t="s">
        <v>13</v>
      </c>
    </row>
    <row r="274" s="3" customFormat="1" ht="12" spans="1:8">
      <c r="A274" s="18" t="str">
        <f>"202302414"</f>
        <v>202302414</v>
      </c>
      <c r="B274" s="18" t="str">
        <f t="shared" si="50"/>
        <v>008</v>
      </c>
      <c r="C274" s="18" t="str">
        <f t="shared" si="49"/>
        <v>24</v>
      </c>
      <c r="D274" s="14" t="s">
        <v>10</v>
      </c>
      <c r="E274" s="14" t="s">
        <v>20</v>
      </c>
      <c r="F274" s="19">
        <v>0</v>
      </c>
      <c r="G274" s="20">
        <f>SUMPRODUCT(--((B274=$B$4:$B$717)*$F$4:$F$717&gt;F274))+1</f>
        <v>84</v>
      </c>
      <c r="H274" s="18" t="s">
        <v>13</v>
      </c>
    </row>
    <row r="275" s="3" customFormat="1" ht="12" spans="1:8">
      <c r="A275" s="18" t="str">
        <f>"202302418"</f>
        <v>202302418</v>
      </c>
      <c r="B275" s="18" t="str">
        <f t="shared" si="50"/>
        <v>008</v>
      </c>
      <c r="C275" s="18" t="str">
        <f t="shared" si="49"/>
        <v>24</v>
      </c>
      <c r="D275" s="14" t="s">
        <v>10</v>
      </c>
      <c r="E275" s="14" t="s">
        <v>20</v>
      </c>
      <c r="F275" s="19">
        <v>0</v>
      </c>
      <c r="G275" s="20">
        <f>SUMPRODUCT(--((B275=$B$4:$B$717)*$F$4:$F$717&gt;F275))+1</f>
        <v>84</v>
      </c>
      <c r="H275" s="18" t="s">
        <v>13</v>
      </c>
    </row>
    <row r="276" s="3" customFormat="1" ht="12" spans="1:8">
      <c r="A276" s="18" t="str">
        <f>"202302420"</f>
        <v>202302420</v>
      </c>
      <c r="B276" s="18" t="str">
        <f t="shared" si="50"/>
        <v>008</v>
      </c>
      <c r="C276" s="18" t="str">
        <f t="shared" si="49"/>
        <v>24</v>
      </c>
      <c r="D276" s="14" t="s">
        <v>10</v>
      </c>
      <c r="E276" s="14" t="s">
        <v>20</v>
      </c>
      <c r="F276" s="19">
        <v>0</v>
      </c>
      <c r="G276" s="20">
        <f>SUMPRODUCT(--((B276=$B$4:$B$717)*$F$4:$F$717&gt;F276))+1</f>
        <v>84</v>
      </c>
      <c r="H276" s="18" t="s">
        <v>13</v>
      </c>
    </row>
    <row r="277" s="3" customFormat="1" ht="12" spans="1:8">
      <c r="A277" s="18" t="str">
        <f>"202302421"</f>
        <v>202302421</v>
      </c>
      <c r="B277" s="18" t="str">
        <f t="shared" si="50"/>
        <v>008</v>
      </c>
      <c r="C277" s="18" t="str">
        <f t="shared" si="49"/>
        <v>24</v>
      </c>
      <c r="D277" s="14" t="s">
        <v>10</v>
      </c>
      <c r="E277" s="14" t="s">
        <v>20</v>
      </c>
      <c r="F277" s="19">
        <v>0</v>
      </c>
      <c r="G277" s="20">
        <f>SUMPRODUCT(--((B277=$B$4:$B$717)*$F$4:$F$717&gt;F277))+1</f>
        <v>84</v>
      </c>
      <c r="H277" s="18" t="s">
        <v>13</v>
      </c>
    </row>
    <row r="278" s="3" customFormat="1" ht="12" spans="1:8">
      <c r="A278" s="14" t="str">
        <f>"202301018"</f>
        <v>202301018</v>
      </c>
      <c r="B278" s="14" t="str">
        <f t="shared" ref="B278:B341" si="51">"009"</f>
        <v>009</v>
      </c>
      <c r="C278" s="14" t="str">
        <f>"10"</f>
        <v>10</v>
      </c>
      <c r="D278" s="14" t="s">
        <v>10</v>
      </c>
      <c r="E278" s="14" t="s">
        <v>21</v>
      </c>
      <c r="F278" s="16">
        <v>80.94</v>
      </c>
      <c r="G278" s="17">
        <f>SUMPRODUCT(--((B278=$B$4:$B$717)*$F$4:$F$717&gt;F278))+1</f>
        <v>1</v>
      </c>
      <c r="H278" s="18" t="s">
        <v>12</v>
      </c>
    </row>
    <row r="279" s="3" customFormat="1" ht="12" spans="1:8">
      <c r="A279" s="14" t="str">
        <f>"202300904"</f>
        <v>202300904</v>
      </c>
      <c r="B279" s="14" t="str">
        <f t="shared" si="51"/>
        <v>009</v>
      </c>
      <c r="C279" s="14" t="str">
        <f t="shared" ref="C279:C283" si="52">"09"</f>
        <v>09</v>
      </c>
      <c r="D279" s="14" t="s">
        <v>10</v>
      </c>
      <c r="E279" s="14" t="s">
        <v>21</v>
      </c>
      <c r="F279" s="16">
        <v>80.07</v>
      </c>
      <c r="G279" s="17">
        <f>SUMPRODUCT(--((B279=$B$4:$B$717)*$F$4:$F$717&gt;F279))+1</f>
        <v>2</v>
      </c>
      <c r="H279" s="18" t="s">
        <v>12</v>
      </c>
    </row>
    <row r="280" s="3" customFormat="1" ht="12" spans="1:8">
      <c r="A280" s="14" t="str">
        <f>"202300821"</f>
        <v>202300821</v>
      </c>
      <c r="B280" s="14" t="str">
        <f t="shared" si="51"/>
        <v>009</v>
      </c>
      <c r="C280" s="14" t="str">
        <f>"08"</f>
        <v>08</v>
      </c>
      <c r="D280" s="14" t="s">
        <v>10</v>
      </c>
      <c r="E280" s="14" t="s">
        <v>21</v>
      </c>
      <c r="F280" s="16">
        <v>78.18</v>
      </c>
      <c r="G280" s="17">
        <f>SUMPRODUCT(--((B280=$B$4:$B$717)*$F$4:$F$717&gt;F280))+1</f>
        <v>3</v>
      </c>
      <c r="H280" s="18" t="s">
        <v>12</v>
      </c>
    </row>
    <row r="281" s="3" customFormat="1" ht="12" spans="1:8">
      <c r="A281" s="18" t="str">
        <f>"202301022"</f>
        <v>202301022</v>
      </c>
      <c r="B281" s="18" t="str">
        <f t="shared" si="51"/>
        <v>009</v>
      </c>
      <c r="C281" s="18" t="str">
        <f>"10"</f>
        <v>10</v>
      </c>
      <c r="D281" s="14" t="s">
        <v>10</v>
      </c>
      <c r="E281" s="14" t="s">
        <v>21</v>
      </c>
      <c r="F281" s="19">
        <v>76.83</v>
      </c>
      <c r="G281" s="20">
        <f>SUMPRODUCT(--((B281=$B$4:$B$717)*$F$4:$F$717&gt;F281))+1</f>
        <v>4</v>
      </c>
      <c r="H281" s="18" t="s">
        <v>13</v>
      </c>
    </row>
    <row r="282" s="3" customFormat="1" ht="12" spans="1:8">
      <c r="A282" s="18" t="str">
        <f>"202300913"</f>
        <v>202300913</v>
      </c>
      <c r="B282" s="18" t="str">
        <f t="shared" si="51"/>
        <v>009</v>
      </c>
      <c r="C282" s="18" t="str">
        <f t="shared" si="52"/>
        <v>09</v>
      </c>
      <c r="D282" s="14" t="s">
        <v>10</v>
      </c>
      <c r="E282" s="14" t="s">
        <v>21</v>
      </c>
      <c r="F282" s="19">
        <v>75.69</v>
      </c>
      <c r="G282" s="20">
        <f>SUMPRODUCT(--((B282=$B$4:$B$717)*$F$4:$F$717&gt;F282))+1</f>
        <v>5</v>
      </c>
      <c r="H282" s="18" t="s">
        <v>13</v>
      </c>
    </row>
    <row r="283" s="3" customFormat="1" ht="12" spans="1:8">
      <c r="A283" s="18" t="str">
        <f>"202300911"</f>
        <v>202300911</v>
      </c>
      <c r="B283" s="18" t="str">
        <f t="shared" si="51"/>
        <v>009</v>
      </c>
      <c r="C283" s="18" t="str">
        <f t="shared" si="52"/>
        <v>09</v>
      </c>
      <c r="D283" s="14" t="s">
        <v>10</v>
      </c>
      <c r="E283" s="14" t="s">
        <v>21</v>
      </c>
      <c r="F283" s="19">
        <v>75.6</v>
      </c>
      <c r="G283" s="20">
        <f>SUMPRODUCT(--((B283=$B$4:$B$717)*$F$4:$F$717&gt;F283))+1</f>
        <v>6</v>
      </c>
      <c r="H283" s="18" t="s">
        <v>13</v>
      </c>
    </row>
    <row r="284" s="3" customFormat="1" ht="12" spans="1:8">
      <c r="A284" s="18" t="str">
        <f>"202301023"</f>
        <v>202301023</v>
      </c>
      <c r="B284" s="18" t="str">
        <f t="shared" si="51"/>
        <v>009</v>
      </c>
      <c r="C284" s="18" t="str">
        <f>"10"</f>
        <v>10</v>
      </c>
      <c r="D284" s="14" t="s">
        <v>10</v>
      </c>
      <c r="E284" s="14" t="s">
        <v>21</v>
      </c>
      <c r="F284" s="19">
        <v>75.28</v>
      </c>
      <c r="G284" s="20">
        <f>SUMPRODUCT(--((B284=$B$4:$B$717)*$F$4:$F$717&gt;F284))+1</f>
        <v>7</v>
      </c>
      <c r="H284" s="18" t="s">
        <v>13</v>
      </c>
    </row>
    <row r="285" s="3" customFormat="1" ht="12" spans="1:8">
      <c r="A285" s="18" t="str">
        <f>"202300917"</f>
        <v>202300917</v>
      </c>
      <c r="B285" s="18" t="str">
        <f t="shared" si="51"/>
        <v>009</v>
      </c>
      <c r="C285" s="18" t="str">
        <f>"09"</f>
        <v>09</v>
      </c>
      <c r="D285" s="14" t="s">
        <v>10</v>
      </c>
      <c r="E285" s="14" t="s">
        <v>21</v>
      </c>
      <c r="F285" s="19">
        <v>74.69</v>
      </c>
      <c r="G285" s="20">
        <f>SUMPRODUCT(--((B285=$B$4:$B$717)*$F$4:$F$717&gt;F285))+1</f>
        <v>8</v>
      </c>
      <c r="H285" s="18" t="s">
        <v>13</v>
      </c>
    </row>
    <row r="286" s="3" customFormat="1" ht="12" spans="1:8">
      <c r="A286" s="18" t="str">
        <f>"202300820"</f>
        <v>202300820</v>
      </c>
      <c r="B286" s="18" t="str">
        <f t="shared" si="51"/>
        <v>009</v>
      </c>
      <c r="C286" s="18" t="str">
        <f t="shared" ref="C286:C290" si="53">"08"</f>
        <v>08</v>
      </c>
      <c r="D286" s="14" t="s">
        <v>10</v>
      </c>
      <c r="E286" s="14" t="s">
        <v>21</v>
      </c>
      <c r="F286" s="19">
        <v>74.44</v>
      </c>
      <c r="G286" s="20">
        <f>SUMPRODUCT(--((B286=$B$4:$B$717)*$F$4:$F$717&gt;F286))+1</f>
        <v>9</v>
      </c>
      <c r="H286" s="18" t="s">
        <v>13</v>
      </c>
    </row>
    <row r="287" s="3" customFormat="1" ht="12" spans="1:8">
      <c r="A287" s="18" t="str">
        <f>"202300906"</f>
        <v>202300906</v>
      </c>
      <c r="B287" s="18" t="str">
        <f t="shared" si="51"/>
        <v>009</v>
      </c>
      <c r="C287" s="18" t="str">
        <f>"09"</f>
        <v>09</v>
      </c>
      <c r="D287" s="14" t="s">
        <v>10</v>
      </c>
      <c r="E287" s="14" t="s">
        <v>21</v>
      </c>
      <c r="F287" s="19">
        <v>74.44</v>
      </c>
      <c r="G287" s="20">
        <f>SUMPRODUCT(--((B287=$B$4:$B$717)*$F$4:$F$717&gt;F287))+1</f>
        <v>9</v>
      </c>
      <c r="H287" s="18" t="s">
        <v>13</v>
      </c>
    </row>
    <row r="288" s="3" customFormat="1" ht="12" spans="1:8">
      <c r="A288" s="18" t="str">
        <f>"202300826"</f>
        <v>202300826</v>
      </c>
      <c r="B288" s="18" t="str">
        <f t="shared" si="51"/>
        <v>009</v>
      </c>
      <c r="C288" s="18" t="str">
        <f t="shared" si="53"/>
        <v>08</v>
      </c>
      <c r="D288" s="14" t="s">
        <v>10</v>
      </c>
      <c r="E288" s="14" t="s">
        <v>21</v>
      </c>
      <c r="F288" s="19">
        <v>74</v>
      </c>
      <c r="G288" s="20">
        <f>SUMPRODUCT(--((B288=$B$4:$B$717)*$F$4:$F$717&gt;F288))+1</f>
        <v>11</v>
      </c>
      <c r="H288" s="18" t="s">
        <v>13</v>
      </c>
    </row>
    <row r="289" s="3" customFormat="1" ht="12" spans="1:8">
      <c r="A289" s="18" t="str">
        <f>"202300816"</f>
        <v>202300816</v>
      </c>
      <c r="B289" s="18" t="str">
        <f t="shared" si="51"/>
        <v>009</v>
      </c>
      <c r="C289" s="18" t="str">
        <f t="shared" si="53"/>
        <v>08</v>
      </c>
      <c r="D289" s="14" t="s">
        <v>10</v>
      </c>
      <c r="E289" s="14" t="s">
        <v>21</v>
      </c>
      <c r="F289" s="19">
        <v>73.76</v>
      </c>
      <c r="G289" s="20">
        <f>SUMPRODUCT(--((B289=$B$4:$B$717)*$F$4:$F$717&gt;F289))+1</f>
        <v>12</v>
      </c>
      <c r="H289" s="18" t="s">
        <v>13</v>
      </c>
    </row>
    <row r="290" s="3" customFormat="1" ht="12" spans="1:8">
      <c r="A290" s="18" t="str">
        <f>"202300824"</f>
        <v>202300824</v>
      </c>
      <c r="B290" s="18" t="str">
        <f t="shared" si="51"/>
        <v>009</v>
      </c>
      <c r="C290" s="18" t="str">
        <f t="shared" si="53"/>
        <v>08</v>
      </c>
      <c r="D290" s="14" t="s">
        <v>10</v>
      </c>
      <c r="E290" s="14" t="s">
        <v>21</v>
      </c>
      <c r="F290" s="19">
        <v>73.27</v>
      </c>
      <c r="G290" s="20">
        <f>SUMPRODUCT(--((B290=$B$4:$B$717)*$F$4:$F$717&gt;F290))+1</f>
        <v>13</v>
      </c>
      <c r="H290" s="18" t="s">
        <v>13</v>
      </c>
    </row>
    <row r="291" s="3" customFormat="1" ht="12" spans="1:8">
      <c r="A291" s="18" t="str">
        <f>"202301014"</f>
        <v>202301014</v>
      </c>
      <c r="B291" s="18" t="str">
        <f t="shared" si="51"/>
        <v>009</v>
      </c>
      <c r="C291" s="18" t="str">
        <f>"10"</f>
        <v>10</v>
      </c>
      <c r="D291" s="14" t="s">
        <v>10</v>
      </c>
      <c r="E291" s="14" t="s">
        <v>21</v>
      </c>
      <c r="F291" s="19">
        <v>72.71</v>
      </c>
      <c r="G291" s="20">
        <f>SUMPRODUCT(--((B291=$B$4:$B$717)*$F$4:$F$717&gt;F291))+1</f>
        <v>14</v>
      </c>
      <c r="H291" s="18" t="s">
        <v>13</v>
      </c>
    </row>
    <row r="292" s="3" customFormat="1" ht="12" spans="1:8">
      <c r="A292" s="18" t="str">
        <f>"202300827"</f>
        <v>202300827</v>
      </c>
      <c r="B292" s="18" t="str">
        <f t="shared" si="51"/>
        <v>009</v>
      </c>
      <c r="C292" s="18" t="str">
        <f>"08"</f>
        <v>08</v>
      </c>
      <c r="D292" s="14" t="s">
        <v>10</v>
      </c>
      <c r="E292" s="14" t="s">
        <v>21</v>
      </c>
      <c r="F292" s="19">
        <v>71.18</v>
      </c>
      <c r="G292" s="20">
        <f>SUMPRODUCT(--((B292=$B$4:$B$717)*$F$4:$F$717&gt;F292))+1</f>
        <v>15</v>
      </c>
      <c r="H292" s="18" t="s">
        <v>13</v>
      </c>
    </row>
    <row r="293" s="3" customFormat="1" ht="12" spans="1:8">
      <c r="A293" s="18" t="str">
        <f>"202300915"</f>
        <v>202300915</v>
      </c>
      <c r="B293" s="18" t="str">
        <f t="shared" si="51"/>
        <v>009</v>
      </c>
      <c r="C293" s="18" t="str">
        <f t="shared" ref="C293:C295" si="54">"09"</f>
        <v>09</v>
      </c>
      <c r="D293" s="14" t="s">
        <v>10</v>
      </c>
      <c r="E293" s="14" t="s">
        <v>21</v>
      </c>
      <c r="F293" s="19">
        <v>70.95</v>
      </c>
      <c r="G293" s="20">
        <f>SUMPRODUCT(--((B293=$B$4:$B$717)*$F$4:$F$717&gt;F293))+1</f>
        <v>16</v>
      </c>
      <c r="H293" s="18" t="s">
        <v>13</v>
      </c>
    </row>
    <row r="294" s="3" customFormat="1" ht="12" spans="1:8">
      <c r="A294" s="18" t="str">
        <f>"202300903"</f>
        <v>202300903</v>
      </c>
      <c r="B294" s="18" t="str">
        <f t="shared" si="51"/>
        <v>009</v>
      </c>
      <c r="C294" s="18" t="str">
        <f t="shared" si="54"/>
        <v>09</v>
      </c>
      <c r="D294" s="14" t="s">
        <v>10</v>
      </c>
      <c r="E294" s="14" t="s">
        <v>21</v>
      </c>
      <c r="F294" s="19">
        <v>70.83</v>
      </c>
      <c r="G294" s="20">
        <f>SUMPRODUCT(--((B294=$B$4:$B$717)*$F$4:$F$717&gt;F294))+1</f>
        <v>17</v>
      </c>
      <c r="H294" s="18" t="s">
        <v>13</v>
      </c>
    </row>
    <row r="295" s="3" customFormat="1" ht="12" spans="1:8">
      <c r="A295" s="18" t="str">
        <f>"202300902"</f>
        <v>202300902</v>
      </c>
      <c r="B295" s="18" t="str">
        <f t="shared" si="51"/>
        <v>009</v>
      </c>
      <c r="C295" s="18" t="str">
        <f t="shared" si="54"/>
        <v>09</v>
      </c>
      <c r="D295" s="14" t="s">
        <v>10</v>
      </c>
      <c r="E295" s="14" t="s">
        <v>21</v>
      </c>
      <c r="F295" s="19">
        <v>70.62</v>
      </c>
      <c r="G295" s="20">
        <f>SUMPRODUCT(--((B295=$B$4:$B$717)*$F$4:$F$717&gt;F295))+1</f>
        <v>18</v>
      </c>
      <c r="H295" s="18" t="s">
        <v>13</v>
      </c>
    </row>
    <row r="296" s="3" customFormat="1" ht="12" spans="1:8">
      <c r="A296" s="18" t="str">
        <f>"202300822"</f>
        <v>202300822</v>
      </c>
      <c r="B296" s="18" t="str">
        <f t="shared" si="51"/>
        <v>009</v>
      </c>
      <c r="C296" s="18" t="str">
        <f>"08"</f>
        <v>08</v>
      </c>
      <c r="D296" s="14" t="s">
        <v>10</v>
      </c>
      <c r="E296" s="14" t="s">
        <v>21</v>
      </c>
      <c r="F296" s="19">
        <v>70.34</v>
      </c>
      <c r="G296" s="20">
        <f>SUMPRODUCT(--((B296=$B$4:$B$717)*$F$4:$F$717&gt;F296))+1</f>
        <v>19</v>
      </c>
      <c r="H296" s="18" t="s">
        <v>13</v>
      </c>
    </row>
    <row r="297" s="3" customFormat="1" ht="12" spans="1:8">
      <c r="A297" s="18" t="str">
        <f>"202301002"</f>
        <v>202301002</v>
      </c>
      <c r="B297" s="18" t="str">
        <f t="shared" si="51"/>
        <v>009</v>
      </c>
      <c r="C297" s="18" t="str">
        <f t="shared" ref="C297:C304" si="55">"10"</f>
        <v>10</v>
      </c>
      <c r="D297" s="14" t="s">
        <v>10</v>
      </c>
      <c r="E297" s="14" t="s">
        <v>21</v>
      </c>
      <c r="F297" s="19">
        <v>70.1</v>
      </c>
      <c r="G297" s="20">
        <f>SUMPRODUCT(--((B297=$B$4:$B$717)*$F$4:$F$717&gt;F297))+1</f>
        <v>20</v>
      </c>
      <c r="H297" s="18" t="s">
        <v>13</v>
      </c>
    </row>
    <row r="298" s="3" customFormat="1" ht="12" spans="1:8">
      <c r="A298" s="18" t="str">
        <f>"202300922"</f>
        <v>202300922</v>
      </c>
      <c r="B298" s="18" t="str">
        <f t="shared" si="51"/>
        <v>009</v>
      </c>
      <c r="C298" s="18" t="str">
        <f t="shared" ref="C298:C300" si="56">"09"</f>
        <v>09</v>
      </c>
      <c r="D298" s="14" t="s">
        <v>10</v>
      </c>
      <c r="E298" s="14" t="s">
        <v>21</v>
      </c>
      <c r="F298" s="19">
        <v>69.95</v>
      </c>
      <c r="G298" s="20">
        <f>SUMPRODUCT(--((B298=$B$4:$B$717)*$F$4:$F$717&gt;F298))+1</f>
        <v>21</v>
      </c>
      <c r="H298" s="18" t="s">
        <v>13</v>
      </c>
    </row>
    <row r="299" s="3" customFormat="1" ht="12" spans="1:8">
      <c r="A299" s="18" t="str">
        <f>"202300908"</f>
        <v>202300908</v>
      </c>
      <c r="B299" s="18" t="str">
        <f t="shared" si="51"/>
        <v>009</v>
      </c>
      <c r="C299" s="18" t="str">
        <f t="shared" si="56"/>
        <v>09</v>
      </c>
      <c r="D299" s="14" t="s">
        <v>10</v>
      </c>
      <c r="E299" s="14" t="s">
        <v>21</v>
      </c>
      <c r="F299" s="19">
        <v>69.6</v>
      </c>
      <c r="G299" s="20">
        <f>SUMPRODUCT(--((B299=$B$4:$B$717)*$F$4:$F$717&gt;F299))+1</f>
        <v>22</v>
      </c>
      <c r="H299" s="18" t="s">
        <v>13</v>
      </c>
    </row>
    <row r="300" s="3" customFormat="1" ht="12" spans="1:8">
      <c r="A300" s="18" t="str">
        <f>"202300914"</f>
        <v>202300914</v>
      </c>
      <c r="B300" s="18" t="str">
        <f t="shared" si="51"/>
        <v>009</v>
      </c>
      <c r="C300" s="18" t="str">
        <f t="shared" si="56"/>
        <v>09</v>
      </c>
      <c r="D300" s="14" t="s">
        <v>10</v>
      </c>
      <c r="E300" s="14" t="s">
        <v>21</v>
      </c>
      <c r="F300" s="19">
        <v>69.54</v>
      </c>
      <c r="G300" s="20">
        <f>SUMPRODUCT(--((B300=$B$4:$B$717)*$F$4:$F$717&gt;F300))+1</f>
        <v>23</v>
      </c>
      <c r="H300" s="18" t="s">
        <v>13</v>
      </c>
    </row>
    <row r="301" s="3" customFormat="1" ht="12" spans="1:8">
      <c r="A301" s="18" t="str">
        <f>"202301011"</f>
        <v>202301011</v>
      </c>
      <c r="B301" s="18" t="str">
        <f t="shared" si="51"/>
        <v>009</v>
      </c>
      <c r="C301" s="18" t="str">
        <f t="shared" si="55"/>
        <v>10</v>
      </c>
      <c r="D301" s="14" t="s">
        <v>10</v>
      </c>
      <c r="E301" s="14" t="s">
        <v>21</v>
      </c>
      <c r="F301" s="19">
        <v>69.51</v>
      </c>
      <c r="G301" s="20">
        <f>SUMPRODUCT(--((B301=$B$4:$B$717)*$F$4:$F$717&gt;F301))+1</f>
        <v>24</v>
      </c>
      <c r="H301" s="18" t="s">
        <v>13</v>
      </c>
    </row>
    <row r="302" s="3" customFormat="1" ht="12" spans="1:8">
      <c r="A302" s="18" t="str">
        <f>"202301024"</f>
        <v>202301024</v>
      </c>
      <c r="B302" s="18" t="str">
        <f t="shared" si="51"/>
        <v>009</v>
      </c>
      <c r="C302" s="18" t="str">
        <f t="shared" si="55"/>
        <v>10</v>
      </c>
      <c r="D302" s="14" t="s">
        <v>10</v>
      </c>
      <c r="E302" s="14" t="s">
        <v>21</v>
      </c>
      <c r="F302" s="19">
        <v>69.09</v>
      </c>
      <c r="G302" s="20">
        <f>SUMPRODUCT(--((B302=$B$4:$B$717)*$F$4:$F$717&gt;F302))+1</f>
        <v>25</v>
      </c>
      <c r="H302" s="18" t="s">
        <v>13</v>
      </c>
    </row>
    <row r="303" s="3" customFormat="1" ht="12" spans="1:8">
      <c r="A303" s="18" t="str">
        <f>"202301010"</f>
        <v>202301010</v>
      </c>
      <c r="B303" s="18" t="str">
        <f t="shared" si="51"/>
        <v>009</v>
      </c>
      <c r="C303" s="18" t="str">
        <f t="shared" si="55"/>
        <v>10</v>
      </c>
      <c r="D303" s="14" t="s">
        <v>10</v>
      </c>
      <c r="E303" s="14" t="s">
        <v>21</v>
      </c>
      <c r="F303" s="19">
        <v>68.78</v>
      </c>
      <c r="G303" s="20">
        <f>SUMPRODUCT(--((B303=$B$4:$B$717)*$F$4:$F$717&gt;F303))+1</f>
        <v>26</v>
      </c>
      <c r="H303" s="18" t="s">
        <v>13</v>
      </c>
    </row>
    <row r="304" s="3" customFormat="1" ht="12" spans="1:8">
      <c r="A304" s="18" t="str">
        <f>"202301016"</f>
        <v>202301016</v>
      </c>
      <c r="B304" s="18" t="str">
        <f t="shared" si="51"/>
        <v>009</v>
      </c>
      <c r="C304" s="18" t="str">
        <f t="shared" si="55"/>
        <v>10</v>
      </c>
      <c r="D304" s="14" t="s">
        <v>10</v>
      </c>
      <c r="E304" s="14" t="s">
        <v>21</v>
      </c>
      <c r="F304" s="19">
        <v>68.37</v>
      </c>
      <c r="G304" s="20">
        <f>SUMPRODUCT(--((B304=$B$4:$B$717)*$F$4:$F$717&gt;F304))+1</f>
        <v>27</v>
      </c>
      <c r="H304" s="18" t="s">
        <v>13</v>
      </c>
    </row>
    <row r="305" s="3" customFormat="1" ht="12" spans="1:8">
      <c r="A305" s="18" t="str">
        <f>"202300818"</f>
        <v>202300818</v>
      </c>
      <c r="B305" s="18" t="str">
        <f t="shared" si="51"/>
        <v>009</v>
      </c>
      <c r="C305" s="18" t="str">
        <f>"08"</f>
        <v>08</v>
      </c>
      <c r="D305" s="14" t="s">
        <v>10</v>
      </c>
      <c r="E305" s="14" t="s">
        <v>21</v>
      </c>
      <c r="F305" s="19">
        <v>68.34</v>
      </c>
      <c r="G305" s="20">
        <f>SUMPRODUCT(--((B305=$B$4:$B$717)*$F$4:$F$717&gt;F305))+1</f>
        <v>28</v>
      </c>
      <c r="H305" s="18" t="s">
        <v>13</v>
      </c>
    </row>
    <row r="306" s="3" customFormat="1" ht="12" spans="1:8">
      <c r="A306" s="18" t="str">
        <f>"202300920"</f>
        <v>202300920</v>
      </c>
      <c r="B306" s="18" t="str">
        <f t="shared" si="51"/>
        <v>009</v>
      </c>
      <c r="C306" s="18" t="str">
        <f t="shared" ref="C306:C308" si="57">"09"</f>
        <v>09</v>
      </c>
      <c r="D306" s="14" t="s">
        <v>10</v>
      </c>
      <c r="E306" s="14" t="s">
        <v>21</v>
      </c>
      <c r="F306" s="19">
        <v>68.12</v>
      </c>
      <c r="G306" s="20">
        <f>SUMPRODUCT(--((B306=$B$4:$B$717)*$F$4:$F$717&gt;F306))+1</f>
        <v>29</v>
      </c>
      <c r="H306" s="18" t="s">
        <v>13</v>
      </c>
    </row>
    <row r="307" s="3" customFormat="1" ht="12" spans="1:8">
      <c r="A307" s="18" t="str">
        <f>"202300905"</f>
        <v>202300905</v>
      </c>
      <c r="B307" s="18" t="str">
        <f t="shared" si="51"/>
        <v>009</v>
      </c>
      <c r="C307" s="18" t="str">
        <f t="shared" si="57"/>
        <v>09</v>
      </c>
      <c r="D307" s="14" t="s">
        <v>10</v>
      </c>
      <c r="E307" s="14" t="s">
        <v>21</v>
      </c>
      <c r="F307" s="19">
        <v>67.95</v>
      </c>
      <c r="G307" s="20">
        <f>SUMPRODUCT(--((B307=$B$4:$B$717)*$F$4:$F$717&gt;F307))+1</f>
        <v>30</v>
      </c>
      <c r="H307" s="18" t="s">
        <v>13</v>
      </c>
    </row>
    <row r="308" s="3" customFormat="1" ht="12" spans="1:8">
      <c r="A308" s="18" t="str">
        <f>"202300925"</f>
        <v>202300925</v>
      </c>
      <c r="B308" s="18" t="str">
        <f t="shared" si="51"/>
        <v>009</v>
      </c>
      <c r="C308" s="18" t="str">
        <f t="shared" si="57"/>
        <v>09</v>
      </c>
      <c r="D308" s="14" t="s">
        <v>10</v>
      </c>
      <c r="E308" s="14" t="s">
        <v>21</v>
      </c>
      <c r="F308" s="19">
        <v>67.92</v>
      </c>
      <c r="G308" s="20">
        <f>SUMPRODUCT(--((B308=$B$4:$B$717)*$F$4:$F$717&gt;F308))+1</f>
        <v>31</v>
      </c>
      <c r="H308" s="18" t="s">
        <v>13</v>
      </c>
    </row>
    <row r="309" s="3" customFormat="1" ht="12" spans="1:8">
      <c r="A309" s="18" t="str">
        <f>"202301005"</f>
        <v>202301005</v>
      </c>
      <c r="B309" s="18" t="str">
        <f t="shared" si="51"/>
        <v>009</v>
      </c>
      <c r="C309" s="18" t="str">
        <f t="shared" ref="C309:C314" si="58">"10"</f>
        <v>10</v>
      </c>
      <c r="D309" s="14" t="s">
        <v>10</v>
      </c>
      <c r="E309" s="14" t="s">
        <v>21</v>
      </c>
      <c r="F309" s="19">
        <v>67.9</v>
      </c>
      <c r="G309" s="20">
        <f>SUMPRODUCT(--((B309=$B$4:$B$717)*$F$4:$F$717&gt;F309))+1</f>
        <v>32</v>
      </c>
      <c r="H309" s="18" t="s">
        <v>13</v>
      </c>
    </row>
    <row r="310" s="3" customFormat="1" ht="12" spans="1:8">
      <c r="A310" s="18" t="str">
        <f>"202300924"</f>
        <v>202300924</v>
      </c>
      <c r="B310" s="18" t="str">
        <f t="shared" si="51"/>
        <v>009</v>
      </c>
      <c r="C310" s="18" t="str">
        <f t="shared" ref="C310:C313" si="59">"09"</f>
        <v>09</v>
      </c>
      <c r="D310" s="14" t="s">
        <v>10</v>
      </c>
      <c r="E310" s="14" t="s">
        <v>21</v>
      </c>
      <c r="F310" s="19">
        <v>67.82</v>
      </c>
      <c r="G310" s="20">
        <f>SUMPRODUCT(--((B310=$B$4:$B$717)*$F$4:$F$717&gt;F310))+1</f>
        <v>33</v>
      </c>
      <c r="H310" s="18" t="s">
        <v>13</v>
      </c>
    </row>
    <row r="311" s="3" customFormat="1" ht="12" spans="1:8">
      <c r="A311" s="18" t="str">
        <f>"202301001"</f>
        <v>202301001</v>
      </c>
      <c r="B311" s="18" t="str">
        <f t="shared" si="51"/>
        <v>009</v>
      </c>
      <c r="C311" s="18" t="str">
        <f t="shared" si="58"/>
        <v>10</v>
      </c>
      <c r="D311" s="14" t="s">
        <v>10</v>
      </c>
      <c r="E311" s="14" t="s">
        <v>21</v>
      </c>
      <c r="F311" s="19">
        <v>67.32</v>
      </c>
      <c r="G311" s="20">
        <f>SUMPRODUCT(--((B311=$B$4:$B$717)*$F$4:$F$717&gt;F311))+1</f>
        <v>34</v>
      </c>
      <c r="H311" s="18" t="s">
        <v>13</v>
      </c>
    </row>
    <row r="312" s="3" customFormat="1" ht="12" spans="1:8">
      <c r="A312" s="18" t="str">
        <f>"202300929"</f>
        <v>202300929</v>
      </c>
      <c r="B312" s="18" t="str">
        <f t="shared" si="51"/>
        <v>009</v>
      </c>
      <c r="C312" s="18" t="str">
        <f t="shared" si="59"/>
        <v>09</v>
      </c>
      <c r="D312" s="14" t="s">
        <v>10</v>
      </c>
      <c r="E312" s="14" t="s">
        <v>21</v>
      </c>
      <c r="F312" s="19">
        <v>67.29</v>
      </c>
      <c r="G312" s="20">
        <f>SUMPRODUCT(--((B312=$B$4:$B$717)*$F$4:$F$717&gt;F312))+1</f>
        <v>35</v>
      </c>
      <c r="H312" s="18" t="s">
        <v>13</v>
      </c>
    </row>
    <row r="313" s="3" customFormat="1" ht="12" spans="1:8">
      <c r="A313" s="18" t="str">
        <f>"202300916"</f>
        <v>202300916</v>
      </c>
      <c r="B313" s="18" t="str">
        <f t="shared" si="51"/>
        <v>009</v>
      </c>
      <c r="C313" s="18" t="str">
        <f t="shared" si="59"/>
        <v>09</v>
      </c>
      <c r="D313" s="14" t="s">
        <v>10</v>
      </c>
      <c r="E313" s="14" t="s">
        <v>21</v>
      </c>
      <c r="F313" s="19">
        <v>67</v>
      </c>
      <c r="G313" s="20">
        <f>SUMPRODUCT(--((B313=$B$4:$B$717)*$F$4:$F$717&gt;F313))+1</f>
        <v>36</v>
      </c>
      <c r="H313" s="18" t="s">
        <v>13</v>
      </c>
    </row>
    <row r="314" s="3" customFormat="1" ht="12" spans="1:8">
      <c r="A314" s="18" t="str">
        <f>"202301004"</f>
        <v>202301004</v>
      </c>
      <c r="B314" s="18" t="str">
        <f t="shared" si="51"/>
        <v>009</v>
      </c>
      <c r="C314" s="18" t="str">
        <f t="shared" si="58"/>
        <v>10</v>
      </c>
      <c r="D314" s="14" t="s">
        <v>10</v>
      </c>
      <c r="E314" s="14" t="s">
        <v>21</v>
      </c>
      <c r="F314" s="19">
        <v>66.67</v>
      </c>
      <c r="G314" s="20">
        <f>SUMPRODUCT(--((B314=$B$4:$B$717)*$F$4:$F$717&gt;F314))+1</f>
        <v>37</v>
      </c>
      <c r="H314" s="18" t="s">
        <v>13</v>
      </c>
    </row>
    <row r="315" s="3" customFormat="1" ht="12" spans="1:8">
      <c r="A315" s="18" t="str">
        <f>"202300828"</f>
        <v>202300828</v>
      </c>
      <c r="B315" s="18" t="str">
        <f t="shared" si="51"/>
        <v>009</v>
      </c>
      <c r="C315" s="18" t="str">
        <f>"08"</f>
        <v>08</v>
      </c>
      <c r="D315" s="14" t="s">
        <v>10</v>
      </c>
      <c r="E315" s="14" t="s">
        <v>21</v>
      </c>
      <c r="F315" s="19">
        <v>66.51</v>
      </c>
      <c r="G315" s="20">
        <f>SUMPRODUCT(--((B315=$B$4:$B$717)*$F$4:$F$717&gt;F315))+1</f>
        <v>38</v>
      </c>
      <c r="H315" s="18" t="s">
        <v>13</v>
      </c>
    </row>
    <row r="316" s="3" customFormat="1" ht="12" spans="1:8">
      <c r="A316" s="18" t="str">
        <f>"202301008"</f>
        <v>202301008</v>
      </c>
      <c r="B316" s="18" t="str">
        <f t="shared" si="51"/>
        <v>009</v>
      </c>
      <c r="C316" s="18" t="str">
        <f t="shared" ref="C316:C318" si="60">"10"</f>
        <v>10</v>
      </c>
      <c r="D316" s="14" t="s">
        <v>10</v>
      </c>
      <c r="E316" s="14" t="s">
        <v>21</v>
      </c>
      <c r="F316" s="19">
        <v>66</v>
      </c>
      <c r="G316" s="20">
        <f>SUMPRODUCT(--((B316=$B$4:$B$717)*$F$4:$F$717&gt;F316))+1</f>
        <v>39</v>
      </c>
      <c r="H316" s="18" t="s">
        <v>13</v>
      </c>
    </row>
    <row r="317" s="3" customFormat="1" ht="12" spans="1:8">
      <c r="A317" s="18" t="str">
        <f>"202301007"</f>
        <v>202301007</v>
      </c>
      <c r="B317" s="18" t="str">
        <f t="shared" si="51"/>
        <v>009</v>
      </c>
      <c r="C317" s="18" t="str">
        <f t="shared" si="60"/>
        <v>10</v>
      </c>
      <c r="D317" s="14" t="s">
        <v>10</v>
      </c>
      <c r="E317" s="14" t="s">
        <v>21</v>
      </c>
      <c r="F317" s="19">
        <v>64.91</v>
      </c>
      <c r="G317" s="20">
        <f>SUMPRODUCT(--((B317=$B$4:$B$717)*$F$4:$F$717&gt;F317))+1</f>
        <v>40</v>
      </c>
      <c r="H317" s="18" t="s">
        <v>13</v>
      </c>
    </row>
    <row r="318" s="3" customFormat="1" ht="12" spans="1:8">
      <c r="A318" s="18" t="str">
        <f>"202301009"</f>
        <v>202301009</v>
      </c>
      <c r="B318" s="18" t="str">
        <f t="shared" si="51"/>
        <v>009</v>
      </c>
      <c r="C318" s="18" t="str">
        <f t="shared" si="60"/>
        <v>10</v>
      </c>
      <c r="D318" s="14" t="s">
        <v>10</v>
      </c>
      <c r="E318" s="14" t="s">
        <v>21</v>
      </c>
      <c r="F318" s="19">
        <v>64.38</v>
      </c>
      <c r="G318" s="20">
        <f>SUMPRODUCT(--((B318=$B$4:$B$717)*$F$4:$F$717&gt;F318))+1</f>
        <v>41</v>
      </c>
      <c r="H318" s="18" t="s">
        <v>13</v>
      </c>
    </row>
    <row r="319" s="3" customFormat="1" ht="12" spans="1:8">
      <c r="A319" s="18" t="str">
        <f>"202300926"</f>
        <v>202300926</v>
      </c>
      <c r="B319" s="18" t="str">
        <f t="shared" si="51"/>
        <v>009</v>
      </c>
      <c r="C319" s="18" t="str">
        <f>"09"</f>
        <v>09</v>
      </c>
      <c r="D319" s="14" t="s">
        <v>10</v>
      </c>
      <c r="E319" s="14" t="s">
        <v>21</v>
      </c>
      <c r="F319" s="19">
        <v>61.68</v>
      </c>
      <c r="G319" s="20">
        <f>SUMPRODUCT(--((B319=$B$4:$B$717)*$F$4:$F$717&gt;F319))+1</f>
        <v>42</v>
      </c>
      <c r="H319" s="18" t="s">
        <v>13</v>
      </c>
    </row>
    <row r="320" s="3" customFormat="1" ht="12" spans="1:8">
      <c r="A320" s="18" t="str">
        <f>"202300817"</f>
        <v>202300817</v>
      </c>
      <c r="B320" s="18" t="str">
        <f t="shared" si="51"/>
        <v>009</v>
      </c>
      <c r="C320" s="18" t="str">
        <f t="shared" ref="C320:C327" si="61">"08"</f>
        <v>08</v>
      </c>
      <c r="D320" s="14" t="s">
        <v>10</v>
      </c>
      <c r="E320" s="14" t="s">
        <v>21</v>
      </c>
      <c r="F320" s="19">
        <v>60.6</v>
      </c>
      <c r="G320" s="20">
        <f>SUMPRODUCT(--((B320=$B$4:$B$717)*$F$4:$F$717&gt;F320))+1</f>
        <v>43</v>
      </c>
      <c r="H320" s="18" t="s">
        <v>13</v>
      </c>
    </row>
    <row r="321" s="3" customFormat="1" ht="12" spans="1:8">
      <c r="A321" s="18" t="str">
        <f>"202300918"</f>
        <v>202300918</v>
      </c>
      <c r="B321" s="18" t="str">
        <f t="shared" si="51"/>
        <v>009</v>
      </c>
      <c r="C321" s="18" t="str">
        <f>"09"</f>
        <v>09</v>
      </c>
      <c r="D321" s="14" t="s">
        <v>10</v>
      </c>
      <c r="E321" s="14" t="s">
        <v>21</v>
      </c>
      <c r="F321" s="19">
        <v>60.6</v>
      </c>
      <c r="G321" s="20">
        <f>SUMPRODUCT(--((B321=$B$4:$B$717)*$F$4:$F$717&gt;F321))+1</f>
        <v>43</v>
      </c>
      <c r="H321" s="18" t="s">
        <v>13</v>
      </c>
    </row>
    <row r="322" s="3" customFormat="1" ht="12" spans="1:8">
      <c r="A322" s="18" t="str">
        <f>"202301013"</f>
        <v>202301013</v>
      </c>
      <c r="B322" s="18" t="str">
        <f t="shared" si="51"/>
        <v>009</v>
      </c>
      <c r="C322" s="18" t="str">
        <f>"10"</f>
        <v>10</v>
      </c>
      <c r="D322" s="14" t="s">
        <v>10</v>
      </c>
      <c r="E322" s="14" t="s">
        <v>21</v>
      </c>
      <c r="F322" s="19">
        <v>59.09</v>
      </c>
      <c r="G322" s="20">
        <f>SUMPRODUCT(--((B322=$B$4:$B$717)*$F$4:$F$717&gt;F322))+1</f>
        <v>45</v>
      </c>
      <c r="H322" s="18" t="s">
        <v>13</v>
      </c>
    </row>
    <row r="323" s="3" customFormat="1" ht="12" spans="1:8">
      <c r="A323" s="18" t="str">
        <f>"202300819"</f>
        <v>202300819</v>
      </c>
      <c r="B323" s="18" t="str">
        <f t="shared" si="51"/>
        <v>009</v>
      </c>
      <c r="C323" s="18" t="str">
        <f t="shared" si="61"/>
        <v>08</v>
      </c>
      <c r="D323" s="14" t="s">
        <v>10</v>
      </c>
      <c r="E323" s="14" t="s">
        <v>21</v>
      </c>
      <c r="F323" s="19">
        <v>0</v>
      </c>
      <c r="G323" s="20">
        <f>SUMPRODUCT(--((B323=$B$4:$B$717)*$F$4:$F$717&gt;F323))+1</f>
        <v>46</v>
      </c>
      <c r="H323" s="18" t="s">
        <v>13</v>
      </c>
    </row>
    <row r="324" s="3" customFormat="1" ht="12" spans="1:8">
      <c r="A324" s="18" t="str">
        <f>"202300823"</f>
        <v>202300823</v>
      </c>
      <c r="B324" s="18" t="str">
        <f t="shared" si="51"/>
        <v>009</v>
      </c>
      <c r="C324" s="18" t="str">
        <f t="shared" si="61"/>
        <v>08</v>
      </c>
      <c r="D324" s="14" t="s">
        <v>10</v>
      </c>
      <c r="E324" s="14" t="s">
        <v>21</v>
      </c>
      <c r="F324" s="19">
        <v>0</v>
      </c>
      <c r="G324" s="20">
        <f>SUMPRODUCT(--((B324=$B$4:$B$717)*$F$4:$F$717&gt;F324))+1</f>
        <v>46</v>
      </c>
      <c r="H324" s="18" t="s">
        <v>13</v>
      </c>
    </row>
    <row r="325" s="3" customFormat="1" ht="12" spans="1:8">
      <c r="A325" s="18" t="str">
        <f>"202300825"</f>
        <v>202300825</v>
      </c>
      <c r="B325" s="18" t="str">
        <f t="shared" si="51"/>
        <v>009</v>
      </c>
      <c r="C325" s="18" t="str">
        <f t="shared" si="61"/>
        <v>08</v>
      </c>
      <c r="D325" s="14" t="s">
        <v>10</v>
      </c>
      <c r="E325" s="14" t="s">
        <v>21</v>
      </c>
      <c r="F325" s="19">
        <v>0</v>
      </c>
      <c r="G325" s="20">
        <f>SUMPRODUCT(--((B325=$B$4:$B$717)*$F$4:$F$717&gt;F325))+1</f>
        <v>46</v>
      </c>
      <c r="H325" s="18" t="s">
        <v>13</v>
      </c>
    </row>
    <row r="326" s="3" customFormat="1" ht="12" spans="1:8">
      <c r="A326" s="18" t="str">
        <f>"202300829"</f>
        <v>202300829</v>
      </c>
      <c r="B326" s="18" t="str">
        <f t="shared" si="51"/>
        <v>009</v>
      </c>
      <c r="C326" s="18" t="str">
        <f t="shared" si="61"/>
        <v>08</v>
      </c>
      <c r="D326" s="14" t="s">
        <v>10</v>
      </c>
      <c r="E326" s="14" t="s">
        <v>21</v>
      </c>
      <c r="F326" s="19">
        <v>0</v>
      </c>
      <c r="G326" s="20">
        <f>SUMPRODUCT(--((B326=$B$4:$B$717)*$F$4:$F$717&gt;F326))+1</f>
        <v>46</v>
      </c>
      <c r="H326" s="18" t="s">
        <v>13</v>
      </c>
    </row>
    <row r="327" s="3" customFormat="1" ht="12" spans="1:8">
      <c r="A327" s="18" t="str">
        <f>"202300830"</f>
        <v>202300830</v>
      </c>
      <c r="B327" s="18" t="str">
        <f t="shared" si="51"/>
        <v>009</v>
      </c>
      <c r="C327" s="18" t="str">
        <f t="shared" si="61"/>
        <v>08</v>
      </c>
      <c r="D327" s="14" t="s">
        <v>10</v>
      </c>
      <c r="E327" s="14" t="s">
        <v>21</v>
      </c>
      <c r="F327" s="19">
        <v>0</v>
      </c>
      <c r="G327" s="20">
        <f>SUMPRODUCT(--((B327=$B$4:$B$717)*$F$4:$F$717&gt;F327))+1</f>
        <v>46</v>
      </c>
      <c r="H327" s="18" t="s">
        <v>13</v>
      </c>
    </row>
    <row r="328" s="3" customFormat="1" ht="12" spans="1:8">
      <c r="A328" s="18" t="str">
        <f>"202300901"</f>
        <v>202300901</v>
      </c>
      <c r="B328" s="18" t="str">
        <f t="shared" si="51"/>
        <v>009</v>
      </c>
      <c r="C328" s="18" t="str">
        <f t="shared" ref="C328:C338" si="62">"09"</f>
        <v>09</v>
      </c>
      <c r="D328" s="14" t="s">
        <v>10</v>
      </c>
      <c r="E328" s="14" t="s">
        <v>21</v>
      </c>
      <c r="F328" s="19">
        <v>0</v>
      </c>
      <c r="G328" s="20">
        <f>SUMPRODUCT(--((B328=$B$4:$B$717)*$F$4:$F$717&gt;F328))+1</f>
        <v>46</v>
      </c>
      <c r="H328" s="18" t="s">
        <v>13</v>
      </c>
    </row>
    <row r="329" s="3" customFormat="1" ht="12" spans="1:8">
      <c r="A329" s="18" t="str">
        <f>"202300907"</f>
        <v>202300907</v>
      </c>
      <c r="B329" s="18" t="str">
        <f t="shared" si="51"/>
        <v>009</v>
      </c>
      <c r="C329" s="18" t="str">
        <f t="shared" si="62"/>
        <v>09</v>
      </c>
      <c r="D329" s="14" t="s">
        <v>10</v>
      </c>
      <c r="E329" s="14" t="s">
        <v>21</v>
      </c>
      <c r="F329" s="19">
        <v>0</v>
      </c>
      <c r="G329" s="20">
        <f>SUMPRODUCT(--((B329=$B$4:$B$717)*$F$4:$F$717&gt;F329))+1</f>
        <v>46</v>
      </c>
      <c r="H329" s="18" t="s">
        <v>13</v>
      </c>
    </row>
    <row r="330" s="3" customFormat="1" ht="12" spans="1:8">
      <c r="A330" s="18" t="str">
        <f>"202300909"</f>
        <v>202300909</v>
      </c>
      <c r="B330" s="18" t="str">
        <f t="shared" si="51"/>
        <v>009</v>
      </c>
      <c r="C330" s="18" t="str">
        <f t="shared" si="62"/>
        <v>09</v>
      </c>
      <c r="D330" s="14" t="s">
        <v>10</v>
      </c>
      <c r="E330" s="14" t="s">
        <v>21</v>
      </c>
      <c r="F330" s="19">
        <v>0</v>
      </c>
      <c r="G330" s="20">
        <f>SUMPRODUCT(--((B330=$B$4:$B$717)*$F$4:$F$717&gt;F330))+1</f>
        <v>46</v>
      </c>
      <c r="H330" s="18" t="s">
        <v>13</v>
      </c>
    </row>
    <row r="331" s="3" customFormat="1" ht="12" spans="1:8">
      <c r="A331" s="18" t="str">
        <f>"202300910"</f>
        <v>202300910</v>
      </c>
      <c r="B331" s="18" t="str">
        <f t="shared" si="51"/>
        <v>009</v>
      </c>
      <c r="C331" s="18" t="str">
        <f t="shared" si="62"/>
        <v>09</v>
      </c>
      <c r="D331" s="14" t="s">
        <v>10</v>
      </c>
      <c r="E331" s="14" t="s">
        <v>21</v>
      </c>
      <c r="F331" s="19">
        <v>0</v>
      </c>
      <c r="G331" s="20">
        <f>SUMPRODUCT(--((B331=$B$4:$B$717)*$F$4:$F$717&gt;F331))+1</f>
        <v>46</v>
      </c>
      <c r="H331" s="18" t="s">
        <v>13</v>
      </c>
    </row>
    <row r="332" s="3" customFormat="1" ht="12" spans="1:8">
      <c r="A332" s="18" t="str">
        <f>"202300912"</f>
        <v>202300912</v>
      </c>
      <c r="B332" s="18" t="str">
        <f t="shared" si="51"/>
        <v>009</v>
      </c>
      <c r="C332" s="18" t="str">
        <f t="shared" si="62"/>
        <v>09</v>
      </c>
      <c r="D332" s="14" t="s">
        <v>10</v>
      </c>
      <c r="E332" s="14" t="s">
        <v>21</v>
      </c>
      <c r="F332" s="19">
        <v>0</v>
      </c>
      <c r="G332" s="20">
        <f>SUMPRODUCT(--((B332=$B$4:$B$717)*$F$4:$F$717&gt;F332))+1</f>
        <v>46</v>
      </c>
      <c r="H332" s="18" t="s">
        <v>13</v>
      </c>
    </row>
    <row r="333" s="3" customFormat="1" ht="12" spans="1:8">
      <c r="A333" s="18" t="str">
        <f>"202300919"</f>
        <v>202300919</v>
      </c>
      <c r="B333" s="18" t="str">
        <f t="shared" si="51"/>
        <v>009</v>
      </c>
      <c r="C333" s="18" t="str">
        <f t="shared" si="62"/>
        <v>09</v>
      </c>
      <c r="D333" s="14" t="s">
        <v>10</v>
      </c>
      <c r="E333" s="14" t="s">
        <v>21</v>
      </c>
      <c r="F333" s="19">
        <v>0</v>
      </c>
      <c r="G333" s="20">
        <f>SUMPRODUCT(--((B333=$B$4:$B$717)*$F$4:$F$717&gt;F333))+1</f>
        <v>46</v>
      </c>
      <c r="H333" s="18" t="s">
        <v>13</v>
      </c>
    </row>
    <row r="334" s="3" customFormat="1" ht="12" spans="1:8">
      <c r="A334" s="18" t="str">
        <f>"202300921"</f>
        <v>202300921</v>
      </c>
      <c r="B334" s="18" t="str">
        <f t="shared" si="51"/>
        <v>009</v>
      </c>
      <c r="C334" s="18" t="str">
        <f t="shared" si="62"/>
        <v>09</v>
      </c>
      <c r="D334" s="14" t="s">
        <v>10</v>
      </c>
      <c r="E334" s="14" t="s">
        <v>21</v>
      </c>
      <c r="F334" s="19">
        <v>0</v>
      </c>
      <c r="G334" s="20">
        <f>SUMPRODUCT(--((B334=$B$4:$B$717)*$F$4:$F$717&gt;F334))+1</f>
        <v>46</v>
      </c>
      <c r="H334" s="18" t="s">
        <v>13</v>
      </c>
    </row>
    <row r="335" s="3" customFormat="1" ht="12" spans="1:8">
      <c r="A335" s="18" t="str">
        <f>"202300923"</f>
        <v>202300923</v>
      </c>
      <c r="B335" s="18" t="str">
        <f t="shared" si="51"/>
        <v>009</v>
      </c>
      <c r="C335" s="18" t="str">
        <f t="shared" si="62"/>
        <v>09</v>
      </c>
      <c r="D335" s="14" t="s">
        <v>10</v>
      </c>
      <c r="E335" s="14" t="s">
        <v>21</v>
      </c>
      <c r="F335" s="19">
        <v>0</v>
      </c>
      <c r="G335" s="20">
        <f>SUMPRODUCT(--((B335=$B$4:$B$717)*$F$4:$F$717&gt;F335))+1</f>
        <v>46</v>
      </c>
      <c r="H335" s="18" t="s">
        <v>13</v>
      </c>
    </row>
    <row r="336" s="3" customFormat="1" ht="12" spans="1:8">
      <c r="A336" s="18" t="str">
        <f>"202300927"</f>
        <v>202300927</v>
      </c>
      <c r="B336" s="18" t="str">
        <f t="shared" si="51"/>
        <v>009</v>
      </c>
      <c r="C336" s="18" t="str">
        <f t="shared" si="62"/>
        <v>09</v>
      </c>
      <c r="D336" s="14" t="s">
        <v>10</v>
      </c>
      <c r="E336" s="14" t="s">
        <v>21</v>
      </c>
      <c r="F336" s="19">
        <v>0</v>
      </c>
      <c r="G336" s="20">
        <f>SUMPRODUCT(--((B336=$B$4:$B$717)*$F$4:$F$717&gt;F336))+1</f>
        <v>46</v>
      </c>
      <c r="H336" s="18" t="s">
        <v>13</v>
      </c>
    </row>
    <row r="337" s="3" customFormat="1" ht="12" spans="1:8">
      <c r="A337" s="18" t="str">
        <f>"202300928"</f>
        <v>202300928</v>
      </c>
      <c r="B337" s="18" t="str">
        <f t="shared" si="51"/>
        <v>009</v>
      </c>
      <c r="C337" s="18" t="str">
        <f t="shared" si="62"/>
        <v>09</v>
      </c>
      <c r="D337" s="14" t="s">
        <v>10</v>
      </c>
      <c r="E337" s="14" t="s">
        <v>21</v>
      </c>
      <c r="F337" s="19">
        <v>0</v>
      </c>
      <c r="G337" s="20">
        <f>SUMPRODUCT(--((B337=$B$4:$B$717)*$F$4:$F$717&gt;F337))+1</f>
        <v>46</v>
      </c>
      <c r="H337" s="18" t="s">
        <v>13</v>
      </c>
    </row>
    <row r="338" s="3" customFormat="1" ht="12" spans="1:8">
      <c r="A338" s="18" t="str">
        <f>"202300930"</f>
        <v>202300930</v>
      </c>
      <c r="B338" s="18" t="str">
        <f t="shared" si="51"/>
        <v>009</v>
      </c>
      <c r="C338" s="18" t="str">
        <f t="shared" si="62"/>
        <v>09</v>
      </c>
      <c r="D338" s="14" t="s">
        <v>10</v>
      </c>
      <c r="E338" s="14" t="s">
        <v>21</v>
      </c>
      <c r="F338" s="19">
        <v>0</v>
      </c>
      <c r="G338" s="20">
        <f>SUMPRODUCT(--((B338=$B$4:$B$717)*$F$4:$F$717&gt;F338))+1</f>
        <v>46</v>
      </c>
      <c r="H338" s="18" t="s">
        <v>13</v>
      </c>
    </row>
    <row r="339" s="3" customFormat="1" ht="12" spans="1:8">
      <c r="A339" s="18" t="str">
        <f>"202301003"</f>
        <v>202301003</v>
      </c>
      <c r="B339" s="18" t="str">
        <f t="shared" si="51"/>
        <v>009</v>
      </c>
      <c r="C339" s="18" t="str">
        <f t="shared" ref="C339:C346" si="63">"10"</f>
        <v>10</v>
      </c>
      <c r="D339" s="14" t="s">
        <v>10</v>
      </c>
      <c r="E339" s="14" t="s">
        <v>21</v>
      </c>
      <c r="F339" s="19">
        <v>0</v>
      </c>
      <c r="G339" s="20">
        <f>SUMPRODUCT(--((B339=$B$4:$B$717)*$F$4:$F$717&gt;F339))+1</f>
        <v>46</v>
      </c>
      <c r="H339" s="18" t="s">
        <v>13</v>
      </c>
    </row>
    <row r="340" s="3" customFormat="1" ht="12" spans="1:8">
      <c r="A340" s="18" t="str">
        <f>"202301006"</f>
        <v>202301006</v>
      </c>
      <c r="B340" s="18" t="str">
        <f t="shared" si="51"/>
        <v>009</v>
      </c>
      <c r="C340" s="18" t="str">
        <f t="shared" si="63"/>
        <v>10</v>
      </c>
      <c r="D340" s="14" t="s">
        <v>10</v>
      </c>
      <c r="E340" s="14" t="s">
        <v>21</v>
      </c>
      <c r="F340" s="19">
        <v>0</v>
      </c>
      <c r="G340" s="20">
        <f>SUMPRODUCT(--((B340=$B$4:$B$717)*$F$4:$F$717&gt;F340))+1</f>
        <v>46</v>
      </c>
      <c r="H340" s="18" t="s">
        <v>13</v>
      </c>
    </row>
    <row r="341" s="3" customFormat="1" ht="12" spans="1:8">
      <c r="A341" s="18" t="str">
        <f>"202301012"</f>
        <v>202301012</v>
      </c>
      <c r="B341" s="18" t="str">
        <f t="shared" si="51"/>
        <v>009</v>
      </c>
      <c r="C341" s="18" t="str">
        <f t="shared" si="63"/>
        <v>10</v>
      </c>
      <c r="D341" s="14" t="s">
        <v>10</v>
      </c>
      <c r="E341" s="14" t="s">
        <v>21</v>
      </c>
      <c r="F341" s="19">
        <v>0</v>
      </c>
      <c r="G341" s="20">
        <f>SUMPRODUCT(--((B341=$B$4:$B$717)*$F$4:$F$717&gt;F341))+1</f>
        <v>46</v>
      </c>
      <c r="H341" s="18" t="s">
        <v>13</v>
      </c>
    </row>
    <row r="342" s="3" customFormat="1" ht="12" spans="1:8">
      <c r="A342" s="18" t="str">
        <f>"202301015"</f>
        <v>202301015</v>
      </c>
      <c r="B342" s="18" t="str">
        <f t="shared" ref="B342:B346" si="64">"009"</f>
        <v>009</v>
      </c>
      <c r="C342" s="18" t="str">
        <f t="shared" si="63"/>
        <v>10</v>
      </c>
      <c r="D342" s="14" t="s">
        <v>10</v>
      </c>
      <c r="E342" s="14" t="s">
        <v>21</v>
      </c>
      <c r="F342" s="19">
        <v>0</v>
      </c>
      <c r="G342" s="20">
        <f>SUMPRODUCT(--((B342=$B$4:$B$717)*$F$4:$F$717&gt;F342))+1</f>
        <v>46</v>
      </c>
      <c r="H342" s="18" t="s">
        <v>13</v>
      </c>
    </row>
    <row r="343" s="3" customFormat="1" ht="12" spans="1:8">
      <c r="A343" s="18" t="str">
        <f>"202301017"</f>
        <v>202301017</v>
      </c>
      <c r="B343" s="18" t="str">
        <f t="shared" si="64"/>
        <v>009</v>
      </c>
      <c r="C343" s="18" t="str">
        <f t="shared" si="63"/>
        <v>10</v>
      </c>
      <c r="D343" s="14" t="s">
        <v>10</v>
      </c>
      <c r="E343" s="14" t="s">
        <v>21</v>
      </c>
      <c r="F343" s="19">
        <v>0</v>
      </c>
      <c r="G343" s="20">
        <f>SUMPRODUCT(--((B343=$B$4:$B$717)*$F$4:$F$717&gt;F343))+1</f>
        <v>46</v>
      </c>
      <c r="H343" s="18" t="s">
        <v>13</v>
      </c>
    </row>
    <row r="344" s="3" customFormat="1" ht="12" spans="1:8">
      <c r="A344" s="18" t="str">
        <f>"202301019"</f>
        <v>202301019</v>
      </c>
      <c r="B344" s="18" t="str">
        <f t="shared" si="64"/>
        <v>009</v>
      </c>
      <c r="C344" s="18" t="str">
        <f t="shared" si="63"/>
        <v>10</v>
      </c>
      <c r="D344" s="14" t="s">
        <v>10</v>
      </c>
      <c r="E344" s="14" t="s">
        <v>21</v>
      </c>
      <c r="F344" s="19">
        <v>0</v>
      </c>
      <c r="G344" s="20">
        <f>SUMPRODUCT(--((B344=$B$4:$B$717)*$F$4:$F$717&gt;F344))+1</f>
        <v>46</v>
      </c>
      <c r="H344" s="18" t="s">
        <v>13</v>
      </c>
    </row>
    <row r="345" s="3" customFormat="1" ht="12" spans="1:8">
      <c r="A345" s="18" t="str">
        <f>"202301020"</f>
        <v>202301020</v>
      </c>
      <c r="B345" s="18" t="str">
        <f t="shared" si="64"/>
        <v>009</v>
      </c>
      <c r="C345" s="18" t="str">
        <f t="shared" si="63"/>
        <v>10</v>
      </c>
      <c r="D345" s="14" t="s">
        <v>10</v>
      </c>
      <c r="E345" s="14" t="s">
        <v>21</v>
      </c>
      <c r="F345" s="19">
        <v>0</v>
      </c>
      <c r="G345" s="20">
        <f>SUMPRODUCT(--((B345=$B$4:$B$717)*$F$4:$F$717&gt;F345))+1</f>
        <v>46</v>
      </c>
      <c r="H345" s="18" t="s">
        <v>13</v>
      </c>
    </row>
    <row r="346" s="3" customFormat="1" ht="12" spans="1:8">
      <c r="A346" s="18" t="str">
        <f>"202301021"</f>
        <v>202301021</v>
      </c>
      <c r="B346" s="18" t="str">
        <f t="shared" si="64"/>
        <v>009</v>
      </c>
      <c r="C346" s="18" t="str">
        <f t="shared" si="63"/>
        <v>10</v>
      </c>
      <c r="D346" s="14" t="s">
        <v>10</v>
      </c>
      <c r="E346" s="14" t="s">
        <v>21</v>
      </c>
      <c r="F346" s="19">
        <v>0</v>
      </c>
      <c r="G346" s="20">
        <f>SUMPRODUCT(--((B346=$B$4:$B$717)*$F$4:$F$717&gt;F346))+1</f>
        <v>46</v>
      </c>
      <c r="H346" s="18" t="s">
        <v>13</v>
      </c>
    </row>
    <row r="347" s="3" customFormat="1" ht="12" spans="1:8">
      <c r="A347" s="14" t="str">
        <f>"202301522"</f>
        <v>202301522</v>
      </c>
      <c r="B347" s="14" t="str">
        <f t="shared" ref="B347:B372" si="65">"010"</f>
        <v>010</v>
      </c>
      <c r="C347" s="14" t="str">
        <f t="shared" ref="C347:C372" si="66">"15"</f>
        <v>15</v>
      </c>
      <c r="D347" s="14" t="s">
        <v>22</v>
      </c>
      <c r="E347" s="14" t="s">
        <v>23</v>
      </c>
      <c r="F347" s="16">
        <v>74.45</v>
      </c>
      <c r="G347" s="17">
        <f>SUMPRODUCT(--((B347=$B$4:$B$717)*$F$4:$F$717&gt;F347))+1</f>
        <v>1</v>
      </c>
      <c r="H347" s="18" t="s">
        <v>12</v>
      </c>
    </row>
    <row r="348" s="3" customFormat="1" ht="12" spans="1:8">
      <c r="A348" s="14" t="str">
        <f>"202301526"</f>
        <v>202301526</v>
      </c>
      <c r="B348" s="14" t="str">
        <f t="shared" si="65"/>
        <v>010</v>
      </c>
      <c r="C348" s="14" t="str">
        <f t="shared" si="66"/>
        <v>15</v>
      </c>
      <c r="D348" s="14" t="s">
        <v>22</v>
      </c>
      <c r="E348" s="14" t="s">
        <v>23</v>
      </c>
      <c r="F348" s="16">
        <v>64.77</v>
      </c>
      <c r="G348" s="17">
        <f>SUMPRODUCT(--((B348=$B$4:$B$717)*$F$4:$F$717&gt;F348))+1</f>
        <v>2</v>
      </c>
      <c r="H348" s="18" t="s">
        <v>12</v>
      </c>
    </row>
    <row r="349" s="3" customFormat="1" ht="12" spans="1:8">
      <c r="A349" s="14" t="str">
        <f>"202301507"</f>
        <v>202301507</v>
      </c>
      <c r="B349" s="14" t="str">
        <f t="shared" si="65"/>
        <v>010</v>
      </c>
      <c r="C349" s="14" t="str">
        <f t="shared" si="66"/>
        <v>15</v>
      </c>
      <c r="D349" s="14" t="s">
        <v>22</v>
      </c>
      <c r="E349" s="14" t="s">
        <v>23</v>
      </c>
      <c r="F349" s="16">
        <v>63.35</v>
      </c>
      <c r="G349" s="17">
        <f>SUMPRODUCT(--((B349=$B$4:$B$717)*$F$4:$F$717&gt;F349))+1</f>
        <v>3</v>
      </c>
      <c r="H349" s="18" t="s">
        <v>12</v>
      </c>
    </row>
    <row r="350" s="3" customFormat="1" ht="12" spans="1:8">
      <c r="A350" s="14" t="str">
        <f>"202301528"</f>
        <v>202301528</v>
      </c>
      <c r="B350" s="14" t="str">
        <f t="shared" si="65"/>
        <v>010</v>
      </c>
      <c r="C350" s="14" t="str">
        <f t="shared" si="66"/>
        <v>15</v>
      </c>
      <c r="D350" s="14" t="s">
        <v>22</v>
      </c>
      <c r="E350" s="14" t="s">
        <v>23</v>
      </c>
      <c r="F350" s="16">
        <v>63.35</v>
      </c>
      <c r="G350" s="17">
        <f>SUMPRODUCT(--((B350=$B$4:$B$717)*$F$4:$F$717&gt;F350))+1</f>
        <v>3</v>
      </c>
      <c r="H350" s="18" t="s">
        <v>12</v>
      </c>
    </row>
    <row r="351" s="3" customFormat="1" ht="12" spans="1:8">
      <c r="A351" s="14" t="str">
        <f>"202301521"</f>
        <v>202301521</v>
      </c>
      <c r="B351" s="14" t="str">
        <f t="shared" si="65"/>
        <v>010</v>
      </c>
      <c r="C351" s="14" t="str">
        <f t="shared" si="66"/>
        <v>15</v>
      </c>
      <c r="D351" s="14" t="s">
        <v>22</v>
      </c>
      <c r="E351" s="14" t="s">
        <v>23</v>
      </c>
      <c r="F351" s="16">
        <v>63.01</v>
      </c>
      <c r="G351" s="17">
        <f>SUMPRODUCT(--((B351=$B$4:$B$717)*$F$4:$F$717&gt;F351))+1</f>
        <v>5</v>
      </c>
      <c r="H351" s="18" t="s">
        <v>12</v>
      </c>
    </row>
    <row r="352" s="3" customFormat="1" ht="12" spans="1:8">
      <c r="A352" s="14" t="str">
        <f>"202301508"</f>
        <v>202301508</v>
      </c>
      <c r="B352" s="14" t="str">
        <f t="shared" si="65"/>
        <v>010</v>
      </c>
      <c r="C352" s="14" t="str">
        <f t="shared" si="66"/>
        <v>15</v>
      </c>
      <c r="D352" s="14" t="s">
        <v>22</v>
      </c>
      <c r="E352" s="14" t="s">
        <v>23</v>
      </c>
      <c r="F352" s="16">
        <v>62.11</v>
      </c>
      <c r="G352" s="17">
        <f>SUMPRODUCT(--((B352=$B$4:$B$717)*$F$4:$F$717&gt;F352))+1</f>
        <v>6</v>
      </c>
      <c r="H352" s="18" t="s">
        <v>12</v>
      </c>
    </row>
    <row r="353" s="3" customFormat="1" ht="12" spans="1:8">
      <c r="A353" s="14" t="str">
        <f>"202301513"</f>
        <v>202301513</v>
      </c>
      <c r="B353" s="14" t="str">
        <f t="shared" si="65"/>
        <v>010</v>
      </c>
      <c r="C353" s="14" t="str">
        <f t="shared" si="66"/>
        <v>15</v>
      </c>
      <c r="D353" s="14" t="s">
        <v>22</v>
      </c>
      <c r="E353" s="14" t="s">
        <v>23</v>
      </c>
      <c r="F353" s="16">
        <v>61.46</v>
      </c>
      <c r="G353" s="17">
        <f>SUMPRODUCT(--((B353=$B$4:$B$717)*$F$4:$F$717&gt;F353))+1</f>
        <v>7</v>
      </c>
      <c r="H353" s="18" t="s">
        <v>12</v>
      </c>
    </row>
    <row r="354" s="3" customFormat="1" ht="12" spans="1:8">
      <c r="A354" s="14" t="str">
        <f>"202301520"</f>
        <v>202301520</v>
      </c>
      <c r="B354" s="14" t="str">
        <f t="shared" si="65"/>
        <v>010</v>
      </c>
      <c r="C354" s="14" t="str">
        <f t="shared" si="66"/>
        <v>15</v>
      </c>
      <c r="D354" s="14" t="s">
        <v>22</v>
      </c>
      <c r="E354" s="14" t="s">
        <v>23</v>
      </c>
      <c r="F354" s="16">
        <v>61.33</v>
      </c>
      <c r="G354" s="17">
        <f>SUMPRODUCT(--((B354=$B$4:$B$717)*$F$4:$F$717&gt;F354))+1</f>
        <v>8</v>
      </c>
      <c r="H354" s="18" t="s">
        <v>12</v>
      </c>
    </row>
    <row r="355" s="3" customFormat="1" ht="12" spans="1:8">
      <c r="A355" s="14" t="str">
        <f>"202301529"</f>
        <v>202301529</v>
      </c>
      <c r="B355" s="14" t="str">
        <f t="shared" si="65"/>
        <v>010</v>
      </c>
      <c r="C355" s="14" t="str">
        <f t="shared" si="66"/>
        <v>15</v>
      </c>
      <c r="D355" s="14" t="s">
        <v>22</v>
      </c>
      <c r="E355" s="14" t="s">
        <v>23</v>
      </c>
      <c r="F355" s="16">
        <v>61.04</v>
      </c>
      <c r="G355" s="17">
        <f>SUMPRODUCT(--((B355=$B$4:$B$717)*$F$4:$F$717&gt;F355))+1</f>
        <v>9</v>
      </c>
      <c r="H355" s="18" t="s">
        <v>12</v>
      </c>
    </row>
    <row r="356" s="3" customFormat="1" ht="12" spans="1:8">
      <c r="A356" s="18" t="str">
        <f>"202301518"</f>
        <v>202301518</v>
      </c>
      <c r="B356" s="18" t="str">
        <f t="shared" si="65"/>
        <v>010</v>
      </c>
      <c r="C356" s="18" t="str">
        <f t="shared" si="66"/>
        <v>15</v>
      </c>
      <c r="D356" s="14" t="s">
        <v>22</v>
      </c>
      <c r="E356" s="14" t="s">
        <v>23</v>
      </c>
      <c r="F356" s="19">
        <v>60.52</v>
      </c>
      <c r="G356" s="20">
        <f>SUMPRODUCT(--((B356=$B$4:$B$717)*$F$4:$F$717&gt;F356))+1</f>
        <v>10</v>
      </c>
      <c r="H356" s="18" t="s">
        <v>13</v>
      </c>
    </row>
    <row r="357" s="3" customFormat="1" ht="12" spans="1:8">
      <c r="A357" s="18" t="str">
        <f>"202301515"</f>
        <v>202301515</v>
      </c>
      <c r="B357" s="18" t="str">
        <f t="shared" si="65"/>
        <v>010</v>
      </c>
      <c r="C357" s="18" t="str">
        <f t="shared" si="66"/>
        <v>15</v>
      </c>
      <c r="D357" s="14" t="s">
        <v>22</v>
      </c>
      <c r="E357" s="14" t="s">
        <v>23</v>
      </c>
      <c r="F357" s="19">
        <v>59.44</v>
      </c>
      <c r="G357" s="20">
        <f>SUMPRODUCT(--((B357=$B$4:$B$717)*$F$4:$F$717&gt;F357))+1</f>
        <v>11</v>
      </c>
      <c r="H357" s="18" t="s">
        <v>13</v>
      </c>
    </row>
    <row r="358" s="3" customFormat="1" ht="12" spans="1:8">
      <c r="A358" s="18" t="str">
        <f>"202301512"</f>
        <v>202301512</v>
      </c>
      <c r="B358" s="18" t="str">
        <f t="shared" si="65"/>
        <v>010</v>
      </c>
      <c r="C358" s="18" t="str">
        <f t="shared" si="66"/>
        <v>15</v>
      </c>
      <c r="D358" s="14" t="s">
        <v>22</v>
      </c>
      <c r="E358" s="14" t="s">
        <v>23</v>
      </c>
      <c r="F358" s="19">
        <v>58.49</v>
      </c>
      <c r="G358" s="20">
        <f>SUMPRODUCT(--((B358=$B$4:$B$717)*$F$4:$F$717&gt;F358))+1</f>
        <v>12</v>
      </c>
      <c r="H358" s="18" t="s">
        <v>13</v>
      </c>
    </row>
    <row r="359" s="3" customFormat="1" ht="12" spans="1:8">
      <c r="A359" s="18" t="str">
        <f>"202301524"</f>
        <v>202301524</v>
      </c>
      <c r="B359" s="18" t="str">
        <f t="shared" si="65"/>
        <v>010</v>
      </c>
      <c r="C359" s="18" t="str">
        <f t="shared" si="66"/>
        <v>15</v>
      </c>
      <c r="D359" s="14" t="s">
        <v>22</v>
      </c>
      <c r="E359" s="14" t="s">
        <v>23</v>
      </c>
      <c r="F359" s="19">
        <v>56.34</v>
      </c>
      <c r="G359" s="20">
        <f>SUMPRODUCT(--((B359=$B$4:$B$717)*$F$4:$F$717&gt;F359))+1</f>
        <v>13</v>
      </c>
      <c r="H359" s="18" t="s">
        <v>13</v>
      </c>
    </row>
    <row r="360" s="3" customFormat="1" ht="12" spans="1:8">
      <c r="A360" s="18" t="str">
        <f>"202301510"</f>
        <v>202301510</v>
      </c>
      <c r="B360" s="18" t="str">
        <f t="shared" si="65"/>
        <v>010</v>
      </c>
      <c r="C360" s="18" t="str">
        <f t="shared" si="66"/>
        <v>15</v>
      </c>
      <c r="D360" s="14" t="s">
        <v>22</v>
      </c>
      <c r="E360" s="14" t="s">
        <v>23</v>
      </c>
      <c r="F360" s="19">
        <v>55.68</v>
      </c>
      <c r="G360" s="20">
        <f>SUMPRODUCT(--((B360=$B$4:$B$717)*$F$4:$F$717&gt;F360))+1</f>
        <v>14</v>
      </c>
      <c r="H360" s="18" t="s">
        <v>13</v>
      </c>
    </row>
    <row r="361" s="3" customFormat="1" ht="12" spans="1:8">
      <c r="A361" s="18" t="str">
        <f>"202301516"</f>
        <v>202301516</v>
      </c>
      <c r="B361" s="18" t="str">
        <f t="shared" si="65"/>
        <v>010</v>
      </c>
      <c r="C361" s="18" t="str">
        <f t="shared" si="66"/>
        <v>15</v>
      </c>
      <c r="D361" s="14" t="s">
        <v>22</v>
      </c>
      <c r="E361" s="14" t="s">
        <v>23</v>
      </c>
      <c r="F361" s="19">
        <v>54.54</v>
      </c>
      <c r="G361" s="20">
        <f>SUMPRODUCT(--((B361=$B$4:$B$717)*$F$4:$F$717&gt;F361))+1</f>
        <v>15</v>
      </c>
      <c r="H361" s="18" t="s">
        <v>13</v>
      </c>
    </row>
    <row r="362" s="3" customFormat="1" ht="12" spans="1:8">
      <c r="A362" s="18" t="str">
        <f>"202301519"</f>
        <v>202301519</v>
      </c>
      <c r="B362" s="18" t="str">
        <f t="shared" si="65"/>
        <v>010</v>
      </c>
      <c r="C362" s="18" t="str">
        <f t="shared" si="66"/>
        <v>15</v>
      </c>
      <c r="D362" s="14" t="s">
        <v>22</v>
      </c>
      <c r="E362" s="14" t="s">
        <v>23</v>
      </c>
      <c r="F362" s="19">
        <v>51</v>
      </c>
      <c r="G362" s="20">
        <f>SUMPRODUCT(--((B362=$B$4:$B$717)*$F$4:$F$717&gt;F362))+1</f>
        <v>16</v>
      </c>
      <c r="H362" s="18" t="s">
        <v>13</v>
      </c>
    </row>
    <row r="363" s="3" customFormat="1" ht="12" spans="1:8">
      <c r="A363" s="18" t="str">
        <f>"202301527"</f>
        <v>202301527</v>
      </c>
      <c r="B363" s="18" t="str">
        <f t="shared" si="65"/>
        <v>010</v>
      </c>
      <c r="C363" s="18" t="str">
        <f t="shared" si="66"/>
        <v>15</v>
      </c>
      <c r="D363" s="14" t="s">
        <v>22</v>
      </c>
      <c r="E363" s="14" t="s">
        <v>23</v>
      </c>
      <c r="F363" s="19">
        <v>47.61</v>
      </c>
      <c r="G363" s="20">
        <f>SUMPRODUCT(--((B363=$B$4:$B$717)*$F$4:$F$717&gt;F363))+1</f>
        <v>17</v>
      </c>
      <c r="H363" s="18" t="s">
        <v>13</v>
      </c>
    </row>
    <row r="364" s="3" customFormat="1" ht="12" spans="1:8">
      <c r="A364" s="18" t="str">
        <f>"202301504"</f>
        <v>202301504</v>
      </c>
      <c r="B364" s="18" t="str">
        <f t="shared" si="65"/>
        <v>010</v>
      </c>
      <c r="C364" s="18" t="str">
        <f t="shared" si="66"/>
        <v>15</v>
      </c>
      <c r="D364" s="14" t="s">
        <v>22</v>
      </c>
      <c r="E364" s="14" t="s">
        <v>23</v>
      </c>
      <c r="F364" s="19">
        <v>0</v>
      </c>
      <c r="G364" s="20">
        <f>SUMPRODUCT(--((B364=$B$4:$B$717)*$F$4:$F$717&gt;F364))+1</f>
        <v>18</v>
      </c>
      <c r="H364" s="18" t="s">
        <v>13</v>
      </c>
    </row>
    <row r="365" s="3" customFormat="1" ht="12" spans="1:8">
      <c r="A365" s="18" t="str">
        <f>"202301505"</f>
        <v>202301505</v>
      </c>
      <c r="B365" s="18" t="str">
        <f t="shared" si="65"/>
        <v>010</v>
      </c>
      <c r="C365" s="18" t="str">
        <f t="shared" si="66"/>
        <v>15</v>
      </c>
      <c r="D365" s="14" t="s">
        <v>22</v>
      </c>
      <c r="E365" s="14" t="s">
        <v>23</v>
      </c>
      <c r="F365" s="19">
        <v>0</v>
      </c>
      <c r="G365" s="20">
        <f>SUMPRODUCT(--((B365=$B$4:$B$717)*$F$4:$F$717&gt;F365))+1</f>
        <v>18</v>
      </c>
      <c r="H365" s="18" t="s">
        <v>13</v>
      </c>
    </row>
    <row r="366" s="3" customFormat="1" ht="12" spans="1:8">
      <c r="A366" s="18" t="str">
        <f>"202301506"</f>
        <v>202301506</v>
      </c>
      <c r="B366" s="18" t="str">
        <f t="shared" si="65"/>
        <v>010</v>
      </c>
      <c r="C366" s="18" t="str">
        <f t="shared" si="66"/>
        <v>15</v>
      </c>
      <c r="D366" s="14" t="s">
        <v>22</v>
      </c>
      <c r="E366" s="14" t="s">
        <v>23</v>
      </c>
      <c r="F366" s="19">
        <v>0</v>
      </c>
      <c r="G366" s="20">
        <f>SUMPRODUCT(--((B366=$B$4:$B$717)*$F$4:$F$717&gt;F366))+1</f>
        <v>18</v>
      </c>
      <c r="H366" s="18" t="s">
        <v>13</v>
      </c>
    </row>
    <row r="367" s="3" customFormat="1" ht="12" spans="1:8">
      <c r="A367" s="18" t="str">
        <f>"202301509"</f>
        <v>202301509</v>
      </c>
      <c r="B367" s="18" t="str">
        <f t="shared" si="65"/>
        <v>010</v>
      </c>
      <c r="C367" s="18" t="str">
        <f t="shared" si="66"/>
        <v>15</v>
      </c>
      <c r="D367" s="14" t="s">
        <v>22</v>
      </c>
      <c r="E367" s="14" t="s">
        <v>23</v>
      </c>
      <c r="F367" s="19">
        <v>0</v>
      </c>
      <c r="G367" s="20">
        <f>SUMPRODUCT(--((B367=$B$4:$B$717)*$F$4:$F$717&gt;F367))+1</f>
        <v>18</v>
      </c>
      <c r="H367" s="18" t="s">
        <v>13</v>
      </c>
    </row>
    <row r="368" s="3" customFormat="1" ht="12" spans="1:8">
      <c r="A368" s="18" t="str">
        <f>"202301511"</f>
        <v>202301511</v>
      </c>
      <c r="B368" s="18" t="str">
        <f t="shared" si="65"/>
        <v>010</v>
      </c>
      <c r="C368" s="18" t="str">
        <f t="shared" si="66"/>
        <v>15</v>
      </c>
      <c r="D368" s="14" t="s">
        <v>22</v>
      </c>
      <c r="E368" s="14" t="s">
        <v>23</v>
      </c>
      <c r="F368" s="19">
        <v>0</v>
      </c>
      <c r="G368" s="20">
        <f>SUMPRODUCT(--((B368=$B$4:$B$717)*$F$4:$F$717&gt;F368))+1</f>
        <v>18</v>
      </c>
      <c r="H368" s="18" t="s">
        <v>13</v>
      </c>
    </row>
    <row r="369" s="3" customFormat="1" ht="12" spans="1:8">
      <c r="A369" s="18" t="str">
        <f>"202301514"</f>
        <v>202301514</v>
      </c>
      <c r="B369" s="18" t="str">
        <f t="shared" si="65"/>
        <v>010</v>
      </c>
      <c r="C369" s="18" t="str">
        <f t="shared" si="66"/>
        <v>15</v>
      </c>
      <c r="D369" s="14" t="s">
        <v>22</v>
      </c>
      <c r="E369" s="14" t="s">
        <v>23</v>
      </c>
      <c r="F369" s="19">
        <v>0</v>
      </c>
      <c r="G369" s="20">
        <f>SUMPRODUCT(--((B369=$B$4:$B$717)*$F$4:$F$717&gt;F369))+1</f>
        <v>18</v>
      </c>
      <c r="H369" s="18" t="s">
        <v>13</v>
      </c>
    </row>
    <row r="370" s="3" customFormat="1" ht="12" spans="1:8">
      <c r="A370" s="18" t="str">
        <f>"202301517"</f>
        <v>202301517</v>
      </c>
      <c r="B370" s="18" t="str">
        <f t="shared" si="65"/>
        <v>010</v>
      </c>
      <c r="C370" s="18" t="str">
        <f t="shared" si="66"/>
        <v>15</v>
      </c>
      <c r="D370" s="14" t="s">
        <v>22</v>
      </c>
      <c r="E370" s="14" t="s">
        <v>23</v>
      </c>
      <c r="F370" s="19">
        <v>0</v>
      </c>
      <c r="G370" s="20">
        <f>SUMPRODUCT(--((B370=$B$4:$B$717)*$F$4:$F$717&gt;F370))+1</f>
        <v>18</v>
      </c>
      <c r="H370" s="18" t="s">
        <v>13</v>
      </c>
    </row>
    <row r="371" s="3" customFormat="1" ht="12" spans="1:8">
      <c r="A371" s="18" t="str">
        <f>"202301523"</f>
        <v>202301523</v>
      </c>
      <c r="B371" s="18" t="str">
        <f t="shared" si="65"/>
        <v>010</v>
      </c>
      <c r="C371" s="18" t="str">
        <f t="shared" si="66"/>
        <v>15</v>
      </c>
      <c r="D371" s="14" t="s">
        <v>22</v>
      </c>
      <c r="E371" s="14" t="s">
        <v>23</v>
      </c>
      <c r="F371" s="19">
        <v>0</v>
      </c>
      <c r="G371" s="20">
        <f>SUMPRODUCT(--((B371=$B$4:$B$717)*$F$4:$F$717&gt;F371))+1</f>
        <v>18</v>
      </c>
      <c r="H371" s="18" t="s">
        <v>13</v>
      </c>
    </row>
    <row r="372" s="3" customFormat="1" ht="12" spans="1:8">
      <c r="A372" s="18" t="str">
        <f>"202301525"</f>
        <v>202301525</v>
      </c>
      <c r="B372" s="18" t="str">
        <f t="shared" si="65"/>
        <v>010</v>
      </c>
      <c r="C372" s="18" t="str">
        <f t="shared" si="66"/>
        <v>15</v>
      </c>
      <c r="D372" s="14" t="s">
        <v>22</v>
      </c>
      <c r="E372" s="14" t="s">
        <v>23</v>
      </c>
      <c r="F372" s="19">
        <v>0</v>
      </c>
      <c r="G372" s="20">
        <f>SUMPRODUCT(--((B372=$B$4:$B$717)*$F$4:$F$717&gt;F372))+1</f>
        <v>18</v>
      </c>
      <c r="H372" s="18" t="s">
        <v>13</v>
      </c>
    </row>
    <row r="373" s="3" customFormat="1" ht="12" spans="1:8">
      <c r="A373" s="14" t="str">
        <f>"202301601"</f>
        <v>202301601</v>
      </c>
      <c r="B373" s="14" t="str">
        <f t="shared" ref="B373:B375" si="67">"011"</f>
        <v>011</v>
      </c>
      <c r="C373" s="14" t="str">
        <f t="shared" ref="C373:C375" si="68">"16"</f>
        <v>16</v>
      </c>
      <c r="D373" s="14" t="s">
        <v>24</v>
      </c>
      <c r="E373" s="14" t="s">
        <v>25</v>
      </c>
      <c r="F373" s="16">
        <v>72.9</v>
      </c>
      <c r="G373" s="17">
        <f>SUMPRODUCT(--((B373=$B$4:$B$717)*$F$4:$F$717&gt;F373))+1</f>
        <v>1</v>
      </c>
      <c r="H373" s="18" t="s">
        <v>12</v>
      </c>
    </row>
    <row r="374" s="3" customFormat="1" ht="12" spans="1:8">
      <c r="A374" s="14" t="str">
        <f>"202301603"</f>
        <v>202301603</v>
      </c>
      <c r="B374" s="14" t="str">
        <f t="shared" si="67"/>
        <v>011</v>
      </c>
      <c r="C374" s="14" t="str">
        <f t="shared" si="68"/>
        <v>16</v>
      </c>
      <c r="D374" s="14" t="s">
        <v>24</v>
      </c>
      <c r="E374" s="14" t="s">
        <v>25</v>
      </c>
      <c r="F374" s="16">
        <v>65.5</v>
      </c>
      <c r="G374" s="17">
        <f>SUMPRODUCT(--((B374=$B$4:$B$717)*$F$4:$F$717&gt;F374))+1</f>
        <v>2</v>
      </c>
      <c r="H374" s="18" t="s">
        <v>12</v>
      </c>
    </row>
    <row r="375" s="3" customFormat="1" ht="12" spans="1:8">
      <c r="A375" s="14" t="str">
        <f>"202301602"</f>
        <v>202301602</v>
      </c>
      <c r="B375" s="14" t="str">
        <f t="shared" si="67"/>
        <v>011</v>
      </c>
      <c r="C375" s="14" t="str">
        <f t="shared" si="68"/>
        <v>16</v>
      </c>
      <c r="D375" s="14" t="s">
        <v>24</v>
      </c>
      <c r="E375" s="14" t="s">
        <v>25</v>
      </c>
      <c r="F375" s="16">
        <v>53.01</v>
      </c>
      <c r="G375" s="17">
        <f>SUMPRODUCT(--((B375=$B$4:$B$717)*$F$4:$F$717&gt;F375))+1</f>
        <v>3</v>
      </c>
      <c r="H375" s="18" t="s">
        <v>12</v>
      </c>
    </row>
    <row r="376" s="3" customFormat="1" ht="12" spans="1:8">
      <c r="A376" s="14" t="str">
        <f>"202301030"</f>
        <v>202301030</v>
      </c>
      <c r="B376" s="14" t="str">
        <f>"012"</f>
        <v>012</v>
      </c>
      <c r="C376" s="14" t="str">
        <f>"10"</f>
        <v>10</v>
      </c>
      <c r="D376" s="14" t="s">
        <v>24</v>
      </c>
      <c r="E376" s="14" t="s">
        <v>26</v>
      </c>
      <c r="F376" s="16">
        <v>63.57</v>
      </c>
      <c r="G376" s="17">
        <f>SUMPRODUCT(--((B376=$B$4:$B$717)*$F$4:$F$717&gt;F376))+1</f>
        <v>1</v>
      </c>
      <c r="H376" s="18" t="s">
        <v>12</v>
      </c>
    </row>
    <row r="377" s="3" customFormat="1" ht="12" spans="1:8">
      <c r="A377" s="18" t="str">
        <f>"202301029"</f>
        <v>202301029</v>
      </c>
      <c r="B377" s="18" t="str">
        <f>"012"</f>
        <v>012</v>
      </c>
      <c r="C377" s="18" t="str">
        <f>"10"</f>
        <v>10</v>
      </c>
      <c r="D377" s="14" t="s">
        <v>24</v>
      </c>
      <c r="E377" s="18" t="s">
        <v>26</v>
      </c>
      <c r="F377" s="19">
        <v>0</v>
      </c>
      <c r="G377" s="20">
        <f>SUMPRODUCT(--((B377=$B$4:$B$717)*$F$4:$F$717&gt;F377))+1</f>
        <v>2</v>
      </c>
      <c r="H377" s="18" t="s">
        <v>13</v>
      </c>
    </row>
    <row r="378" s="3" customFormat="1" ht="12" spans="1:8">
      <c r="A378" s="14" t="str">
        <f>"202300523"</f>
        <v>202300523</v>
      </c>
      <c r="B378" s="14" t="str">
        <f t="shared" ref="B378:B429" si="69">"013"</f>
        <v>013</v>
      </c>
      <c r="C378" s="14" t="str">
        <f>"05"</f>
        <v>05</v>
      </c>
      <c r="D378" s="14" t="s">
        <v>24</v>
      </c>
      <c r="E378" s="14" t="s">
        <v>27</v>
      </c>
      <c r="F378" s="16">
        <v>69.08</v>
      </c>
      <c r="G378" s="17">
        <f>SUMPRODUCT(--((B378=$B$4:$B$717)*$F$4:$F$717&gt;F378))+1</f>
        <v>1</v>
      </c>
      <c r="H378" s="18" t="s">
        <v>12</v>
      </c>
    </row>
    <row r="379" s="3" customFormat="1" ht="12" spans="1:8">
      <c r="A379" s="14" t="str">
        <f>"202300512"</f>
        <v>202300512</v>
      </c>
      <c r="B379" s="14" t="str">
        <f t="shared" si="69"/>
        <v>013</v>
      </c>
      <c r="C379" s="14" t="str">
        <f>"05"</f>
        <v>05</v>
      </c>
      <c r="D379" s="14" t="s">
        <v>24</v>
      </c>
      <c r="E379" s="14" t="s">
        <v>27</v>
      </c>
      <c r="F379" s="16">
        <v>66.85</v>
      </c>
      <c r="G379" s="17">
        <f>SUMPRODUCT(--((B379=$B$4:$B$717)*$F$4:$F$717&gt;F379))+1</f>
        <v>2</v>
      </c>
      <c r="H379" s="18" t="s">
        <v>12</v>
      </c>
    </row>
    <row r="380" s="3" customFormat="1" ht="12" spans="1:8">
      <c r="A380" s="14" t="str">
        <f>"202300408"</f>
        <v>202300408</v>
      </c>
      <c r="B380" s="14" t="str">
        <f t="shared" si="69"/>
        <v>013</v>
      </c>
      <c r="C380" s="14" t="str">
        <f t="shared" ref="C380:C383" si="70">"04"</f>
        <v>04</v>
      </c>
      <c r="D380" s="14" t="s">
        <v>24</v>
      </c>
      <c r="E380" s="14" t="s">
        <v>27</v>
      </c>
      <c r="F380" s="16">
        <v>65.35</v>
      </c>
      <c r="G380" s="17">
        <f>SUMPRODUCT(--((B380=$B$4:$B$717)*$F$4:$F$717&gt;F380))+1</f>
        <v>3</v>
      </c>
      <c r="H380" s="18" t="s">
        <v>12</v>
      </c>
    </row>
    <row r="381" s="3" customFormat="1" ht="12" spans="1:8">
      <c r="A381" s="18" t="str">
        <f>"202300422"</f>
        <v>202300422</v>
      </c>
      <c r="B381" s="18" t="str">
        <f t="shared" si="69"/>
        <v>013</v>
      </c>
      <c r="C381" s="18" t="str">
        <f t="shared" si="70"/>
        <v>04</v>
      </c>
      <c r="D381" s="14" t="s">
        <v>24</v>
      </c>
      <c r="E381" s="18" t="s">
        <v>27</v>
      </c>
      <c r="F381" s="19">
        <v>64.18</v>
      </c>
      <c r="G381" s="20">
        <f>SUMPRODUCT(--((B381=$B$4:$B$717)*$F$4:$F$717&gt;F381))+1</f>
        <v>4</v>
      </c>
      <c r="H381" s="18" t="s">
        <v>13</v>
      </c>
    </row>
    <row r="382" s="3" customFormat="1" ht="12" spans="1:8">
      <c r="A382" s="18" t="str">
        <f>"202300424"</f>
        <v>202300424</v>
      </c>
      <c r="B382" s="18" t="str">
        <f t="shared" si="69"/>
        <v>013</v>
      </c>
      <c r="C382" s="18" t="str">
        <f t="shared" si="70"/>
        <v>04</v>
      </c>
      <c r="D382" s="14" t="s">
        <v>24</v>
      </c>
      <c r="E382" s="18" t="s">
        <v>27</v>
      </c>
      <c r="F382" s="19">
        <v>63.51</v>
      </c>
      <c r="G382" s="20">
        <f>SUMPRODUCT(--((B382=$B$4:$B$717)*$F$4:$F$717&gt;F382))+1</f>
        <v>5</v>
      </c>
      <c r="H382" s="18" t="s">
        <v>13</v>
      </c>
    </row>
    <row r="383" s="3" customFormat="1" ht="12" spans="1:8">
      <c r="A383" s="18" t="str">
        <f>"202300420"</f>
        <v>202300420</v>
      </c>
      <c r="B383" s="18" t="str">
        <f t="shared" si="69"/>
        <v>013</v>
      </c>
      <c r="C383" s="18" t="str">
        <f t="shared" si="70"/>
        <v>04</v>
      </c>
      <c r="D383" s="14" t="s">
        <v>24</v>
      </c>
      <c r="E383" s="18" t="s">
        <v>27</v>
      </c>
      <c r="F383" s="19">
        <v>63.03</v>
      </c>
      <c r="G383" s="20">
        <f>SUMPRODUCT(--((B383=$B$4:$B$717)*$F$4:$F$717&gt;F383))+1</f>
        <v>6</v>
      </c>
      <c r="H383" s="18" t="s">
        <v>13</v>
      </c>
    </row>
    <row r="384" s="3" customFormat="1" ht="12" spans="1:8">
      <c r="A384" s="18" t="str">
        <f>"202300503"</f>
        <v>202300503</v>
      </c>
      <c r="B384" s="18" t="str">
        <f t="shared" si="69"/>
        <v>013</v>
      </c>
      <c r="C384" s="18" t="str">
        <f t="shared" ref="C384:C387" si="71">"05"</f>
        <v>05</v>
      </c>
      <c r="D384" s="14" t="s">
        <v>24</v>
      </c>
      <c r="E384" s="18" t="s">
        <v>27</v>
      </c>
      <c r="F384" s="19">
        <v>62.83</v>
      </c>
      <c r="G384" s="20">
        <f>SUMPRODUCT(--((B384=$B$4:$B$717)*$F$4:$F$717&gt;F384))+1</f>
        <v>7</v>
      </c>
      <c r="H384" s="18" t="s">
        <v>13</v>
      </c>
    </row>
    <row r="385" s="3" customFormat="1" ht="12" spans="1:8">
      <c r="A385" s="18" t="str">
        <f>"202300421"</f>
        <v>202300421</v>
      </c>
      <c r="B385" s="18" t="str">
        <f t="shared" si="69"/>
        <v>013</v>
      </c>
      <c r="C385" s="18" t="str">
        <f t="shared" ref="C385:C390" si="72">"04"</f>
        <v>04</v>
      </c>
      <c r="D385" s="14" t="s">
        <v>24</v>
      </c>
      <c r="E385" s="18" t="s">
        <v>27</v>
      </c>
      <c r="F385" s="19">
        <v>62.78</v>
      </c>
      <c r="G385" s="20">
        <f>SUMPRODUCT(--((B385=$B$4:$B$717)*$F$4:$F$717&gt;F385))+1</f>
        <v>8</v>
      </c>
      <c r="H385" s="18" t="s">
        <v>13</v>
      </c>
    </row>
    <row r="386" s="3" customFormat="1" ht="12" spans="1:8">
      <c r="A386" s="18" t="str">
        <f>"202300509"</f>
        <v>202300509</v>
      </c>
      <c r="B386" s="18" t="str">
        <f t="shared" si="69"/>
        <v>013</v>
      </c>
      <c r="C386" s="18" t="str">
        <f t="shared" si="71"/>
        <v>05</v>
      </c>
      <c r="D386" s="14" t="s">
        <v>24</v>
      </c>
      <c r="E386" s="18" t="s">
        <v>27</v>
      </c>
      <c r="F386" s="19">
        <v>62.1</v>
      </c>
      <c r="G386" s="20">
        <f>SUMPRODUCT(--((B386=$B$4:$B$717)*$F$4:$F$717&gt;F386))+1</f>
        <v>9</v>
      </c>
      <c r="H386" s="18" t="s">
        <v>13</v>
      </c>
    </row>
    <row r="387" s="3" customFormat="1" ht="12" spans="1:8">
      <c r="A387" s="18" t="str">
        <f>"202300525"</f>
        <v>202300525</v>
      </c>
      <c r="B387" s="18" t="str">
        <f t="shared" si="69"/>
        <v>013</v>
      </c>
      <c r="C387" s="18" t="str">
        <f t="shared" si="71"/>
        <v>05</v>
      </c>
      <c r="D387" s="14" t="s">
        <v>24</v>
      </c>
      <c r="E387" s="18" t="s">
        <v>27</v>
      </c>
      <c r="F387" s="19">
        <v>61.44</v>
      </c>
      <c r="G387" s="20">
        <f>SUMPRODUCT(--((B387=$B$4:$B$717)*$F$4:$F$717&gt;F387))+1</f>
        <v>10</v>
      </c>
      <c r="H387" s="18" t="s">
        <v>13</v>
      </c>
    </row>
    <row r="388" s="3" customFormat="1" ht="12" spans="1:8">
      <c r="A388" s="18" t="str">
        <f>"202300418"</f>
        <v>202300418</v>
      </c>
      <c r="B388" s="18" t="str">
        <f t="shared" si="69"/>
        <v>013</v>
      </c>
      <c r="C388" s="18" t="str">
        <f t="shared" si="72"/>
        <v>04</v>
      </c>
      <c r="D388" s="14" t="s">
        <v>24</v>
      </c>
      <c r="E388" s="18" t="s">
        <v>27</v>
      </c>
      <c r="F388" s="19">
        <v>61.02</v>
      </c>
      <c r="G388" s="20">
        <f>SUMPRODUCT(--((B388=$B$4:$B$717)*$F$4:$F$717&gt;F388))+1</f>
        <v>11</v>
      </c>
      <c r="H388" s="18" t="s">
        <v>13</v>
      </c>
    </row>
    <row r="389" s="3" customFormat="1" ht="12" spans="1:8">
      <c r="A389" s="18" t="str">
        <f>"202300524"</f>
        <v>202300524</v>
      </c>
      <c r="B389" s="18" t="str">
        <f t="shared" si="69"/>
        <v>013</v>
      </c>
      <c r="C389" s="18" t="str">
        <f t="shared" ref="C389:C392" si="73">"05"</f>
        <v>05</v>
      </c>
      <c r="D389" s="14" t="s">
        <v>24</v>
      </c>
      <c r="E389" s="18" t="s">
        <v>27</v>
      </c>
      <c r="F389" s="19">
        <v>60.25</v>
      </c>
      <c r="G389" s="20">
        <f>SUMPRODUCT(--((B389=$B$4:$B$717)*$F$4:$F$717&gt;F389))+1</f>
        <v>12</v>
      </c>
      <c r="H389" s="18" t="s">
        <v>13</v>
      </c>
    </row>
    <row r="390" s="3" customFormat="1" ht="12" spans="1:8">
      <c r="A390" s="18" t="str">
        <f>"202300417"</f>
        <v>202300417</v>
      </c>
      <c r="B390" s="18" t="str">
        <f t="shared" si="69"/>
        <v>013</v>
      </c>
      <c r="C390" s="18" t="str">
        <f t="shared" si="72"/>
        <v>04</v>
      </c>
      <c r="D390" s="14" t="s">
        <v>24</v>
      </c>
      <c r="E390" s="18" t="s">
        <v>27</v>
      </c>
      <c r="F390" s="19">
        <v>60.19</v>
      </c>
      <c r="G390" s="20">
        <f>SUMPRODUCT(--((B390=$B$4:$B$717)*$F$4:$F$717&gt;F390))+1</f>
        <v>13</v>
      </c>
      <c r="H390" s="18" t="s">
        <v>13</v>
      </c>
    </row>
    <row r="391" s="3" customFormat="1" ht="12" spans="1:8">
      <c r="A391" s="18" t="str">
        <f>"202300515"</f>
        <v>202300515</v>
      </c>
      <c r="B391" s="18" t="str">
        <f t="shared" si="69"/>
        <v>013</v>
      </c>
      <c r="C391" s="18" t="str">
        <f t="shared" si="73"/>
        <v>05</v>
      </c>
      <c r="D391" s="14" t="s">
        <v>24</v>
      </c>
      <c r="E391" s="18" t="s">
        <v>27</v>
      </c>
      <c r="F391" s="19">
        <v>59.96</v>
      </c>
      <c r="G391" s="20">
        <f>SUMPRODUCT(--((B391=$B$4:$B$717)*$F$4:$F$717&gt;F391))+1</f>
        <v>14</v>
      </c>
      <c r="H391" s="18" t="s">
        <v>13</v>
      </c>
    </row>
    <row r="392" s="3" customFormat="1" ht="12" spans="1:8">
      <c r="A392" s="18" t="str">
        <f>"202300504"</f>
        <v>202300504</v>
      </c>
      <c r="B392" s="18" t="str">
        <f t="shared" si="69"/>
        <v>013</v>
      </c>
      <c r="C392" s="18" t="str">
        <f t="shared" si="73"/>
        <v>05</v>
      </c>
      <c r="D392" s="14" t="s">
        <v>24</v>
      </c>
      <c r="E392" s="18" t="s">
        <v>27</v>
      </c>
      <c r="F392" s="19">
        <v>59.78</v>
      </c>
      <c r="G392" s="20">
        <f>SUMPRODUCT(--((B392=$B$4:$B$717)*$F$4:$F$717&gt;F392))+1</f>
        <v>15</v>
      </c>
      <c r="H392" s="18" t="s">
        <v>13</v>
      </c>
    </row>
    <row r="393" s="3" customFormat="1" ht="12" spans="1:8">
      <c r="A393" s="18" t="str">
        <f>"202300429"</f>
        <v>202300429</v>
      </c>
      <c r="B393" s="18" t="str">
        <f t="shared" si="69"/>
        <v>013</v>
      </c>
      <c r="C393" s="18" t="str">
        <f t="shared" ref="C393:C396" si="74">"04"</f>
        <v>04</v>
      </c>
      <c r="D393" s="14" t="s">
        <v>24</v>
      </c>
      <c r="E393" s="18" t="s">
        <v>27</v>
      </c>
      <c r="F393" s="19">
        <v>59.66</v>
      </c>
      <c r="G393" s="20">
        <f>SUMPRODUCT(--((B393=$B$4:$B$717)*$F$4:$F$717&gt;F393))+1</f>
        <v>16</v>
      </c>
      <c r="H393" s="18" t="s">
        <v>13</v>
      </c>
    </row>
    <row r="394" s="3" customFormat="1" ht="12" spans="1:8">
      <c r="A394" s="18" t="str">
        <f>"202300425"</f>
        <v>202300425</v>
      </c>
      <c r="B394" s="18" t="str">
        <f t="shared" si="69"/>
        <v>013</v>
      </c>
      <c r="C394" s="18" t="str">
        <f t="shared" si="74"/>
        <v>04</v>
      </c>
      <c r="D394" s="14" t="s">
        <v>24</v>
      </c>
      <c r="E394" s="18" t="s">
        <v>27</v>
      </c>
      <c r="F394" s="19">
        <v>59.52</v>
      </c>
      <c r="G394" s="20">
        <f>SUMPRODUCT(--((B394=$B$4:$B$717)*$F$4:$F$717&gt;F394))+1</f>
        <v>17</v>
      </c>
      <c r="H394" s="18" t="s">
        <v>13</v>
      </c>
    </row>
    <row r="395" s="3" customFormat="1" ht="12" spans="1:8">
      <c r="A395" s="18" t="str">
        <f>"202300502"</f>
        <v>202300502</v>
      </c>
      <c r="B395" s="18" t="str">
        <f t="shared" si="69"/>
        <v>013</v>
      </c>
      <c r="C395" s="18" t="str">
        <f t="shared" ref="C395:C398" si="75">"05"</f>
        <v>05</v>
      </c>
      <c r="D395" s="14" t="s">
        <v>24</v>
      </c>
      <c r="E395" s="18" t="s">
        <v>27</v>
      </c>
      <c r="F395" s="19">
        <v>57.52</v>
      </c>
      <c r="G395" s="20">
        <f>SUMPRODUCT(--((B395=$B$4:$B$717)*$F$4:$F$717&gt;F395))+1</f>
        <v>18</v>
      </c>
      <c r="H395" s="18" t="s">
        <v>13</v>
      </c>
    </row>
    <row r="396" s="3" customFormat="1" ht="12" spans="1:8">
      <c r="A396" s="18" t="str">
        <f>"202300414"</f>
        <v>202300414</v>
      </c>
      <c r="B396" s="18" t="str">
        <f t="shared" si="69"/>
        <v>013</v>
      </c>
      <c r="C396" s="18" t="str">
        <f t="shared" si="74"/>
        <v>04</v>
      </c>
      <c r="D396" s="14" t="s">
        <v>24</v>
      </c>
      <c r="E396" s="18" t="s">
        <v>27</v>
      </c>
      <c r="F396" s="19">
        <v>57.43</v>
      </c>
      <c r="G396" s="20">
        <f>SUMPRODUCT(--((B396=$B$4:$B$717)*$F$4:$F$717&gt;F396))+1</f>
        <v>19</v>
      </c>
      <c r="H396" s="18" t="s">
        <v>13</v>
      </c>
    </row>
    <row r="397" s="3" customFormat="1" ht="12" spans="1:8">
      <c r="A397" s="18" t="str">
        <f>"202300505"</f>
        <v>202300505</v>
      </c>
      <c r="B397" s="18" t="str">
        <f t="shared" si="69"/>
        <v>013</v>
      </c>
      <c r="C397" s="18" t="str">
        <f t="shared" si="75"/>
        <v>05</v>
      </c>
      <c r="D397" s="14" t="s">
        <v>24</v>
      </c>
      <c r="E397" s="18" t="s">
        <v>27</v>
      </c>
      <c r="F397" s="19">
        <v>56.86</v>
      </c>
      <c r="G397" s="20">
        <f>SUMPRODUCT(--((B397=$B$4:$B$717)*$F$4:$F$717&gt;F397))+1</f>
        <v>20</v>
      </c>
      <c r="H397" s="18" t="s">
        <v>13</v>
      </c>
    </row>
    <row r="398" s="3" customFormat="1" ht="12" spans="1:8">
      <c r="A398" s="18" t="str">
        <f>"202300528"</f>
        <v>202300528</v>
      </c>
      <c r="B398" s="18" t="str">
        <f t="shared" si="69"/>
        <v>013</v>
      </c>
      <c r="C398" s="18" t="str">
        <f t="shared" si="75"/>
        <v>05</v>
      </c>
      <c r="D398" s="14" t="s">
        <v>24</v>
      </c>
      <c r="E398" s="18" t="s">
        <v>27</v>
      </c>
      <c r="F398" s="19">
        <v>56.65</v>
      </c>
      <c r="G398" s="20">
        <f>SUMPRODUCT(--((B398=$B$4:$B$717)*$F$4:$F$717&gt;F398))+1</f>
        <v>21</v>
      </c>
      <c r="H398" s="18" t="s">
        <v>13</v>
      </c>
    </row>
    <row r="399" s="3" customFormat="1" ht="12" spans="1:8">
      <c r="A399" s="18" t="str">
        <f>"202300428"</f>
        <v>202300428</v>
      </c>
      <c r="B399" s="18" t="str">
        <f t="shared" si="69"/>
        <v>013</v>
      </c>
      <c r="C399" s="18" t="str">
        <f t="shared" ref="C399:C404" si="76">"04"</f>
        <v>04</v>
      </c>
      <c r="D399" s="14" t="s">
        <v>24</v>
      </c>
      <c r="E399" s="18" t="s">
        <v>27</v>
      </c>
      <c r="F399" s="19">
        <v>55.7</v>
      </c>
      <c r="G399" s="20">
        <f>SUMPRODUCT(--((B399=$B$4:$B$717)*$F$4:$F$717&gt;F399))+1</f>
        <v>22</v>
      </c>
      <c r="H399" s="18" t="s">
        <v>13</v>
      </c>
    </row>
    <row r="400" s="3" customFormat="1" ht="12" spans="1:8">
      <c r="A400" s="18" t="str">
        <f>"202300518"</f>
        <v>202300518</v>
      </c>
      <c r="B400" s="18" t="str">
        <f t="shared" si="69"/>
        <v>013</v>
      </c>
      <c r="C400" s="18" t="str">
        <f t="shared" ref="C400:C409" si="77">"05"</f>
        <v>05</v>
      </c>
      <c r="D400" s="14" t="s">
        <v>24</v>
      </c>
      <c r="E400" s="18" t="s">
        <v>27</v>
      </c>
      <c r="F400" s="19">
        <v>55.52</v>
      </c>
      <c r="G400" s="20">
        <f>SUMPRODUCT(--((B400=$B$4:$B$717)*$F$4:$F$717&gt;F400))+1</f>
        <v>23</v>
      </c>
      <c r="H400" s="18" t="s">
        <v>13</v>
      </c>
    </row>
    <row r="401" s="3" customFormat="1" ht="12" spans="1:8">
      <c r="A401" s="18" t="str">
        <f>"202300510"</f>
        <v>202300510</v>
      </c>
      <c r="B401" s="18" t="str">
        <f t="shared" si="69"/>
        <v>013</v>
      </c>
      <c r="C401" s="18" t="str">
        <f t="shared" si="77"/>
        <v>05</v>
      </c>
      <c r="D401" s="14" t="s">
        <v>24</v>
      </c>
      <c r="E401" s="18" t="s">
        <v>27</v>
      </c>
      <c r="F401" s="19">
        <v>55.27</v>
      </c>
      <c r="G401" s="20">
        <f>SUMPRODUCT(--((B401=$B$4:$B$717)*$F$4:$F$717&gt;F401))+1</f>
        <v>24</v>
      </c>
      <c r="H401" s="18" t="s">
        <v>13</v>
      </c>
    </row>
    <row r="402" s="3" customFormat="1" ht="12" spans="1:8">
      <c r="A402" s="18" t="str">
        <f>"202300412"</f>
        <v>202300412</v>
      </c>
      <c r="B402" s="18" t="str">
        <f t="shared" si="69"/>
        <v>013</v>
      </c>
      <c r="C402" s="18" t="str">
        <f t="shared" si="76"/>
        <v>04</v>
      </c>
      <c r="D402" s="14" t="s">
        <v>24</v>
      </c>
      <c r="E402" s="18" t="s">
        <v>27</v>
      </c>
      <c r="F402" s="19">
        <v>54.87</v>
      </c>
      <c r="G402" s="20">
        <f>SUMPRODUCT(--((B402=$B$4:$B$717)*$F$4:$F$717&gt;F402))+1</f>
        <v>25</v>
      </c>
      <c r="H402" s="18" t="s">
        <v>13</v>
      </c>
    </row>
    <row r="403" s="3" customFormat="1" ht="12" spans="1:8">
      <c r="A403" s="18" t="str">
        <f>"202300415"</f>
        <v>202300415</v>
      </c>
      <c r="B403" s="18" t="str">
        <f t="shared" si="69"/>
        <v>013</v>
      </c>
      <c r="C403" s="18" t="str">
        <f t="shared" si="76"/>
        <v>04</v>
      </c>
      <c r="D403" s="14" t="s">
        <v>24</v>
      </c>
      <c r="E403" s="18" t="s">
        <v>27</v>
      </c>
      <c r="F403" s="19">
        <v>54.57</v>
      </c>
      <c r="G403" s="20">
        <f>SUMPRODUCT(--((B403=$B$4:$B$717)*$F$4:$F$717&gt;F403))+1</f>
        <v>26</v>
      </c>
      <c r="H403" s="18" t="s">
        <v>13</v>
      </c>
    </row>
    <row r="404" s="3" customFormat="1" ht="12" spans="1:8">
      <c r="A404" s="18" t="str">
        <f>"202300416"</f>
        <v>202300416</v>
      </c>
      <c r="B404" s="18" t="str">
        <f t="shared" si="69"/>
        <v>013</v>
      </c>
      <c r="C404" s="18" t="str">
        <f t="shared" si="76"/>
        <v>04</v>
      </c>
      <c r="D404" s="14" t="s">
        <v>24</v>
      </c>
      <c r="E404" s="18" t="s">
        <v>27</v>
      </c>
      <c r="F404" s="19">
        <v>54</v>
      </c>
      <c r="G404" s="20">
        <f>SUMPRODUCT(--((B404=$B$4:$B$717)*$F$4:$F$717&gt;F404))+1</f>
        <v>27</v>
      </c>
      <c r="H404" s="18" t="s">
        <v>13</v>
      </c>
    </row>
    <row r="405" s="3" customFormat="1" ht="12" spans="1:8">
      <c r="A405" s="18" t="str">
        <f>"202300514"</f>
        <v>202300514</v>
      </c>
      <c r="B405" s="18" t="str">
        <f t="shared" si="69"/>
        <v>013</v>
      </c>
      <c r="C405" s="18" t="str">
        <f t="shared" si="77"/>
        <v>05</v>
      </c>
      <c r="D405" s="14" t="s">
        <v>24</v>
      </c>
      <c r="E405" s="18" t="s">
        <v>27</v>
      </c>
      <c r="F405" s="19">
        <v>52.99</v>
      </c>
      <c r="G405" s="20">
        <f>SUMPRODUCT(--((B405=$B$4:$B$717)*$F$4:$F$717&gt;F405))+1</f>
        <v>28</v>
      </c>
      <c r="H405" s="18" t="s">
        <v>13</v>
      </c>
    </row>
    <row r="406" s="3" customFormat="1" ht="12" spans="1:8">
      <c r="A406" s="18" t="str">
        <f>"202300520"</f>
        <v>202300520</v>
      </c>
      <c r="B406" s="18" t="str">
        <f t="shared" si="69"/>
        <v>013</v>
      </c>
      <c r="C406" s="18" t="str">
        <f t="shared" si="77"/>
        <v>05</v>
      </c>
      <c r="D406" s="14" t="s">
        <v>24</v>
      </c>
      <c r="E406" s="18" t="s">
        <v>27</v>
      </c>
      <c r="F406" s="19">
        <v>52.77</v>
      </c>
      <c r="G406" s="20">
        <f>SUMPRODUCT(--((B406=$B$4:$B$717)*$F$4:$F$717&gt;F406))+1</f>
        <v>29</v>
      </c>
      <c r="H406" s="18" t="s">
        <v>13</v>
      </c>
    </row>
    <row r="407" s="3" customFormat="1" ht="12" spans="1:8">
      <c r="A407" s="18" t="str">
        <f>"202300508"</f>
        <v>202300508</v>
      </c>
      <c r="B407" s="18" t="str">
        <f t="shared" si="69"/>
        <v>013</v>
      </c>
      <c r="C407" s="18" t="str">
        <f t="shared" si="77"/>
        <v>05</v>
      </c>
      <c r="D407" s="14" t="s">
        <v>24</v>
      </c>
      <c r="E407" s="18" t="s">
        <v>27</v>
      </c>
      <c r="F407" s="19">
        <v>52.68</v>
      </c>
      <c r="G407" s="20">
        <f>SUMPRODUCT(--((B407=$B$4:$B$717)*$F$4:$F$717&gt;F407))+1</f>
        <v>30</v>
      </c>
      <c r="H407" s="18" t="s">
        <v>13</v>
      </c>
    </row>
    <row r="408" s="3" customFormat="1" ht="12" spans="1:8">
      <c r="A408" s="18" t="str">
        <f>"202300529"</f>
        <v>202300529</v>
      </c>
      <c r="B408" s="18" t="str">
        <f t="shared" si="69"/>
        <v>013</v>
      </c>
      <c r="C408" s="18" t="str">
        <f t="shared" si="77"/>
        <v>05</v>
      </c>
      <c r="D408" s="14" t="s">
        <v>24</v>
      </c>
      <c r="E408" s="18" t="s">
        <v>27</v>
      </c>
      <c r="F408" s="19">
        <v>52.26</v>
      </c>
      <c r="G408" s="20">
        <f>SUMPRODUCT(--((B408=$B$4:$B$717)*$F$4:$F$717&gt;F408))+1</f>
        <v>31</v>
      </c>
      <c r="H408" s="18" t="s">
        <v>13</v>
      </c>
    </row>
    <row r="409" s="3" customFormat="1" ht="12" spans="1:8">
      <c r="A409" s="18" t="str">
        <f>"202300521"</f>
        <v>202300521</v>
      </c>
      <c r="B409" s="18" t="str">
        <f t="shared" si="69"/>
        <v>013</v>
      </c>
      <c r="C409" s="18" t="str">
        <f t="shared" si="77"/>
        <v>05</v>
      </c>
      <c r="D409" s="14" t="s">
        <v>24</v>
      </c>
      <c r="E409" s="18" t="s">
        <v>27</v>
      </c>
      <c r="F409" s="19">
        <v>52.22</v>
      </c>
      <c r="G409" s="20">
        <f>SUMPRODUCT(--((B409=$B$4:$B$717)*$F$4:$F$717&gt;F409))+1</f>
        <v>32</v>
      </c>
      <c r="H409" s="18" t="s">
        <v>13</v>
      </c>
    </row>
    <row r="410" s="3" customFormat="1" ht="12" spans="1:8">
      <c r="A410" s="18" t="str">
        <f>"202300426"</f>
        <v>202300426</v>
      </c>
      <c r="B410" s="18" t="str">
        <f t="shared" si="69"/>
        <v>013</v>
      </c>
      <c r="C410" s="18" t="str">
        <f t="shared" ref="C410:C419" si="78">"04"</f>
        <v>04</v>
      </c>
      <c r="D410" s="14" t="s">
        <v>24</v>
      </c>
      <c r="E410" s="18" t="s">
        <v>27</v>
      </c>
      <c r="F410" s="19">
        <v>49.51</v>
      </c>
      <c r="G410" s="20">
        <f>SUMPRODUCT(--((B410=$B$4:$B$717)*$F$4:$F$717&gt;F410))+1</f>
        <v>33</v>
      </c>
      <c r="H410" s="18" t="s">
        <v>13</v>
      </c>
    </row>
    <row r="411" s="3" customFormat="1" ht="12" spans="1:8">
      <c r="A411" s="18" t="str">
        <f>"202300513"</f>
        <v>202300513</v>
      </c>
      <c r="B411" s="18" t="str">
        <f t="shared" si="69"/>
        <v>013</v>
      </c>
      <c r="C411" s="18" t="str">
        <f>"05"</f>
        <v>05</v>
      </c>
      <c r="D411" s="14" t="s">
        <v>24</v>
      </c>
      <c r="E411" s="18" t="s">
        <v>27</v>
      </c>
      <c r="F411" s="19">
        <v>44.12</v>
      </c>
      <c r="G411" s="20">
        <f>SUMPRODUCT(--((B411=$B$4:$B$717)*$F$4:$F$717&gt;F411))+1</f>
        <v>34</v>
      </c>
      <c r="H411" s="18" t="s">
        <v>13</v>
      </c>
    </row>
    <row r="412" s="3" customFormat="1" ht="12" spans="1:8">
      <c r="A412" s="18" t="str">
        <f>"202300409"</f>
        <v>202300409</v>
      </c>
      <c r="B412" s="18" t="str">
        <f t="shared" si="69"/>
        <v>013</v>
      </c>
      <c r="C412" s="18" t="str">
        <f t="shared" si="78"/>
        <v>04</v>
      </c>
      <c r="D412" s="14" t="s">
        <v>24</v>
      </c>
      <c r="E412" s="18" t="s">
        <v>27</v>
      </c>
      <c r="F412" s="19">
        <v>0</v>
      </c>
      <c r="G412" s="20">
        <f>SUMPRODUCT(--((B412=$B$4:$B$717)*$F$4:$F$717&gt;F412))+1</f>
        <v>35</v>
      </c>
      <c r="H412" s="18" t="s">
        <v>13</v>
      </c>
    </row>
    <row r="413" s="3" customFormat="1" ht="12" spans="1:8">
      <c r="A413" s="18" t="str">
        <f>"202300410"</f>
        <v>202300410</v>
      </c>
      <c r="B413" s="18" t="str">
        <f t="shared" si="69"/>
        <v>013</v>
      </c>
      <c r="C413" s="18" t="str">
        <f t="shared" si="78"/>
        <v>04</v>
      </c>
      <c r="D413" s="14" t="s">
        <v>24</v>
      </c>
      <c r="E413" s="18" t="s">
        <v>27</v>
      </c>
      <c r="F413" s="19">
        <v>0</v>
      </c>
      <c r="G413" s="20">
        <f>SUMPRODUCT(--((B413=$B$4:$B$717)*$F$4:$F$717&gt;F413))+1</f>
        <v>35</v>
      </c>
      <c r="H413" s="18" t="s">
        <v>13</v>
      </c>
    </row>
    <row r="414" s="3" customFormat="1" ht="12" spans="1:8">
      <c r="A414" s="18" t="str">
        <f>"202300411"</f>
        <v>202300411</v>
      </c>
      <c r="B414" s="18" t="str">
        <f t="shared" si="69"/>
        <v>013</v>
      </c>
      <c r="C414" s="18" t="str">
        <f t="shared" si="78"/>
        <v>04</v>
      </c>
      <c r="D414" s="14" t="s">
        <v>24</v>
      </c>
      <c r="E414" s="18" t="s">
        <v>27</v>
      </c>
      <c r="F414" s="19">
        <v>0</v>
      </c>
      <c r="G414" s="20">
        <f>SUMPRODUCT(--((B414=$B$4:$B$717)*$F$4:$F$717&gt;F414))+1</f>
        <v>35</v>
      </c>
      <c r="H414" s="18" t="s">
        <v>13</v>
      </c>
    </row>
    <row r="415" s="3" customFormat="1" ht="12" spans="1:8">
      <c r="A415" s="18" t="str">
        <f>"202300413"</f>
        <v>202300413</v>
      </c>
      <c r="B415" s="18" t="str">
        <f t="shared" si="69"/>
        <v>013</v>
      </c>
      <c r="C415" s="18" t="str">
        <f t="shared" si="78"/>
        <v>04</v>
      </c>
      <c r="D415" s="14" t="s">
        <v>24</v>
      </c>
      <c r="E415" s="18" t="s">
        <v>27</v>
      </c>
      <c r="F415" s="19">
        <v>0</v>
      </c>
      <c r="G415" s="20">
        <f>SUMPRODUCT(--((B415=$B$4:$B$717)*$F$4:$F$717&gt;F415))+1</f>
        <v>35</v>
      </c>
      <c r="H415" s="18" t="s">
        <v>13</v>
      </c>
    </row>
    <row r="416" s="3" customFormat="1" ht="12" spans="1:8">
      <c r="A416" s="18" t="str">
        <f>"202300419"</f>
        <v>202300419</v>
      </c>
      <c r="B416" s="18" t="str">
        <f t="shared" si="69"/>
        <v>013</v>
      </c>
      <c r="C416" s="18" t="str">
        <f t="shared" si="78"/>
        <v>04</v>
      </c>
      <c r="D416" s="14" t="s">
        <v>24</v>
      </c>
      <c r="E416" s="18" t="s">
        <v>27</v>
      </c>
      <c r="F416" s="19">
        <v>0</v>
      </c>
      <c r="G416" s="20">
        <f>SUMPRODUCT(--((B416=$B$4:$B$717)*$F$4:$F$717&gt;F416))+1</f>
        <v>35</v>
      </c>
      <c r="H416" s="18" t="s">
        <v>13</v>
      </c>
    </row>
    <row r="417" s="3" customFormat="1" ht="12" spans="1:8">
      <c r="A417" s="18" t="str">
        <f>"202300423"</f>
        <v>202300423</v>
      </c>
      <c r="B417" s="18" t="str">
        <f t="shared" si="69"/>
        <v>013</v>
      </c>
      <c r="C417" s="18" t="str">
        <f t="shared" si="78"/>
        <v>04</v>
      </c>
      <c r="D417" s="14" t="s">
        <v>24</v>
      </c>
      <c r="E417" s="18" t="s">
        <v>27</v>
      </c>
      <c r="F417" s="19">
        <v>0</v>
      </c>
      <c r="G417" s="20">
        <f>SUMPRODUCT(--((B417=$B$4:$B$717)*$F$4:$F$717&gt;F417))+1</f>
        <v>35</v>
      </c>
      <c r="H417" s="18" t="s">
        <v>13</v>
      </c>
    </row>
    <row r="418" s="3" customFormat="1" ht="12" spans="1:8">
      <c r="A418" s="18" t="str">
        <f>"202300427"</f>
        <v>202300427</v>
      </c>
      <c r="B418" s="18" t="str">
        <f t="shared" si="69"/>
        <v>013</v>
      </c>
      <c r="C418" s="18" t="str">
        <f t="shared" si="78"/>
        <v>04</v>
      </c>
      <c r="D418" s="14" t="s">
        <v>24</v>
      </c>
      <c r="E418" s="18" t="s">
        <v>27</v>
      </c>
      <c r="F418" s="19">
        <v>0</v>
      </c>
      <c r="G418" s="20">
        <f>SUMPRODUCT(--((B418=$B$4:$B$717)*$F$4:$F$717&gt;F418))+1</f>
        <v>35</v>
      </c>
      <c r="H418" s="18" t="s">
        <v>13</v>
      </c>
    </row>
    <row r="419" s="3" customFormat="1" ht="12" spans="1:8">
      <c r="A419" s="18" t="str">
        <f>"202300430"</f>
        <v>202300430</v>
      </c>
      <c r="B419" s="18" t="str">
        <f t="shared" si="69"/>
        <v>013</v>
      </c>
      <c r="C419" s="18" t="str">
        <f t="shared" si="78"/>
        <v>04</v>
      </c>
      <c r="D419" s="14" t="s">
        <v>24</v>
      </c>
      <c r="E419" s="18" t="s">
        <v>27</v>
      </c>
      <c r="F419" s="19">
        <v>0</v>
      </c>
      <c r="G419" s="20">
        <f>SUMPRODUCT(--((B419=$B$4:$B$717)*$F$4:$F$717&gt;F419))+1</f>
        <v>35</v>
      </c>
      <c r="H419" s="18" t="s">
        <v>13</v>
      </c>
    </row>
    <row r="420" s="3" customFormat="1" ht="12" spans="1:8">
      <c r="A420" s="18" t="str">
        <f>"202300501"</f>
        <v>202300501</v>
      </c>
      <c r="B420" s="18" t="str">
        <f t="shared" si="69"/>
        <v>013</v>
      </c>
      <c r="C420" s="18" t="str">
        <f t="shared" ref="C420:C429" si="79">"05"</f>
        <v>05</v>
      </c>
      <c r="D420" s="14" t="s">
        <v>24</v>
      </c>
      <c r="E420" s="18" t="s">
        <v>27</v>
      </c>
      <c r="F420" s="19">
        <v>0</v>
      </c>
      <c r="G420" s="20">
        <f>SUMPRODUCT(--((B420=$B$4:$B$717)*$F$4:$F$717&gt;F420))+1</f>
        <v>35</v>
      </c>
      <c r="H420" s="18" t="s">
        <v>13</v>
      </c>
    </row>
    <row r="421" s="3" customFormat="1" ht="12" spans="1:8">
      <c r="A421" s="18" t="str">
        <f>"202300506"</f>
        <v>202300506</v>
      </c>
      <c r="B421" s="18" t="str">
        <f t="shared" si="69"/>
        <v>013</v>
      </c>
      <c r="C421" s="18" t="str">
        <f t="shared" si="79"/>
        <v>05</v>
      </c>
      <c r="D421" s="14" t="s">
        <v>24</v>
      </c>
      <c r="E421" s="18" t="s">
        <v>27</v>
      </c>
      <c r="F421" s="19">
        <v>0</v>
      </c>
      <c r="G421" s="20">
        <f>SUMPRODUCT(--((B421=$B$4:$B$717)*$F$4:$F$717&gt;F421))+1</f>
        <v>35</v>
      </c>
      <c r="H421" s="18" t="s">
        <v>13</v>
      </c>
    </row>
    <row r="422" s="3" customFormat="1" ht="12" spans="1:8">
      <c r="A422" s="18" t="str">
        <f>"202300507"</f>
        <v>202300507</v>
      </c>
      <c r="B422" s="18" t="str">
        <f t="shared" si="69"/>
        <v>013</v>
      </c>
      <c r="C422" s="18" t="str">
        <f t="shared" si="79"/>
        <v>05</v>
      </c>
      <c r="D422" s="14" t="s">
        <v>24</v>
      </c>
      <c r="E422" s="18" t="s">
        <v>27</v>
      </c>
      <c r="F422" s="19">
        <v>0</v>
      </c>
      <c r="G422" s="20">
        <f>SUMPRODUCT(--((B422=$B$4:$B$717)*$F$4:$F$717&gt;F422))+1</f>
        <v>35</v>
      </c>
      <c r="H422" s="18" t="s">
        <v>13</v>
      </c>
    </row>
    <row r="423" s="3" customFormat="1" ht="12" spans="1:8">
      <c r="A423" s="18" t="str">
        <f>"202300511"</f>
        <v>202300511</v>
      </c>
      <c r="B423" s="18" t="str">
        <f t="shared" si="69"/>
        <v>013</v>
      </c>
      <c r="C423" s="18" t="str">
        <f t="shared" si="79"/>
        <v>05</v>
      </c>
      <c r="D423" s="14" t="s">
        <v>24</v>
      </c>
      <c r="E423" s="18" t="s">
        <v>27</v>
      </c>
      <c r="F423" s="19">
        <v>0</v>
      </c>
      <c r="G423" s="20">
        <f>SUMPRODUCT(--((B423=$B$4:$B$717)*$F$4:$F$717&gt;F423))+1</f>
        <v>35</v>
      </c>
      <c r="H423" s="18" t="s">
        <v>13</v>
      </c>
    </row>
    <row r="424" s="3" customFormat="1" ht="12" spans="1:8">
      <c r="A424" s="18" t="str">
        <f>"202300516"</f>
        <v>202300516</v>
      </c>
      <c r="B424" s="18" t="str">
        <f t="shared" si="69"/>
        <v>013</v>
      </c>
      <c r="C424" s="18" t="str">
        <f t="shared" si="79"/>
        <v>05</v>
      </c>
      <c r="D424" s="14" t="s">
        <v>24</v>
      </c>
      <c r="E424" s="18" t="s">
        <v>27</v>
      </c>
      <c r="F424" s="19">
        <v>0</v>
      </c>
      <c r="G424" s="20">
        <f>SUMPRODUCT(--((B424=$B$4:$B$717)*$F$4:$F$717&gt;F424))+1</f>
        <v>35</v>
      </c>
      <c r="H424" s="18" t="s">
        <v>13</v>
      </c>
    </row>
    <row r="425" s="3" customFormat="1" ht="12" spans="1:8">
      <c r="A425" s="18" t="str">
        <f>"202300517"</f>
        <v>202300517</v>
      </c>
      <c r="B425" s="18" t="str">
        <f t="shared" si="69"/>
        <v>013</v>
      </c>
      <c r="C425" s="18" t="str">
        <f t="shared" si="79"/>
        <v>05</v>
      </c>
      <c r="D425" s="14" t="s">
        <v>24</v>
      </c>
      <c r="E425" s="18" t="s">
        <v>27</v>
      </c>
      <c r="F425" s="19">
        <v>0</v>
      </c>
      <c r="G425" s="20">
        <f>SUMPRODUCT(--((B425=$B$4:$B$717)*$F$4:$F$717&gt;F425))+1</f>
        <v>35</v>
      </c>
      <c r="H425" s="18" t="s">
        <v>13</v>
      </c>
    </row>
    <row r="426" s="3" customFormat="1" ht="12" spans="1:8">
      <c r="A426" s="18" t="str">
        <f>"202300519"</f>
        <v>202300519</v>
      </c>
      <c r="B426" s="18" t="str">
        <f t="shared" si="69"/>
        <v>013</v>
      </c>
      <c r="C426" s="18" t="str">
        <f t="shared" si="79"/>
        <v>05</v>
      </c>
      <c r="D426" s="14" t="s">
        <v>24</v>
      </c>
      <c r="E426" s="18" t="s">
        <v>27</v>
      </c>
      <c r="F426" s="19">
        <v>0</v>
      </c>
      <c r="G426" s="20">
        <f>SUMPRODUCT(--((B426=$B$4:$B$717)*$F$4:$F$717&gt;F426))+1</f>
        <v>35</v>
      </c>
      <c r="H426" s="18" t="s">
        <v>13</v>
      </c>
    </row>
    <row r="427" s="3" customFormat="1" ht="12" spans="1:8">
      <c r="A427" s="18" t="str">
        <f>"202300522"</f>
        <v>202300522</v>
      </c>
      <c r="B427" s="18" t="str">
        <f t="shared" si="69"/>
        <v>013</v>
      </c>
      <c r="C427" s="18" t="str">
        <f t="shared" si="79"/>
        <v>05</v>
      </c>
      <c r="D427" s="14" t="s">
        <v>24</v>
      </c>
      <c r="E427" s="18" t="s">
        <v>27</v>
      </c>
      <c r="F427" s="19">
        <v>0</v>
      </c>
      <c r="G427" s="20">
        <f>SUMPRODUCT(--((B427=$B$4:$B$717)*$F$4:$F$717&gt;F427))+1</f>
        <v>35</v>
      </c>
      <c r="H427" s="18" t="s">
        <v>13</v>
      </c>
    </row>
    <row r="428" s="3" customFormat="1" ht="12" spans="1:8">
      <c r="A428" s="18" t="str">
        <f>"202300526"</f>
        <v>202300526</v>
      </c>
      <c r="B428" s="18" t="str">
        <f t="shared" si="69"/>
        <v>013</v>
      </c>
      <c r="C428" s="18" t="str">
        <f t="shared" si="79"/>
        <v>05</v>
      </c>
      <c r="D428" s="14" t="s">
        <v>24</v>
      </c>
      <c r="E428" s="18" t="s">
        <v>27</v>
      </c>
      <c r="F428" s="19">
        <v>0</v>
      </c>
      <c r="G428" s="20">
        <f>SUMPRODUCT(--((B428=$B$4:$B$717)*$F$4:$F$717&gt;F428))+1</f>
        <v>35</v>
      </c>
      <c r="H428" s="18" t="s">
        <v>13</v>
      </c>
    </row>
    <row r="429" s="3" customFormat="1" ht="12" spans="1:8">
      <c r="A429" s="18" t="str">
        <f>"202300527"</f>
        <v>202300527</v>
      </c>
      <c r="B429" s="18" t="str">
        <f t="shared" si="69"/>
        <v>013</v>
      </c>
      <c r="C429" s="18" t="str">
        <f t="shared" si="79"/>
        <v>05</v>
      </c>
      <c r="D429" s="14" t="s">
        <v>24</v>
      </c>
      <c r="E429" s="18" t="s">
        <v>27</v>
      </c>
      <c r="F429" s="19">
        <v>0</v>
      </c>
      <c r="G429" s="20">
        <f>SUMPRODUCT(--((B429=$B$4:$B$717)*$F$4:$F$717&gt;F429))+1</f>
        <v>35</v>
      </c>
      <c r="H429" s="18" t="s">
        <v>13</v>
      </c>
    </row>
    <row r="430" s="3" customFormat="1" ht="12" spans="1:8">
      <c r="A430" s="14" t="str">
        <f>"202301701"</f>
        <v>202301701</v>
      </c>
      <c r="B430" s="14" t="str">
        <f t="shared" ref="B430:B493" si="80">"014"</f>
        <v>014</v>
      </c>
      <c r="C430" s="14" t="str">
        <f>"17"</f>
        <v>17</v>
      </c>
      <c r="D430" s="14" t="s">
        <v>24</v>
      </c>
      <c r="E430" s="14" t="s">
        <v>28</v>
      </c>
      <c r="F430" s="16">
        <v>76.86</v>
      </c>
      <c r="G430" s="17">
        <f>SUMPRODUCT(--((B430=$B$4:$B$717)*$F$4:$F$717&gt;F430))+1</f>
        <v>1</v>
      </c>
      <c r="H430" s="18" t="s">
        <v>12</v>
      </c>
    </row>
    <row r="431" s="3" customFormat="1" ht="12" spans="1:8">
      <c r="A431" s="14" t="str">
        <f>"202301619"</f>
        <v>202301619</v>
      </c>
      <c r="B431" s="14" t="str">
        <f t="shared" si="80"/>
        <v>014</v>
      </c>
      <c r="C431" s="14" t="str">
        <f t="shared" ref="C431:C435" si="81">"16"</f>
        <v>16</v>
      </c>
      <c r="D431" s="14" t="s">
        <v>24</v>
      </c>
      <c r="E431" s="14" t="s">
        <v>28</v>
      </c>
      <c r="F431" s="16">
        <v>74.35</v>
      </c>
      <c r="G431" s="17">
        <f>SUMPRODUCT(--((B431=$B$4:$B$717)*$F$4:$F$717&gt;F431))+1</f>
        <v>2</v>
      </c>
      <c r="H431" s="18" t="s">
        <v>12</v>
      </c>
    </row>
    <row r="432" s="3" customFormat="1" ht="12" spans="1:8">
      <c r="A432" s="14" t="str">
        <f>"202301828"</f>
        <v>202301828</v>
      </c>
      <c r="B432" s="14" t="str">
        <f t="shared" si="80"/>
        <v>014</v>
      </c>
      <c r="C432" s="14" t="str">
        <f>"18"</f>
        <v>18</v>
      </c>
      <c r="D432" s="14" t="s">
        <v>24</v>
      </c>
      <c r="E432" s="14" t="s">
        <v>28</v>
      </c>
      <c r="F432" s="16">
        <v>72.68</v>
      </c>
      <c r="G432" s="17">
        <f>SUMPRODUCT(--((B432=$B$4:$B$717)*$F$4:$F$717&gt;F432))+1</f>
        <v>3</v>
      </c>
      <c r="H432" s="18" t="s">
        <v>12</v>
      </c>
    </row>
    <row r="433" s="3" customFormat="1" ht="12" spans="1:8">
      <c r="A433" s="18" t="str">
        <f>"202301613"</f>
        <v>202301613</v>
      </c>
      <c r="B433" s="18" t="str">
        <f t="shared" si="80"/>
        <v>014</v>
      </c>
      <c r="C433" s="18" t="str">
        <f t="shared" si="81"/>
        <v>16</v>
      </c>
      <c r="D433" s="14" t="s">
        <v>24</v>
      </c>
      <c r="E433" s="14" t="s">
        <v>28</v>
      </c>
      <c r="F433" s="19">
        <v>72.11</v>
      </c>
      <c r="G433" s="20">
        <f>SUMPRODUCT(--((B433=$B$4:$B$717)*$F$4:$F$717&gt;F433))+1</f>
        <v>4</v>
      </c>
      <c r="H433" s="18" t="s">
        <v>13</v>
      </c>
    </row>
    <row r="434" s="3" customFormat="1" ht="12" spans="1:8">
      <c r="A434" s="18" t="str">
        <f>"202301711"</f>
        <v>202301711</v>
      </c>
      <c r="B434" s="18" t="str">
        <f t="shared" si="80"/>
        <v>014</v>
      </c>
      <c r="C434" s="18" t="str">
        <f t="shared" ref="C434:C437" si="82">"17"</f>
        <v>17</v>
      </c>
      <c r="D434" s="14" t="s">
        <v>24</v>
      </c>
      <c r="E434" s="14" t="s">
        <v>28</v>
      </c>
      <c r="F434" s="19">
        <v>71.83</v>
      </c>
      <c r="G434" s="20">
        <f>SUMPRODUCT(--((B434=$B$4:$B$717)*$F$4:$F$717&gt;F434))+1</f>
        <v>5</v>
      </c>
      <c r="H434" s="18" t="s">
        <v>13</v>
      </c>
    </row>
    <row r="435" s="3" customFormat="1" ht="12" spans="1:8">
      <c r="A435" s="18" t="str">
        <f>"202301604"</f>
        <v>202301604</v>
      </c>
      <c r="B435" s="18" t="str">
        <f t="shared" si="80"/>
        <v>014</v>
      </c>
      <c r="C435" s="18" t="str">
        <f t="shared" si="81"/>
        <v>16</v>
      </c>
      <c r="D435" s="14" t="s">
        <v>24</v>
      </c>
      <c r="E435" s="14" t="s">
        <v>28</v>
      </c>
      <c r="F435" s="19">
        <v>70.09</v>
      </c>
      <c r="G435" s="20">
        <f>SUMPRODUCT(--((B435=$B$4:$B$717)*$F$4:$F$717&gt;F435))+1</f>
        <v>6</v>
      </c>
      <c r="H435" s="18" t="s">
        <v>13</v>
      </c>
    </row>
    <row r="436" s="3" customFormat="1" ht="12" spans="1:8">
      <c r="A436" s="18" t="str">
        <f>"202301727"</f>
        <v>202301727</v>
      </c>
      <c r="B436" s="18" t="str">
        <f t="shared" si="80"/>
        <v>014</v>
      </c>
      <c r="C436" s="18" t="str">
        <f t="shared" si="82"/>
        <v>17</v>
      </c>
      <c r="D436" s="14" t="s">
        <v>24</v>
      </c>
      <c r="E436" s="14" t="s">
        <v>28</v>
      </c>
      <c r="F436" s="19">
        <v>69.01</v>
      </c>
      <c r="G436" s="20">
        <f>SUMPRODUCT(--((B436=$B$4:$B$717)*$F$4:$F$717&gt;F436))+1</f>
        <v>7</v>
      </c>
      <c r="H436" s="18" t="s">
        <v>13</v>
      </c>
    </row>
    <row r="437" s="3" customFormat="1" ht="12" spans="1:8">
      <c r="A437" s="18" t="str">
        <f>"202301722"</f>
        <v>202301722</v>
      </c>
      <c r="B437" s="18" t="str">
        <f t="shared" si="80"/>
        <v>014</v>
      </c>
      <c r="C437" s="18" t="str">
        <f t="shared" si="82"/>
        <v>17</v>
      </c>
      <c r="D437" s="14" t="s">
        <v>24</v>
      </c>
      <c r="E437" s="14" t="s">
        <v>28</v>
      </c>
      <c r="F437" s="19">
        <v>68.87</v>
      </c>
      <c r="G437" s="20">
        <f>SUMPRODUCT(--((B437=$B$4:$B$717)*$F$4:$F$717&gt;F437))+1</f>
        <v>8</v>
      </c>
      <c r="H437" s="18" t="s">
        <v>13</v>
      </c>
    </row>
    <row r="438" s="3" customFormat="1" ht="12" spans="1:8">
      <c r="A438" s="18" t="str">
        <f>"202301907"</f>
        <v>202301907</v>
      </c>
      <c r="B438" s="18" t="str">
        <f t="shared" si="80"/>
        <v>014</v>
      </c>
      <c r="C438" s="18" t="str">
        <f>"19"</f>
        <v>19</v>
      </c>
      <c r="D438" s="14" t="s">
        <v>24</v>
      </c>
      <c r="E438" s="14" t="s">
        <v>28</v>
      </c>
      <c r="F438" s="19">
        <v>68.86</v>
      </c>
      <c r="G438" s="20">
        <f>SUMPRODUCT(--((B438=$B$4:$B$717)*$F$4:$F$717&gt;F438))+1</f>
        <v>9</v>
      </c>
      <c r="H438" s="18" t="s">
        <v>13</v>
      </c>
    </row>
    <row r="439" s="3" customFormat="1" ht="12" spans="1:8">
      <c r="A439" s="18" t="str">
        <f>"202301817"</f>
        <v>202301817</v>
      </c>
      <c r="B439" s="18" t="str">
        <f t="shared" si="80"/>
        <v>014</v>
      </c>
      <c r="C439" s="18" t="str">
        <f t="shared" ref="C439:C443" si="83">"18"</f>
        <v>18</v>
      </c>
      <c r="D439" s="14" t="s">
        <v>24</v>
      </c>
      <c r="E439" s="14" t="s">
        <v>28</v>
      </c>
      <c r="F439" s="19">
        <v>68.35</v>
      </c>
      <c r="G439" s="20">
        <f>SUMPRODUCT(--((B439=$B$4:$B$717)*$F$4:$F$717&gt;F439))+1</f>
        <v>10</v>
      </c>
      <c r="H439" s="18" t="s">
        <v>13</v>
      </c>
    </row>
    <row r="440" s="3" customFormat="1" ht="12" spans="1:8">
      <c r="A440" s="18" t="str">
        <f>"202301830"</f>
        <v>202301830</v>
      </c>
      <c r="B440" s="18" t="str">
        <f t="shared" si="80"/>
        <v>014</v>
      </c>
      <c r="C440" s="18" t="str">
        <f t="shared" si="83"/>
        <v>18</v>
      </c>
      <c r="D440" s="14" t="s">
        <v>24</v>
      </c>
      <c r="E440" s="14" t="s">
        <v>28</v>
      </c>
      <c r="F440" s="19">
        <v>67.99</v>
      </c>
      <c r="G440" s="20">
        <f>SUMPRODUCT(--((B440=$B$4:$B$717)*$F$4:$F$717&gt;F440))+1</f>
        <v>11</v>
      </c>
      <c r="H440" s="18" t="s">
        <v>13</v>
      </c>
    </row>
    <row r="441" s="3" customFormat="1" ht="12" spans="1:8">
      <c r="A441" s="18" t="str">
        <f>"202301714"</f>
        <v>202301714</v>
      </c>
      <c r="B441" s="18" t="str">
        <f t="shared" si="80"/>
        <v>014</v>
      </c>
      <c r="C441" s="18" t="str">
        <f>"17"</f>
        <v>17</v>
      </c>
      <c r="D441" s="14" t="s">
        <v>24</v>
      </c>
      <c r="E441" s="14" t="s">
        <v>28</v>
      </c>
      <c r="F441" s="19">
        <v>67.84</v>
      </c>
      <c r="G441" s="20">
        <f>SUMPRODUCT(--((B441=$B$4:$B$717)*$F$4:$F$717&gt;F441))+1</f>
        <v>12</v>
      </c>
      <c r="H441" s="18" t="s">
        <v>13</v>
      </c>
    </row>
    <row r="442" s="3" customFormat="1" ht="12" spans="1:8">
      <c r="A442" s="18" t="str">
        <f>"202301708"</f>
        <v>202301708</v>
      </c>
      <c r="B442" s="18" t="str">
        <f t="shared" si="80"/>
        <v>014</v>
      </c>
      <c r="C442" s="18" t="str">
        <f>"17"</f>
        <v>17</v>
      </c>
      <c r="D442" s="14" t="s">
        <v>24</v>
      </c>
      <c r="E442" s="14" t="s">
        <v>28</v>
      </c>
      <c r="F442" s="19">
        <v>67.58</v>
      </c>
      <c r="G442" s="20">
        <f>SUMPRODUCT(--((B442=$B$4:$B$717)*$F$4:$F$717&gt;F442))+1</f>
        <v>13</v>
      </c>
      <c r="H442" s="18" t="s">
        <v>13</v>
      </c>
    </row>
    <row r="443" s="3" customFormat="1" ht="12" spans="1:8">
      <c r="A443" s="18" t="str">
        <f>"202301812"</f>
        <v>202301812</v>
      </c>
      <c r="B443" s="18" t="str">
        <f t="shared" si="80"/>
        <v>014</v>
      </c>
      <c r="C443" s="18" t="str">
        <f t="shared" si="83"/>
        <v>18</v>
      </c>
      <c r="D443" s="14" t="s">
        <v>24</v>
      </c>
      <c r="E443" s="14" t="s">
        <v>28</v>
      </c>
      <c r="F443" s="19">
        <v>66.5</v>
      </c>
      <c r="G443" s="20">
        <f>SUMPRODUCT(--((B443=$B$4:$B$717)*$F$4:$F$717&gt;F443))+1</f>
        <v>14</v>
      </c>
      <c r="H443" s="18" t="s">
        <v>13</v>
      </c>
    </row>
    <row r="444" s="3" customFormat="1" ht="12" spans="1:8">
      <c r="A444" s="18" t="str">
        <f>"202302003"</f>
        <v>202302003</v>
      </c>
      <c r="B444" s="18" t="str">
        <f t="shared" si="80"/>
        <v>014</v>
      </c>
      <c r="C444" s="18" t="str">
        <f>"20"</f>
        <v>20</v>
      </c>
      <c r="D444" s="14" t="s">
        <v>24</v>
      </c>
      <c r="E444" s="14" t="s">
        <v>28</v>
      </c>
      <c r="F444" s="19">
        <v>66.44</v>
      </c>
      <c r="G444" s="20">
        <f>SUMPRODUCT(--((B444=$B$4:$B$717)*$F$4:$F$717&gt;F444))+1</f>
        <v>15</v>
      </c>
      <c r="H444" s="18" t="s">
        <v>13</v>
      </c>
    </row>
    <row r="445" s="3" customFormat="1" ht="12" spans="1:8">
      <c r="A445" s="18" t="str">
        <f>"202301818"</f>
        <v>202301818</v>
      </c>
      <c r="B445" s="18" t="str">
        <f t="shared" si="80"/>
        <v>014</v>
      </c>
      <c r="C445" s="18" t="str">
        <f t="shared" ref="C445:C450" si="84">"18"</f>
        <v>18</v>
      </c>
      <c r="D445" s="14" t="s">
        <v>24</v>
      </c>
      <c r="E445" s="14" t="s">
        <v>28</v>
      </c>
      <c r="F445" s="19">
        <v>66.25</v>
      </c>
      <c r="G445" s="20">
        <f>SUMPRODUCT(--((B445=$B$4:$B$717)*$F$4:$F$717&gt;F445))+1</f>
        <v>16</v>
      </c>
      <c r="H445" s="18" t="s">
        <v>13</v>
      </c>
    </row>
    <row r="446" s="3" customFormat="1" ht="12" spans="1:8">
      <c r="A446" s="18" t="str">
        <f>"202301913"</f>
        <v>202301913</v>
      </c>
      <c r="B446" s="18" t="str">
        <f t="shared" si="80"/>
        <v>014</v>
      </c>
      <c r="C446" s="18" t="str">
        <f>"19"</f>
        <v>19</v>
      </c>
      <c r="D446" s="14" t="s">
        <v>24</v>
      </c>
      <c r="E446" s="14" t="s">
        <v>28</v>
      </c>
      <c r="F446" s="19">
        <v>65.95</v>
      </c>
      <c r="G446" s="20">
        <f>SUMPRODUCT(--((B446=$B$4:$B$717)*$F$4:$F$717&gt;F446))+1</f>
        <v>17</v>
      </c>
      <c r="H446" s="18" t="s">
        <v>13</v>
      </c>
    </row>
    <row r="447" s="3" customFormat="1" ht="12" spans="1:8">
      <c r="A447" s="18" t="str">
        <f>"202301721"</f>
        <v>202301721</v>
      </c>
      <c r="B447" s="18" t="str">
        <f t="shared" si="80"/>
        <v>014</v>
      </c>
      <c r="C447" s="18" t="str">
        <f>"17"</f>
        <v>17</v>
      </c>
      <c r="D447" s="14" t="s">
        <v>24</v>
      </c>
      <c r="E447" s="14" t="s">
        <v>28</v>
      </c>
      <c r="F447" s="19">
        <v>65.87</v>
      </c>
      <c r="G447" s="20">
        <f>SUMPRODUCT(--((B447=$B$4:$B$717)*$F$4:$F$717&gt;F447))+1</f>
        <v>18</v>
      </c>
      <c r="H447" s="18" t="s">
        <v>13</v>
      </c>
    </row>
    <row r="448" s="3" customFormat="1" ht="12" spans="1:8">
      <c r="A448" s="18" t="str">
        <f>"202301820"</f>
        <v>202301820</v>
      </c>
      <c r="B448" s="18" t="str">
        <f t="shared" si="80"/>
        <v>014</v>
      </c>
      <c r="C448" s="18" t="str">
        <f t="shared" si="84"/>
        <v>18</v>
      </c>
      <c r="D448" s="14" t="s">
        <v>24</v>
      </c>
      <c r="E448" s="14" t="s">
        <v>28</v>
      </c>
      <c r="F448" s="19">
        <v>65.58</v>
      </c>
      <c r="G448" s="20">
        <f>SUMPRODUCT(--((B448=$B$4:$B$717)*$F$4:$F$717&gt;F448))+1</f>
        <v>19</v>
      </c>
      <c r="H448" s="18" t="s">
        <v>13</v>
      </c>
    </row>
    <row r="449" s="3" customFormat="1" ht="12" spans="1:8">
      <c r="A449" s="18" t="str">
        <f>"202301823"</f>
        <v>202301823</v>
      </c>
      <c r="B449" s="18" t="str">
        <f t="shared" si="80"/>
        <v>014</v>
      </c>
      <c r="C449" s="18" t="str">
        <f t="shared" si="84"/>
        <v>18</v>
      </c>
      <c r="D449" s="14" t="s">
        <v>24</v>
      </c>
      <c r="E449" s="14" t="s">
        <v>28</v>
      </c>
      <c r="F449" s="19">
        <v>65.17</v>
      </c>
      <c r="G449" s="20">
        <f>SUMPRODUCT(--((B449=$B$4:$B$717)*$F$4:$F$717&gt;F449))+1</f>
        <v>20</v>
      </c>
      <c r="H449" s="18" t="s">
        <v>13</v>
      </c>
    </row>
    <row r="450" s="3" customFormat="1" ht="12" spans="1:8">
      <c r="A450" s="18" t="str">
        <f>"202301804"</f>
        <v>202301804</v>
      </c>
      <c r="B450" s="18" t="str">
        <f t="shared" si="80"/>
        <v>014</v>
      </c>
      <c r="C450" s="18" t="str">
        <f t="shared" si="84"/>
        <v>18</v>
      </c>
      <c r="D450" s="14" t="s">
        <v>24</v>
      </c>
      <c r="E450" s="14" t="s">
        <v>28</v>
      </c>
      <c r="F450" s="19">
        <v>64.76</v>
      </c>
      <c r="G450" s="20">
        <f>SUMPRODUCT(--((B450=$B$4:$B$717)*$F$4:$F$717&gt;F450))+1</f>
        <v>21</v>
      </c>
      <c r="H450" s="18" t="s">
        <v>13</v>
      </c>
    </row>
    <row r="451" s="3" customFormat="1" ht="12" spans="1:8">
      <c r="A451" s="18" t="str">
        <f>"202301611"</f>
        <v>202301611</v>
      </c>
      <c r="B451" s="18" t="str">
        <f t="shared" si="80"/>
        <v>014</v>
      </c>
      <c r="C451" s="18" t="str">
        <f t="shared" ref="C451:C456" si="85">"16"</f>
        <v>16</v>
      </c>
      <c r="D451" s="14" t="s">
        <v>24</v>
      </c>
      <c r="E451" s="14" t="s">
        <v>28</v>
      </c>
      <c r="F451" s="19">
        <v>64.5</v>
      </c>
      <c r="G451" s="20">
        <f>SUMPRODUCT(--((B451=$B$4:$B$717)*$F$4:$F$717&gt;F451))+1</f>
        <v>22</v>
      </c>
      <c r="H451" s="18" t="s">
        <v>13</v>
      </c>
    </row>
    <row r="452" s="3" customFormat="1" ht="12" spans="1:8">
      <c r="A452" s="18" t="str">
        <f>"202301622"</f>
        <v>202301622</v>
      </c>
      <c r="B452" s="18" t="str">
        <f t="shared" si="80"/>
        <v>014</v>
      </c>
      <c r="C452" s="18" t="str">
        <f t="shared" si="85"/>
        <v>16</v>
      </c>
      <c r="D452" s="14" t="s">
        <v>24</v>
      </c>
      <c r="E452" s="14" t="s">
        <v>28</v>
      </c>
      <c r="F452" s="19">
        <v>64.36</v>
      </c>
      <c r="G452" s="20">
        <f>SUMPRODUCT(--((B452=$B$4:$B$717)*$F$4:$F$717&gt;F452))+1</f>
        <v>23</v>
      </c>
      <c r="H452" s="18" t="s">
        <v>13</v>
      </c>
    </row>
    <row r="453" s="3" customFormat="1" ht="12" spans="1:8">
      <c r="A453" s="18" t="str">
        <f>"202301709"</f>
        <v>202301709</v>
      </c>
      <c r="B453" s="18" t="str">
        <f t="shared" si="80"/>
        <v>014</v>
      </c>
      <c r="C453" s="18" t="str">
        <f>"17"</f>
        <v>17</v>
      </c>
      <c r="D453" s="14" t="s">
        <v>24</v>
      </c>
      <c r="E453" s="14" t="s">
        <v>28</v>
      </c>
      <c r="F453" s="19">
        <v>64.34</v>
      </c>
      <c r="G453" s="20">
        <f>SUMPRODUCT(--((B453=$B$4:$B$717)*$F$4:$F$717&gt;F453))+1</f>
        <v>24</v>
      </c>
      <c r="H453" s="18" t="s">
        <v>13</v>
      </c>
    </row>
    <row r="454" s="3" customFormat="1" ht="12" spans="1:8">
      <c r="A454" s="18" t="str">
        <f>"202302002"</f>
        <v>202302002</v>
      </c>
      <c r="B454" s="18" t="str">
        <f t="shared" si="80"/>
        <v>014</v>
      </c>
      <c r="C454" s="18" t="str">
        <f>"20"</f>
        <v>20</v>
      </c>
      <c r="D454" s="14" t="s">
        <v>24</v>
      </c>
      <c r="E454" s="14" t="s">
        <v>28</v>
      </c>
      <c r="F454" s="19">
        <v>64.08</v>
      </c>
      <c r="G454" s="20">
        <f>SUMPRODUCT(--((B454=$B$4:$B$717)*$F$4:$F$717&gt;F454))+1</f>
        <v>25</v>
      </c>
      <c r="H454" s="18" t="s">
        <v>13</v>
      </c>
    </row>
    <row r="455" s="3" customFormat="1" ht="12" spans="1:8">
      <c r="A455" s="18" t="str">
        <f>"202302001"</f>
        <v>202302001</v>
      </c>
      <c r="B455" s="18" t="str">
        <f t="shared" si="80"/>
        <v>014</v>
      </c>
      <c r="C455" s="18" t="str">
        <f>"20"</f>
        <v>20</v>
      </c>
      <c r="D455" s="14" t="s">
        <v>24</v>
      </c>
      <c r="E455" s="14" t="s">
        <v>28</v>
      </c>
      <c r="F455" s="19">
        <v>64.03</v>
      </c>
      <c r="G455" s="20">
        <f>SUMPRODUCT(--((B455=$B$4:$B$717)*$F$4:$F$717&gt;F455))+1</f>
        <v>26</v>
      </c>
      <c r="H455" s="18" t="s">
        <v>13</v>
      </c>
    </row>
    <row r="456" s="3" customFormat="1" ht="12" spans="1:8">
      <c r="A456" s="18" t="str">
        <f>"202301617"</f>
        <v>202301617</v>
      </c>
      <c r="B456" s="18" t="str">
        <f t="shared" si="80"/>
        <v>014</v>
      </c>
      <c r="C456" s="18" t="str">
        <f t="shared" si="85"/>
        <v>16</v>
      </c>
      <c r="D456" s="14" t="s">
        <v>24</v>
      </c>
      <c r="E456" s="14" t="s">
        <v>28</v>
      </c>
      <c r="F456" s="19">
        <v>63.77</v>
      </c>
      <c r="G456" s="20">
        <f>SUMPRODUCT(--((B456=$B$4:$B$717)*$F$4:$F$717&gt;F456))+1</f>
        <v>27</v>
      </c>
      <c r="H456" s="18" t="s">
        <v>13</v>
      </c>
    </row>
    <row r="457" s="3" customFormat="1" ht="12" spans="1:8">
      <c r="A457" s="18" t="str">
        <f>"202301706"</f>
        <v>202301706</v>
      </c>
      <c r="B457" s="18" t="str">
        <f t="shared" si="80"/>
        <v>014</v>
      </c>
      <c r="C457" s="18" t="str">
        <f t="shared" ref="C457:C463" si="86">"17"</f>
        <v>17</v>
      </c>
      <c r="D457" s="14" t="s">
        <v>24</v>
      </c>
      <c r="E457" s="14" t="s">
        <v>28</v>
      </c>
      <c r="F457" s="19">
        <v>63.51</v>
      </c>
      <c r="G457" s="20">
        <f>SUMPRODUCT(--((B457=$B$4:$B$717)*$F$4:$F$717&gt;F457))+1</f>
        <v>28</v>
      </c>
      <c r="H457" s="18" t="s">
        <v>13</v>
      </c>
    </row>
    <row r="458" s="3" customFormat="1" ht="12" spans="1:8">
      <c r="A458" s="18" t="str">
        <f>"202301808"</f>
        <v>202301808</v>
      </c>
      <c r="B458" s="18" t="str">
        <f t="shared" si="80"/>
        <v>014</v>
      </c>
      <c r="C458" s="18" t="str">
        <f>"18"</f>
        <v>18</v>
      </c>
      <c r="D458" s="14" t="s">
        <v>24</v>
      </c>
      <c r="E458" s="14" t="s">
        <v>28</v>
      </c>
      <c r="F458" s="19">
        <v>63.18</v>
      </c>
      <c r="G458" s="20">
        <f>SUMPRODUCT(--((B458=$B$4:$B$717)*$F$4:$F$717&gt;F458))+1</f>
        <v>29</v>
      </c>
      <c r="H458" s="18" t="s">
        <v>13</v>
      </c>
    </row>
    <row r="459" s="3" customFormat="1" ht="12" spans="1:8">
      <c r="A459" s="18" t="str">
        <f>"202301919"</f>
        <v>202301919</v>
      </c>
      <c r="B459" s="18" t="str">
        <f t="shared" si="80"/>
        <v>014</v>
      </c>
      <c r="C459" s="18" t="str">
        <f>"19"</f>
        <v>19</v>
      </c>
      <c r="D459" s="14" t="s">
        <v>24</v>
      </c>
      <c r="E459" s="14" t="s">
        <v>28</v>
      </c>
      <c r="F459" s="19">
        <v>62.99</v>
      </c>
      <c r="G459" s="20">
        <f>SUMPRODUCT(--((B459=$B$4:$B$717)*$F$4:$F$717&gt;F459))+1</f>
        <v>30</v>
      </c>
      <c r="H459" s="18" t="s">
        <v>13</v>
      </c>
    </row>
    <row r="460" s="3" customFormat="1" ht="12" spans="1:8">
      <c r="A460" s="18" t="str">
        <f>"202301702"</f>
        <v>202301702</v>
      </c>
      <c r="B460" s="18" t="str">
        <f t="shared" si="80"/>
        <v>014</v>
      </c>
      <c r="C460" s="18" t="str">
        <f t="shared" si="86"/>
        <v>17</v>
      </c>
      <c r="D460" s="14" t="s">
        <v>24</v>
      </c>
      <c r="E460" s="14" t="s">
        <v>28</v>
      </c>
      <c r="F460" s="19">
        <v>62.93</v>
      </c>
      <c r="G460" s="20">
        <f>SUMPRODUCT(--((B460=$B$4:$B$717)*$F$4:$F$717&gt;F460))+1</f>
        <v>31</v>
      </c>
      <c r="H460" s="18" t="s">
        <v>13</v>
      </c>
    </row>
    <row r="461" s="3" customFormat="1" ht="12" spans="1:8">
      <c r="A461" s="18" t="str">
        <f>"202301819"</f>
        <v>202301819</v>
      </c>
      <c r="B461" s="18" t="str">
        <f t="shared" si="80"/>
        <v>014</v>
      </c>
      <c r="C461" s="18" t="str">
        <f>"18"</f>
        <v>18</v>
      </c>
      <c r="D461" s="14" t="s">
        <v>24</v>
      </c>
      <c r="E461" s="14" t="s">
        <v>28</v>
      </c>
      <c r="F461" s="19">
        <v>62.85</v>
      </c>
      <c r="G461" s="20">
        <f>SUMPRODUCT(--((B461=$B$4:$B$717)*$F$4:$F$717&gt;F461))+1</f>
        <v>32</v>
      </c>
      <c r="H461" s="18" t="s">
        <v>13</v>
      </c>
    </row>
    <row r="462" s="3" customFormat="1" ht="12" spans="1:8">
      <c r="A462" s="18" t="str">
        <f>"202301730"</f>
        <v>202301730</v>
      </c>
      <c r="B462" s="18" t="str">
        <f t="shared" si="80"/>
        <v>014</v>
      </c>
      <c r="C462" s="18" t="str">
        <f t="shared" si="86"/>
        <v>17</v>
      </c>
      <c r="D462" s="14" t="s">
        <v>24</v>
      </c>
      <c r="E462" s="14" t="s">
        <v>28</v>
      </c>
      <c r="F462" s="19">
        <v>62.78</v>
      </c>
      <c r="G462" s="20">
        <f>SUMPRODUCT(--((B462=$B$4:$B$717)*$F$4:$F$717&gt;F462))+1</f>
        <v>33</v>
      </c>
      <c r="H462" s="18" t="s">
        <v>13</v>
      </c>
    </row>
    <row r="463" s="3" customFormat="1" ht="12" spans="1:8">
      <c r="A463" s="18" t="str">
        <f>"202301725"</f>
        <v>202301725</v>
      </c>
      <c r="B463" s="18" t="str">
        <f t="shared" si="80"/>
        <v>014</v>
      </c>
      <c r="C463" s="18" t="str">
        <f t="shared" si="86"/>
        <v>17</v>
      </c>
      <c r="D463" s="14" t="s">
        <v>24</v>
      </c>
      <c r="E463" s="14" t="s">
        <v>28</v>
      </c>
      <c r="F463" s="19">
        <v>62.75</v>
      </c>
      <c r="G463" s="20">
        <f>SUMPRODUCT(--((B463=$B$4:$B$717)*$F$4:$F$717&gt;F463))+1</f>
        <v>34</v>
      </c>
      <c r="H463" s="18" t="s">
        <v>13</v>
      </c>
    </row>
    <row r="464" s="3" customFormat="1" ht="12" spans="1:8">
      <c r="A464" s="18" t="str">
        <f>"202301605"</f>
        <v>202301605</v>
      </c>
      <c r="B464" s="18" t="str">
        <f t="shared" si="80"/>
        <v>014</v>
      </c>
      <c r="C464" s="18" t="str">
        <f t="shared" ref="C464:C467" si="87">"16"</f>
        <v>16</v>
      </c>
      <c r="D464" s="14" t="s">
        <v>24</v>
      </c>
      <c r="E464" s="14" t="s">
        <v>28</v>
      </c>
      <c r="F464" s="19">
        <v>62.59</v>
      </c>
      <c r="G464" s="20">
        <f>SUMPRODUCT(--((B464=$B$4:$B$717)*$F$4:$F$717&gt;F464))+1</f>
        <v>35</v>
      </c>
      <c r="H464" s="18" t="s">
        <v>13</v>
      </c>
    </row>
    <row r="465" s="3" customFormat="1" ht="12" spans="1:8">
      <c r="A465" s="18" t="str">
        <f>"202301623"</f>
        <v>202301623</v>
      </c>
      <c r="B465" s="18" t="str">
        <f t="shared" si="80"/>
        <v>014</v>
      </c>
      <c r="C465" s="18" t="str">
        <f t="shared" si="87"/>
        <v>16</v>
      </c>
      <c r="D465" s="14" t="s">
        <v>24</v>
      </c>
      <c r="E465" s="14" t="s">
        <v>28</v>
      </c>
      <c r="F465" s="19">
        <v>62.59</v>
      </c>
      <c r="G465" s="20">
        <f>SUMPRODUCT(--((B465=$B$4:$B$717)*$F$4:$F$717&gt;F465))+1</f>
        <v>35</v>
      </c>
      <c r="H465" s="18" t="s">
        <v>13</v>
      </c>
    </row>
    <row r="466" s="3" customFormat="1" ht="12" spans="1:8">
      <c r="A466" s="18" t="str">
        <f>"202301704"</f>
        <v>202301704</v>
      </c>
      <c r="B466" s="18" t="str">
        <f t="shared" si="80"/>
        <v>014</v>
      </c>
      <c r="C466" s="18" t="str">
        <f>"17"</f>
        <v>17</v>
      </c>
      <c r="D466" s="14" t="s">
        <v>24</v>
      </c>
      <c r="E466" s="14" t="s">
        <v>28</v>
      </c>
      <c r="F466" s="19">
        <v>62.45</v>
      </c>
      <c r="G466" s="20">
        <f>SUMPRODUCT(--((B466=$B$4:$B$717)*$F$4:$F$717&gt;F466))+1</f>
        <v>37</v>
      </c>
      <c r="H466" s="18" t="s">
        <v>13</v>
      </c>
    </row>
    <row r="467" s="3" customFormat="1" ht="12" spans="1:8">
      <c r="A467" s="18" t="str">
        <f>"202301610"</f>
        <v>202301610</v>
      </c>
      <c r="B467" s="18" t="str">
        <f t="shared" si="80"/>
        <v>014</v>
      </c>
      <c r="C467" s="18" t="str">
        <f t="shared" si="87"/>
        <v>16</v>
      </c>
      <c r="D467" s="14" t="s">
        <v>24</v>
      </c>
      <c r="E467" s="14" t="s">
        <v>28</v>
      </c>
      <c r="F467" s="19">
        <v>62.17</v>
      </c>
      <c r="G467" s="20">
        <f>SUMPRODUCT(--((B467=$B$4:$B$717)*$F$4:$F$717&gt;F467))+1</f>
        <v>38</v>
      </c>
      <c r="H467" s="18" t="s">
        <v>13</v>
      </c>
    </row>
    <row r="468" s="3" customFormat="1" ht="12" spans="1:8">
      <c r="A468" s="18" t="str">
        <f>"202301810"</f>
        <v>202301810</v>
      </c>
      <c r="B468" s="18" t="str">
        <f t="shared" si="80"/>
        <v>014</v>
      </c>
      <c r="C468" s="18" t="str">
        <f>"18"</f>
        <v>18</v>
      </c>
      <c r="D468" s="14" t="s">
        <v>24</v>
      </c>
      <c r="E468" s="14" t="s">
        <v>28</v>
      </c>
      <c r="F468" s="19">
        <v>62.12</v>
      </c>
      <c r="G468" s="20">
        <f>SUMPRODUCT(--((B468=$B$4:$B$717)*$F$4:$F$717&gt;F468))+1</f>
        <v>39</v>
      </c>
      <c r="H468" s="18" t="s">
        <v>13</v>
      </c>
    </row>
    <row r="469" s="3" customFormat="1" ht="12" spans="1:8">
      <c r="A469" s="18" t="str">
        <f>"202301822"</f>
        <v>202301822</v>
      </c>
      <c r="B469" s="18" t="str">
        <f t="shared" si="80"/>
        <v>014</v>
      </c>
      <c r="C469" s="18" t="str">
        <f>"18"</f>
        <v>18</v>
      </c>
      <c r="D469" s="14" t="s">
        <v>24</v>
      </c>
      <c r="E469" s="14" t="s">
        <v>28</v>
      </c>
      <c r="F469" s="19">
        <v>62.09</v>
      </c>
      <c r="G469" s="20">
        <f>SUMPRODUCT(--((B469=$B$4:$B$717)*$F$4:$F$717&gt;F469))+1</f>
        <v>40</v>
      </c>
      <c r="H469" s="18" t="s">
        <v>13</v>
      </c>
    </row>
    <row r="470" s="3" customFormat="1" ht="12" spans="1:8">
      <c r="A470" s="18" t="str">
        <f>"202301909"</f>
        <v>202301909</v>
      </c>
      <c r="B470" s="18" t="str">
        <f t="shared" si="80"/>
        <v>014</v>
      </c>
      <c r="C470" s="18" t="str">
        <f t="shared" ref="C470:C474" si="88">"19"</f>
        <v>19</v>
      </c>
      <c r="D470" s="14" t="s">
        <v>24</v>
      </c>
      <c r="E470" s="14" t="s">
        <v>28</v>
      </c>
      <c r="F470" s="19">
        <v>61.51</v>
      </c>
      <c r="G470" s="20">
        <f>SUMPRODUCT(--((B470=$B$4:$B$717)*$F$4:$F$717&gt;F470))+1</f>
        <v>41</v>
      </c>
      <c r="H470" s="18" t="s">
        <v>13</v>
      </c>
    </row>
    <row r="471" s="3" customFormat="1" ht="12" spans="1:8">
      <c r="A471" s="18" t="str">
        <f>"202301624"</f>
        <v>202301624</v>
      </c>
      <c r="B471" s="18" t="str">
        <f t="shared" si="80"/>
        <v>014</v>
      </c>
      <c r="C471" s="18" t="str">
        <f>"16"</f>
        <v>16</v>
      </c>
      <c r="D471" s="14" t="s">
        <v>24</v>
      </c>
      <c r="E471" s="14" t="s">
        <v>28</v>
      </c>
      <c r="F471" s="19">
        <v>61.26</v>
      </c>
      <c r="G471" s="20">
        <f>SUMPRODUCT(--((B471=$B$4:$B$717)*$F$4:$F$717&gt;F471))+1</f>
        <v>42</v>
      </c>
      <c r="H471" s="18" t="s">
        <v>13</v>
      </c>
    </row>
    <row r="472" s="3" customFormat="1" ht="12" spans="1:8">
      <c r="A472" s="18" t="str">
        <f>"202301920"</f>
        <v>202301920</v>
      </c>
      <c r="B472" s="18" t="str">
        <f t="shared" si="80"/>
        <v>014</v>
      </c>
      <c r="C472" s="18" t="str">
        <f t="shared" si="88"/>
        <v>19</v>
      </c>
      <c r="D472" s="14" t="s">
        <v>24</v>
      </c>
      <c r="E472" s="14" t="s">
        <v>28</v>
      </c>
      <c r="F472" s="19">
        <v>61.22</v>
      </c>
      <c r="G472" s="20">
        <f>SUMPRODUCT(--((B472=$B$4:$B$717)*$F$4:$F$717&gt;F472))+1</f>
        <v>43</v>
      </c>
      <c r="H472" s="18" t="s">
        <v>13</v>
      </c>
    </row>
    <row r="473" s="3" customFormat="1" ht="12" spans="1:8">
      <c r="A473" s="18" t="str">
        <f>"202301713"</f>
        <v>202301713</v>
      </c>
      <c r="B473" s="18" t="str">
        <f t="shared" si="80"/>
        <v>014</v>
      </c>
      <c r="C473" s="18" t="str">
        <f>"17"</f>
        <v>17</v>
      </c>
      <c r="D473" s="14" t="s">
        <v>24</v>
      </c>
      <c r="E473" s="14" t="s">
        <v>28</v>
      </c>
      <c r="F473" s="19">
        <v>60.6</v>
      </c>
      <c r="G473" s="20">
        <f>SUMPRODUCT(--((B473=$B$4:$B$717)*$F$4:$F$717&gt;F473))+1</f>
        <v>44</v>
      </c>
      <c r="H473" s="18" t="s">
        <v>13</v>
      </c>
    </row>
    <row r="474" s="3" customFormat="1" ht="12" spans="1:8">
      <c r="A474" s="18" t="str">
        <f>"202301914"</f>
        <v>202301914</v>
      </c>
      <c r="B474" s="18" t="str">
        <f t="shared" si="80"/>
        <v>014</v>
      </c>
      <c r="C474" s="18" t="str">
        <f t="shared" si="88"/>
        <v>19</v>
      </c>
      <c r="D474" s="14" t="s">
        <v>24</v>
      </c>
      <c r="E474" s="14" t="s">
        <v>28</v>
      </c>
      <c r="F474" s="19">
        <v>60.55</v>
      </c>
      <c r="G474" s="20">
        <f>SUMPRODUCT(--((B474=$B$4:$B$717)*$F$4:$F$717&gt;F474))+1</f>
        <v>45</v>
      </c>
      <c r="H474" s="18" t="s">
        <v>13</v>
      </c>
    </row>
    <row r="475" s="3" customFormat="1" ht="12" spans="1:8">
      <c r="A475" s="18" t="str">
        <f>"202301716"</f>
        <v>202301716</v>
      </c>
      <c r="B475" s="18" t="str">
        <f t="shared" si="80"/>
        <v>014</v>
      </c>
      <c r="C475" s="18" t="str">
        <f>"17"</f>
        <v>17</v>
      </c>
      <c r="D475" s="14" t="s">
        <v>24</v>
      </c>
      <c r="E475" s="14" t="s">
        <v>28</v>
      </c>
      <c r="F475" s="19">
        <v>60.51</v>
      </c>
      <c r="G475" s="20">
        <f>SUMPRODUCT(--((B475=$B$4:$B$717)*$F$4:$F$717&gt;F475))+1</f>
        <v>46</v>
      </c>
      <c r="H475" s="18" t="s">
        <v>13</v>
      </c>
    </row>
    <row r="476" s="3" customFormat="1" ht="12" spans="1:8">
      <c r="A476" s="18" t="str">
        <f>"202301627"</f>
        <v>202301627</v>
      </c>
      <c r="B476" s="18" t="str">
        <f t="shared" si="80"/>
        <v>014</v>
      </c>
      <c r="C476" s="18" t="str">
        <f>"16"</f>
        <v>16</v>
      </c>
      <c r="D476" s="14" t="s">
        <v>24</v>
      </c>
      <c r="E476" s="14" t="s">
        <v>28</v>
      </c>
      <c r="F476" s="19">
        <v>60.42</v>
      </c>
      <c r="G476" s="20">
        <f>SUMPRODUCT(--((B476=$B$4:$B$717)*$F$4:$F$717&gt;F476))+1</f>
        <v>47</v>
      </c>
      <c r="H476" s="18" t="s">
        <v>13</v>
      </c>
    </row>
    <row r="477" s="3" customFormat="1" ht="12" spans="1:8">
      <c r="A477" s="18" t="str">
        <f>"202301915"</f>
        <v>202301915</v>
      </c>
      <c r="B477" s="18" t="str">
        <f t="shared" si="80"/>
        <v>014</v>
      </c>
      <c r="C477" s="18" t="str">
        <f>"19"</f>
        <v>19</v>
      </c>
      <c r="D477" s="14" t="s">
        <v>24</v>
      </c>
      <c r="E477" s="14" t="s">
        <v>28</v>
      </c>
      <c r="F477" s="19">
        <v>60.42</v>
      </c>
      <c r="G477" s="20">
        <f>SUMPRODUCT(--((B477=$B$4:$B$717)*$F$4:$F$717&gt;F477))+1</f>
        <v>47</v>
      </c>
      <c r="H477" s="18" t="s">
        <v>13</v>
      </c>
    </row>
    <row r="478" s="3" customFormat="1" ht="12" spans="1:8">
      <c r="A478" s="18" t="str">
        <f>"202301813"</f>
        <v>202301813</v>
      </c>
      <c r="B478" s="18" t="str">
        <f t="shared" si="80"/>
        <v>014</v>
      </c>
      <c r="C478" s="18" t="str">
        <f t="shared" ref="C478:C481" si="89">"18"</f>
        <v>18</v>
      </c>
      <c r="D478" s="14" t="s">
        <v>24</v>
      </c>
      <c r="E478" s="14" t="s">
        <v>28</v>
      </c>
      <c r="F478" s="19">
        <v>59.89</v>
      </c>
      <c r="G478" s="20">
        <f>SUMPRODUCT(--((B478=$B$4:$B$717)*$F$4:$F$717&gt;F478))+1</f>
        <v>49</v>
      </c>
      <c r="H478" s="18" t="s">
        <v>13</v>
      </c>
    </row>
    <row r="479" s="3" customFormat="1" ht="12" spans="1:8">
      <c r="A479" s="18" t="str">
        <f>"202301816"</f>
        <v>202301816</v>
      </c>
      <c r="B479" s="18" t="str">
        <f t="shared" si="80"/>
        <v>014</v>
      </c>
      <c r="C479" s="18" t="str">
        <f t="shared" si="89"/>
        <v>18</v>
      </c>
      <c r="D479" s="14" t="s">
        <v>24</v>
      </c>
      <c r="E479" s="14" t="s">
        <v>28</v>
      </c>
      <c r="F479" s="19">
        <v>59.77</v>
      </c>
      <c r="G479" s="20">
        <f>SUMPRODUCT(--((B479=$B$4:$B$717)*$F$4:$F$717&gt;F479))+1</f>
        <v>50</v>
      </c>
      <c r="H479" s="18" t="s">
        <v>13</v>
      </c>
    </row>
    <row r="480" s="3" customFormat="1" ht="12" spans="1:8">
      <c r="A480" s="18" t="str">
        <f>"202301912"</f>
        <v>202301912</v>
      </c>
      <c r="B480" s="18" t="str">
        <f t="shared" si="80"/>
        <v>014</v>
      </c>
      <c r="C480" s="18" t="str">
        <f>"19"</f>
        <v>19</v>
      </c>
      <c r="D480" s="14" t="s">
        <v>24</v>
      </c>
      <c r="E480" s="14" t="s">
        <v>28</v>
      </c>
      <c r="F480" s="19">
        <v>59.71</v>
      </c>
      <c r="G480" s="20">
        <f>SUMPRODUCT(--((B480=$B$4:$B$717)*$F$4:$F$717&gt;F480))+1</f>
        <v>51</v>
      </c>
      <c r="H480" s="18" t="s">
        <v>13</v>
      </c>
    </row>
    <row r="481" s="3" customFormat="1" ht="12" spans="1:8">
      <c r="A481" s="18" t="str">
        <f>"202301802"</f>
        <v>202301802</v>
      </c>
      <c r="B481" s="18" t="str">
        <f t="shared" si="80"/>
        <v>014</v>
      </c>
      <c r="C481" s="18" t="str">
        <f t="shared" si="89"/>
        <v>18</v>
      </c>
      <c r="D481" s="14" t="s">
        <v>24</v>
      </c>
      <c r="E481" s="14" t="s">
        <v>28</v>
      </c>
      <c r="F481" s="19">
        <v>59.49</v>
      </c>
      <c r="G481" s="20">
        <f>SUMPRODUCT(--((B481=$B$4:$B$717)*$F$4:$F$717&gt;F481))+1</f>
        <v>52</v>
      </c>
      <c r="H481" s="18" t="s">
        <v>13</v>
      </c>
    </row>
    <row r="482" s="3" customFormat="1" ht="12" spans="1:8">
      <c r="A482" s="18" t="str">
        <f>"202301703"</f>
        <v>202301703</v>
      </c>
      <c r="B482" s="18" t="str">
        <f t="shared" si="80"/>
        <v>014</v>
      </c>
      <c r="C482" s="18" t="str">
        <f>"17"</f>
        <v>17</v>
      </c>
      <c r="D482" s="14" t="s">
        <v>24</v>
      </c>
      <c r="E482" s="14" t="s">
        <v>28</v>
      </c>
      <c r="F482" s="19">
        <v>59.42</v>
      </c>
      <c r="G482" s="20">
        <f>SUMPRODUCT(--((B482=$B$4:$B$717)*$F$4:$F$717&gt;F482))+1</f>
        <v>53</v>
      </c>
      <c r="H482" s="18" t="s">
        <v>13</v>
      </c>
    </row>
    <row r="483" s="3" customFormat="1" ht="12" spans="1:8">
      <c r="A483" s="18" t="str">
        <f>"202301712"</f>
        <v>202301712</v>
      </c>
      <c r="B483" s="18" t="str">
        <f t="shared" si="80"/>
        <v>014</v>
      </c>
      <c r="C483" s="18" t="str">
        <f>"17"</f>
        <v>17</v>
      </c>
      <c r="D483" s="14" t="s">
        <v>24</v>
      </c>
      <c r="E483" s="14" t="s">
        <v>28</v>
      </c>
      <c r="F483" s="19">
        <v>59.36</v>
      </c>
      <c r="G483" s="20">
        <f>SUMPRODUCT(--((B483=$B$4:$B$717)*$F$4:$F$717&gt;F483))+1</f>
        <v>54</v>
      </c>
      <c r="H483" s="18" t="s">
        <v>13</v>
      </c>
    </row>
    <row r="484" s="3" customFormat="1" ht="12" spans="1:8">
      <c r="A484" s="18" t="str">
        <f>"202301821"</f>
        <v>202301821</v>
      </c>
      <c r="B484" s="18" t="str">
        <f t="shared" si="80"/>
        <v>014</v>
      </c>
      <c r="C484" s="18" t="str">
        <f>"18"</f>
        <v>18</v>
      </c>
      <c r="D484" s="14" t="s">
        <v>24</v>
      </c>
      <c r="E484" s="14" t="s">
        <v>28</v>
      </c>
      <c r="F484" s="19">
        <v>59.01</v>
      </c>
      <c r="G484" s="20">
        <f>SUMPRODUCT(--((B484=$B$4:$B$717)*$F$4:$F$717&gt;F484))+1</f>
        <v>55</v>
      </c>
      <c r="H484" s="18" t="s">
        <v>13</v>
      </c>
    </row>
    <row r="485" s="3" customFormat="1" ht="12" spans="1:8">
      <c r="A485" s="18" t="str">
        <f>"202301905"</f>
        <v>202301905</v>
      </c>
      <c r="B485" s="18" t="str">
        <f t="shared" si="80"/>
        <v>014</v>
      </c>
      <c r="C485" s="18" t="str">
        <f t="shared" ref="C485:C489" si="90">"19"</f>
        <v>19</v>
      </c>
      <c r="D485" s="14" t="s">
        <v>24</v>
      </c>
      <c r="E485" s="14" t="s">
        <v>28</v>
      </c>
      <c r="F485" s="19">
        <v>57.95</v>
      </c>
      <c r="G485" s="20">
        <f>SUMPRODUCT(--((B485=$B$4:$B$717)*$F$4:$F$717&gt;F485))+1</f>
        <v>56</v>
      </c>
      <c r="H485" s="18" t="s">
        <v>13</v>
      </c>
    </row>
    <row r="486" s="3" customFormat="1" ht="12" spans="1:8">
      <c r="A486" s="18" t="str">
        <f>"202301608"</f>
        <v>202301608</v>
      </c>
      <c r="B486" s="18" t="str">
        <f t="shared" si="80"/>
        <v>014</v>
      </c>
      <c r="C486" s="18" t="str">
        <f>"16"</f>
        <v>16</v>
      </c>
      <c r="D486" s="14" t="s">
        <v>24</v>
      </c>
      <c r="E486" s="14" t="s">
        <v>28</v>
      </c>
      <c r="F486" s="19">
        <v>57.34</v>
      </c>
      <c r="G486" s="20">
        <f>SUMPRODUCT(--((B486=$B$4:$B$717)*$F$4:$F$717&gt;F486))+1</f>
        <v>57</v>
      </c>
      <c r="H486" s="18" t="s">
        <v>13</v>
      </c>
    </row>
    <row r="487" s="3" customFormat="1" ht="12" spans="1:8">
      <c r="A487" s="18" t="str">
        <f>"202301928"</f>
        <v>202301928</v>
      </c>
      <c r="B487" s="18" t="str">
        <f t="shared" si="80"/>
        <v>014</v>
      </c>
      <c r="C487" s="18" t="str">
        <f t="shared" si="90"/>
        <v>19</v>
      </c>
      <c r="D487" s="14" t="s">
        <v>24</v>
      </c>
      <c r="E487" s="14" t="s">
        <v>28</v>
      </c>
      <c r="F487" s="19">
        <v>57.29</v>
      </c>
      <c r="G487" s="20">
        <f>SUMPRODUCT(--((B487=$B$4:$B$717)*$F$4:$F$717&gt;F487))+1</f>
        <v>58</v>
      </c>
      <c r="H487" s="18" t="s">
        <v>13</v>
      </c>
    </row>
    <row r="488" s="3" customFormat="1" ht="12" spans="1:8">
      <c r="A488" s="18" t="str">
        <f>"202301719"</f>
        <v>202301719</v>
      </c>
      <c r="B488" s="18" t="str">
        <f t="shared" si="80"/>
        <v>014</v>
      </c>
      <c r="C488" s="18" t="str">
        <f>"17"</f>
        <v>17</v>
      </c>
      <c r="D488" s="14" t="s">
        <v>24</v>
      </c>
      <c r="E488" s="14" t="s">
        <v>28</v>
      </c>
      <c r="F488" s="19">
        <v>55.69</v>
      </c>
      <c r="G488" s="20">
        <f>SUMPRODUCT(--((B488=$B$4:$B$717)*$F$4:$F$717&gt;F488))+1</f>
        <v>59</v>
      </c>
      <c r="H488" s="18" t="s">
        <v>13</v>
      </c>
    </row>
    <row r="489" s="3" customFormat="1" ht="12" spans="1:8">
      <c r="A489" s="18" t="str">
        <f>"202301930"</f>
        <v>202301930</v>
      </c>
      <c r="B489" s="18" t="str">
        <f t="shared" si="80"/>
        <v>014</v>
      </c>
      <c r="C489" s="18" t="str">
        <f t="shared" si="90"/>
        <v>19</v>
      </c>
      <c r="D489" s="14" t="s">
        <v>24</v>
      </c>
      <c r="E489" s="14" t="s">
        <v>28</v>
      </c>
      <c r="F489" s="19">
        <v>55.47</v>
      </c>
      <c r="G489" s="20">
        <f>SUMPRODUCT(--((B489=$B$4:$B$717)*$F$4:$F$717&gt;F489))+1</f>
        <v>60</v>
      </c>
      <c r="H489" s="18" t="s">
        <v>13</v>
      </c>
    </row>
    <row r="490" s="3" customFormat="1" ht="12" spans="1:8">
      <c r="A490" s="18" t="str">
        <f>"202301829"</f>
        <v>202301829</v>
      </c>
      <c r="B490" s="18" t="str">
        <f t="shared" si="80"/>
        <v>014</v>
      </c>
      <c r="C490" s="18" t="str">
        <f>"18"</f>
        <v>18</v>
      </c>
      <c r="D490" s="14" t="s">
        <v>24</v>
      </c>
      <c r="E490" s="14" t="s">
        <v>28</v>
      </c>
      <c r="F490" s="19">
        <v>55.18</v>
      </c>
      <c r="G490" s="20">
        <f>SUMPRODUCT(--((B490=$B$4:$B$717)*$F$4:$F$717&gt;F490))+1</f>
        <v>61</v>
      </c>
      <c r="H490" s="18" t="s">
        <v>13</v>
      </c>
    </row>
    <row r="491" s="3" customFormat="1" ht="12" spans="1:8">
      <c r="A491" s="18" t="str">
        <f>"202301720"</f>
        <v>202301720</v>
      </c>
      <c r="B491" s="18" t="str">
        <f t="shared" si="80"/>
        <v>014</v>
      </c>
      <c r="C491" s="18" t="str">
        <f>"17"</f>
        <v>17</v>
      </c>
      <c r="D491" s="14" t="s">
        <v>24</v>
      </c>
      <c r="E491" s="14" t="s">
        <v>28</v>
      </c>
      <c r="F491" s="19">
        <v>54.53</v>
      </c>
      <c r="G491" s="20">
        <f>SUMPRODUCT(--((B491=$B$4:$B$717)*$F$4:$F$717&gt;F491))+1</f>
        <v>62</v>
      </c>
      <c r="H491" s="18" t="s">
        <v>13</v>
      </c>
    </row>
    <row r="492" s="3" customFormat="1" ht="12" spans="1:8">
      <c r="A492" s="18" t="str">
        <f>"202301902"</f>
        <v>202301902</v>
      </c>
      <c r="B492" s="18" t="str">
        <f t="shared" si="80"/>
        <v>014</v>
      </c>
      <c r="C492" s="18" t="str">
        <f>"19"</f>
        <v>19</v>
      </c>
      <c r="D492" s="14" t="s">
        <v>24</v>
      </c>
      <c r="E492" s="14" t="s">
        <v>28</v>
      </c>
      <c r="F492" s="19">
        <v>54.04</v>
      </c>
      <c r="G492" s="20">
        <f>SUMPRODUCT(--((B492=$B$4:$B$717)*$F$4:$F$717&gt;F492))+1</f>
        <v>63</v>
      </c>
      <c r="H492" s="18" t="s">
        <v>13</v>
      </c>
    </row>
    <row r="493" s="3" customFormat="1" ht="12" spans="1:8">
      <c r="A493" s="18" t="str">
        <f>"202301612"</f>
        <v>202301612</v>
      </c>
      <c r="B493" s="18" t="str">
        <f t="shared" si="80"/>
        <v>014</v>
      </c>
      <c r="C493" s="18" t="str">
        <f t="shared" ref="C493:C496" si="91">"16"</f>
        <v>16</v>
      </c>
      <c r="D493" s="14" t="s">
        <v>24</v>
      </c>
      <c r="E493" s="14" t="s">
        <v>28</v>
      </c>
      <c r="F493" s="19">
        <v>53.29</v>
      </c>
      <c r="G493" s="20">
        <f>SUMPRODUCT(--((B493=$B$4:$B$717)*$F$4:$F$717&gt;F493))+1</f>
        <v>64</v>
      </c>
      <c r="H493" s="18" t="s">
        <v>13</v>
      </c>
    </row>
    <row r="494" s="3" customFormat="1" ht="12" spans="1:8">
      <c r="A494" s="18" t="str">
        <f>"202301723"</f>
        <v>202301723</v>
      </c>
      <c r="B494" s="18" t="str">
        <f t="shared" ref="B494:B549" si="92">"014"</f>
        <v>014</v>
      </c>
      <c r="C494" s="18" t="str">
        <f>"17"</f>
        <v>17</v>
      </c>
      <c r="D494" s="14" t="s">
        <v>24</v>
      </c>
      <c r="E494" s="14" t="s">
        <v>28</v>
      </c>
      <c r="F494" s="19">
        <v>52.85</v>
      </c>
      <c r="G494" s="20">
        <f>SUMPRODUCT(--((B494=$B$4:$B$717)*$F$4:$F$717&gt;F494))+1</f>
        <v>65</v>
      </c>
      <c r="H494" s="18" t="s">
        <v>13</v>
      </c>
    </row>
    <row r="495" s="3" customFormat="1" ht="12" spans="1:8">
      <c r="A495" s="18" t="str">
        <f>"202301607"</f>
        <v>202301607</v>
      </c>
      <c r="B495" s="18" t="str">
        <f t="shared" si="92"/>
        <v>014</v>
      </c>
      <c r="C495" s="18" t="str">
        <f t="shared" si="91"/>
        <v>16</v>
      </c>
      <c r="D495" s="14" t="s">
        <v>24</v>
      </c>
      <c r="E495" s="14" t="s">
        <v>28</v>
      </c>
      <c r="F495" s="19">
        <v>52.83</v>
      </c>
      <c r="G495" s="20">
        <f>SUMPRODUCT(--((B495=$B$4:$B$717)*$F$4:$F$717&gt;F495))+1</f>
        <v>66</v>
      </c>
      <c r="H495" s="18" t="s">
        <v>13</v>
      </c>
    </row>
    <row r="496" s="3" customFormat="1" ht="12" spans="1:8">
      <c r="A496" s="18" t="str">
        <f>"202301615"</f>
        <v>202301615</v>
      </c>
      <c r="B496" s="18" t="str">
        <f t="shared" si="92"/>
        <v>014</v>
      </c>
      <c r="C496" s="18" t="str">
        <f t="shared" si="91"/>
        <v>16</v>
      </c>
      <c r="D496" s="14" t="s">
        <v>24</v>
      </c>
      <c r="E496" s="14" t="s">
        <v>28</v>
      </c>
      <c r="F496" s="19">
        <v>52.36</v>
      </c>
      <c r="G496" s="20">
        <f>SUMPRODUCT(--((B496=$B$4:$B$717)*$F$4:$F$717&gt;F496))+1</f>
        <v>67</v>
      </c>
      <c r="H496" s="18" t="s">
        <v>13</v>
      </c>
    </row>
    <row r="497" s="3" customFormat="1" ht="12" spans="1:8">
      <c r="A497" s="18" t="str">
        <f>"202301801"</f>
        <v>202301801</v>
      </c>
      <c r="B497" s="18" t="str">
        <f t="shared" si="92"/>
        <v>014</v>
      </c>
      <c r="C497" s="18" t="str">
        <f>"18"</f>
        <v>18</v>
      </c>
      <c r="D497" s="14" t="s">
        <v>24</v>
      </c>
      <c r="E497" s="14" t="s">
        <v>28</v>
      </c>
      <c r="F497" s="19">
        <v>52.21</v>
      </c>
      <c r="G497" s="20">
        <f>SUMPRODUCT(--((B497=$B$4:$B$717)*$F$4:$F$717&gt;F497))+1</f>
        <v>68</v>
      </c>
      <c r="H497" s="18" t="s">
        <v>13</v>
      </c>
    </row>
    <row r="498" s="3" customFormat="1" ht="12" spans="1:8">
      <c r="A498" s="18" t="str">
        <f>"202301904"</f>
        <v>202301904</v>
      </c>
      <c r="B498" s="18" t="str">
        <f t="shared" si="92"/>
        <v>014</v>
      </c>
      <c r="C498" s="18" t="str">
        <f t="shared" ref="C498:C502" si="93">"19"</f>
        <v>19</v>
      </c>
      <c r="D498" s="14" t="s">
        <v>24</v>
      </c>
      <c r="E498" s="14" t="s">
        <v>28</v>
      </c>
      <c r="F498" s="19">
        <v>51.35</v>
      </c>
      <c r="G498" s="20">
        <f>SUMPRODUCT(--((B498=$B$4:$B$717)*$F$4:$F$717&gt;F498))+1</f>
        <v>69</v>
      </c>
      <c r="H498" s="18" t="s">
        <v>13</v>
      </c>
    </row>
    <row r="499" s="3" customFormat="1" ht="12" spans="1:8">
      <c r="A499" s="18" t="str">
        <f>"202301803"</f>
        <v>202301803</v>
      </c>
      <c r="B499" s="18" t="str">
        <f t="shared" si="92"/>
        <v>014</v>
      </c>
      <c r="C499" s="18" t="str">
        <f>"18"</f>
        <v>18</v>
      </c>
      <c r="D499" s="14" t="s">
        <v>24</v>
      </c>
      <c r="E499" s="14" t="s">
        <v>28</v>
      </c>
      <c r="F499" s="19">
        <v>49.34</v>
      </c>
      <c r="G499" s="20">
        <f>SUMPRODUCT(--((B499=$B$4:$B$717)*$F$4:$F$717&gt;F499))+1</f>
        <v>70</v>
      </c>
      <c r="H499" s="18" t="s">
        <v>13</v>
      </c>
    </row>
    <row r="500" s="3" customFormat="1" ht="12" spans="1:8">
      <c r="A500" s="18" t="str">
        <f>"202301911"</f>
        <v>202301911</v>
      </c>
      <c r="B500" s="18" t="str">
        <f t="shared" si="92"/>
        <v>014</v>
      </c>
      <c r="C500" s="18" t="str">
        <f t="shared" si="93"/>
        <v>19</v>
      </c>
      <c r="D500" s="14" t="s">
        <v>24</v>
      </c>
      <c r="E500" s="14" t="s">
        <v>28</v>
      </c>
      <c r="F500" s="19">
        <v>47.69</v>
      </c>
      <c r="G500" s="20">
        <f>SUMPRODUCT(--((B500=$B$4:$B$717)*$F$4:$F$717&gt;F500))+1</f>
        <v>71</v>
      </c>
      <c r="H500" s="18" t="s">
        <v>13</v>
      </c>
    </row>
    <row r="501" s="3" customFormat="1" ht="12" spans="1:8">
      <c r="A501" s="18" t="str">
        <f>"202301715"</f>
        <v>202301715</v>
      </c>
      <c r="B501" s="18" t="str">
        <f t="shared" si="92"/>
        <v>014</v>
      </c>
      <c r="C501" s="18" t="str">
        <f>"17"</f>
        <v>17</v>
      </c>
      <c r="D501" s="14" t="s">
        <v>24</v>
      </c>
      <c r="E501" s="14" t="s">
        <v>28</v>
      </c>
      <c r="F501" s="19">
        <v>47.68</v>
      </c>
      <c r="G501" s="20">
        <f>SUMPRODUCT(--((B501=$B$4:$B$717)*$F$4:$F$717&gt;F501))+1</f>
        <v>72</v>
      </c>
      <c r="H501" s="18" t="s">
        <v>13</v>
      </c>
    </row>
    <row r="502" s="3" customFormat="1" ht="12" spans="1:8">
      <c r="A502" s="18" t="str">
        <f>"202301924"</f>
        <v>202301924</v>
      </c>
      <c r="B502" s="18" t="str">
        <f t="shared" si="92"/>
        <v>014</v>
      </c>
      <c r="C502" s="18" t="str">
        <f t="shared" si="93"/>
        <v>19</v>
      </c>
      <c r="D502" s="14" t="s">
        <v>24</v>
      </c>
      <c r="E502" s="14" t="s">
        <v>28</v>
      </c>
      <c r="F502" s="19">
        <v>42.68</v>
      </c>
      <c r="G502" s="20">
        <f>SUMPRODUCT(--((B502=$B$4:$B$717)*$F$4:$F$717&gt;F502))+1</f>
        <v>73</v>
      </c>
      <c r="H502" s="18" t="s">
        <v>13</v>
      </c>
    </row>
    <row r="503" s="3" customFormat="1" ht="12" spans="1:8">
      <c r="A503" s="18" t="str">
        <f>"202301606"</f>
        <v>202301606</v>
      </c>
      <c r="B503" s="18" t="str">
        <f t="shared" si="92"/>
        <v>014</v>
      </c>
      <c r="C503" s="18" t="str">
        <f t="shared" ref="C503:C514" si="94">"16"</f>
        <v>16</v>
      </c>
      <c r="D503" s="14" t="s">
        <v>24</v>
      </c>
      <c r="E503" s="14" t="s">
        <v>28</v>
      </c>
      <c r="F503" s="19">
        <v>0</v>
      </c>
      <c r="G503" s="20">
        <f>SUMPRODUCT(--((B503=$B$4:$B$717)*$F$4:$F$717&gt;F503))+1</f>
        <v>74</v>
      </c>
      <c r="H503" s="18" t="s">
        <v>13</v>
      </c>
    </row>
    <row r="504" s="3" customFormat="1" ht="12" spans="1:8">
      <c r="A504" s="18" t="str">
        <f>"202301609"</f>
        <v>202301609</v>
      </c>
      <c r="B504" s="18" t="str">
        <f t="shared" si="92"/>
        <v>014</v>
      </c>
      <c r="C504" s="18" t="str">
        <f t="shared" si="94"/>
        <v>16</v>
      </c>
      <c r="D504" s="14" t="s">
        <v>24</v>
      </c>
      <c r="E504" s="14" t="s">
        <v>28</v>
      </c>
      <c r="F504" s="19">
        <v>0</v>
      </c>
      <c r="G504" s="20">
        <f>SUMPRODUCT(--((B504=$B$4:$B$717)*$F$4:$F$717&gt;F504))+1</f>
        <v>74</v>
      </c>
      <c r="H504" s="18" t="s">
        <v>13</v>
      </c>
    </row>
    <row r="505" s="3" customFormat="1" ht="12" spans="1:8">
      <c r="A505" s="18" t="str">
        <f>"202301614"</f>
        <v>202301614</v>
      </c>
      <c r="B505" s="18" t="str">
        <f t="shared" si="92"/>
        <v>014</v>
      </c>
      <c r="C505" s="18" t="str">
        <f t="shared" si="94"/>
        <v>16</v>
      </c>
      <c r="D505" s="14" t="s">
        <v>24</v>
      </c>
      <c r="E505" s="14" t="s">
        <v>28</v>
      </c>
      <c r="F505" s="19">
        <v>0</v>
      </c>
      <c r="G505" s="20">
        <f>SUMPRODUCT(--((B505=$B$4:$B$717)*$F$4:$F$717&gt;F505))+1</f>
        <v>74</v>
      </c>
      <c r="H505" s="18" t="s">
        <v>13</v>
      </c>
    </row>
    <row r="506" s="3" customFormat="1" ht="12" spans="1:8">
      <c r="A506" s="18" t="str">
        <f>"202301616"</f>
        <v>202301616</v>
      </c>
      <c r="B506" s="18" t="str">
        <f t="shared" si="92"/>
        <v>014</v>
      </c>
      <c r="C506" s="18" t="str">
        <f t="shared" si="94"/>
        <v>16</v>
      </c>
      <c r="D506" s="14" t="s">
        <v>24</v>
      </c>
      <c r="E506" s="14" t="s">
        <v>28</v>
      </c>
      <c r="F506" s="19">
        <v>0</v>
      </c>
      <c r="G506" s="20">
        <f>SUMPRODUCT(--((B506=$B$4:$B$717)*$F$4:$F$717&gt;F506))+1</f>
        <v>74</v>
      </c>
      <c r="H506" s="18" t="s">
        <v>13</v>
      </c>
    </row>
    <row r="507" s="3" customFormat="1" ht="12" spans="1:8">
      <c r="A507" s="18" t="str">
        <f>"202301618"</f>
        <v>202301618</v>
      </c>
      <c r="B507" s="18" t="str">
        <f t="shared" si="92"/>
        <v>014</v>
      </c>
      <c r="C507" s="18" t="str">
        <f t="shared" si="94"/>
        <v>16</v>
      </c>
      <c r="D507" s="14" t="s">
        <v>24</v>
      </c>
      <c r="E507" s="14" t="s">
        <v>28</v>
      </c>
      <c r="F507" s="19">
        <v>0</v>
      </c>
      <c r="G507" s="20">
        <f>SUMPRODUCT(--((B507=$B$4:$B$717)*$F$4:$F$717&gt;F507))+1</f>
        <v>74</v>
      </c>
      <c r="H507" s="18" t="s">
        <v>13</v>
      </c>
    </row>
    <row r="508" s="3" customFormat="1" ht="12" spans="1:8">
      <c r="A508" s="18" t="str">
        <f>"202301620"</f>
        <v>202301620</v>
      </c>
      <c r="B508" s="18" t="str">
        <f t="shared" si="92"/>
        <v>014</v>
      </c>
      <c r="C508" s="18" t="str">
        <f t="shared" si="94"/>
        <v>16</v>
      </c>
      <c r="D508" s="14" t="s">
        <v>24</v>
      </c>
      <c r="E508" s="14" t="s">
        <v>28</v>
      </c>
      <c r="F508" s="19">
        <v>0</v>
      </c>
      <c r="G508" s="20">
        <f>SUMPRODUCT(--((B508=$B$4:$B$717)*$F$4:$F$717&gt;F508))+1</f>
        <v>74</v>
      </c>
      <c r="H508" s="18" t="s">
        <v>13</v>
      </c>
    </row>
    <row r="509" s="3" customFormat="1" ht="12" spans="1:8">
      <c r="A509" s="18" t="str">
        <f>"202301621"</f>
        <v>202301621</v>
      </c>
      <c r="B509" s="18" t="str">
        <f t="shared" si="92"/>
        <v>014</v>
      </c>
      <c r="C509" s="18" t="str">
        <f t="shared" si="94"/>
        <v>16</v>
      </c>
      <c r="D509" s="14" t="s">
        <v>24</v>
      </c>
      <c r="E509" s="14" t="s">
        <v>28</v>
      </c>
      <c r="F509" s="19">
        <v>0</v>
      </c>
      <c r="G509" s="20">
        <f>SUMPRODUCT(--((B509=$B$4:$B$717)*$F$4:$F$717&gt;F509))+1</f>
        <v>74</v>
      </c>
      <c r="H509" s="18" t="s">
        <v>13</v>
      </c>
    </row>
    <row r="510" s="3" customFormat="1" ht="12" spans="1:8">
      <c r="A510" s="18" t="str">
        <f>"202301625"</f>
        <v>202301625</v>
      </c>
      <c r="B510" s="18" t="str">
        <f t="shared" si="92"/>
        <v>014</v>
      </c>
      <c r="C510" s="18" t="str">
        <f t="shared" si="94"/>
        <v>16</v>
      </c>
      <c r="D510" s="14" t="s">
        <v>24</v>
      </c>
      <c r="E510" s="14" t="s">
        <v>28</v>
      </c>
      <c r="F510" s="19">
        <v>0</v>
      </c>
      <c r="G510" s="20">
        <f>SUMPRODUCT(--((B510=$B$4:$B$717)*$F$4:$F$717&gt;F510))+1</f>
        <v>74</v>
      </c>
      <c r="H510" s="18" t="s">
        <v>13</v>
      </c>
    </row>
    <row r="511" s="3" customFormat="1" ht="12" spans="1:8">
      <c r="A511" s="18" t="str">
        <f>"202301626"</f>
        <v>202301626</v>
      </c>
      <c r="B511" s="18" t="str">
        <f t="shared" si="92"/>
        <v>014</v>
      </c>
      <c r="C511" s="18" t="str">
        <f t="shared" si="94"/>
        <v>16</v>
      </c>
      <c r="D511" s="14" t="s">
        <v>24</v>
      </c>
      <c r="E511" s="14" t="s">
        <v>28</v>
      </c>
      <c r="F511" s="19">
        <v>0</v>
      </c>
      <c r="G511" s="20">
        <f>SUMPRODUCT(--((B511=$B$4:$B$717)*$F$4:$F$717&gt;F511))+1</f>
        <v>74</v>
      </c>
      <c r="H511" s="18" t="s">
        <v>13</v>
      </c>
    </row>
    <row r="512" s="3" customFormat="1" ht="12" spans="1:8">
      <c r="A512" s="18" t="str">
        <f>"202301628"</f>
        <v>202301628</v>
      </c>
      <c r="B512" s="18" t="str">
        <f t="shared" si="92"/>
        <v>014</v>
      </c>
      <c r="C512" s="18" t="str">
        <f t="shared" si="94"/>
        <v>16</v>
      </c>
      <c r="D512" s="14" t="s">
        <v>24</v>
      </c>
      <c r="E512" s="14" t="s">
        <v>28</v>
      </c>
      <c r="F512" s="19">
        <v>0</v>
      </c>
      <c r="G512" s="20">
        <f>SUMPRODUCT(--((B512=$B$4:$B$717)*$F$4:$F$717&gt;F512))+1</f>
        <v>74</v>
      </c>
      <c r="H512" s="18" t="s">
        <v>13</v>
      </c>
    </row>
    <row r="513" s="3" customFormat="1" ht="12" spans="1:8">
      <c r="A513" s="18" t="str">
        <f>"202301629"</f>
        <v>202301629</v>
      </c>
      <c r="B513" s="18" t="str">
        <f t="shared" si="92"/>
        <v>014</v>
      </c>
      <c r="C513" s="18" t="str">
        <f t="shared" si="94"/>
        <v>16</v>
      </c>
      <c r="D513" s="14" t="s">
        <v>24</v>
      </c>
      <c r="E513" s="14" t="s">
        <v>28</v>
      </c>
      <c r="F513" s="19">
        <v>0</v>
      </c>
      <c r="G513" s="20">
        <f>SUMPRODUCT(--((B513=$B$4:$B$717)*$F$4:$F$717&gt;F513))+1</f>
        <v>74</v>
      </c>
      <c r="H513" s="18" t="s">
        <v>13</v>
      </c>
    </row>
    <row r="514" s="3" customFormat="1" ht="12" spans="1:8">
      <c r="A514" s="18" t="str">
        <f>"202301630"</f>
        <v>202301630</v>
      </c>
      <c r="B514" s="18" t="str">
        <f t="shared" si="92"/>
        <v>014</v>
      </c>
      <c r="C514" s="18" t="str">
        <f t="shared" si="94"/>
        <v>16</v>
      </c>
      <c r="D514" s="14" t="s">
        <v>24</v>
      </c>
      <c r="E514" s="14" t="s">
        <v>28</v>
      </c>
      <c r="F514" s="19">
        <v>0</v>
      </c>
      <c r="G514" s="20">
        <f>SUMPRODUCT(--((B514=$B$4:$B$717)*$F$4:$F$717&gt;F514))+1</f>
        <v>74</v>
      </c>
      <c r="H514" s="18" t="s">
        <v>13</v>
      </c>
    </row>
    <row r="515" s="3" customFormat="1" ht="12" spans="1:8">
      <c r="A515" s="18" t="str">
        <f>"202301705"</f>
        <v>202301705</v>
      </c>
      <c r="B515" s="18" t="str">
        <f t="shared" si="92"/>
        <v>014</v>
      </c>
      <c r="C515" s="18" t="str">
        <f t="shared" ref="C515:C523" si="95">"17"</f>
        <v>17</v>
      </c>
      <c r="D515" s="14" t="s">
        <v>24</v>
      </c>
      <c r="E515" s="14" t="s">
        <v>28</v>
      </c>
      <c r="F515" s="19">
        <v>0</v>
      </c>
      <c r="G515" s="20">
        <f>SUMPRODUCT(--((B515=$B$4:$B$717)*$F$4:$F$717&gt;F515))+1</f>
        <v>74</v>
      </c>
      <c r="H515" s="18" t="s">
        <v>13</v>
      </c>
    </row>
    <row r="516" s="3" customFormat="1" ht="12" spans="1:8">
      <c r="A516" s="18" t="str">
        <f>"202301707"</f>
        <v>202301707</v>
      </c>
      <c r="B516" s="18" t="str">
        <f t="shared" si="92"/>
        <v>014</v>
      </c>
      <c r="C516" s="18" t="str">
        <f t="shared" si="95"/>
        <v>17</v>
      </c>
      <c r="D516" s="14" t="s">
        <v>24</v>
      </c>
      <c r="E516" s="14" t="s">
        <v>28</v>
      </c>
      <c r="F516" s="19">
        <v>0</v>
      </c>
      <c r="G516" s="20">
        <f>SUMPRODUCT(--((B516=$B$4:$B$717)*$F$4:$F$717&gt;F516))+1</f>
        <v>74</v>
      </c>
      <c r="H516" s="18" t="s">
        <v>13</v>
      </c>
    </row>
    <row r="517" s="3" customFormat="1" ht="12" spans="1:8">
      <c r="A517" s="18" t="str">
        <f>"202301710"</f>
        <v>202301710</v>
      </c>
      <c r="B517" s="18" t="str">
        <f t="shared" si="92"/>
        <v>014</v>
      </c>
      <c r="C517" s="18" t="str">
        <f t="shared" si="95"/>
        <v>17</v>
      </c>
      <c r="D517" s="14" t="s">
        <v>24</v>
      </c>
      <c r="E517" s="14" t="s">
        <v>28</v>
      </c>
      <c r="F517" s="19">
        <v>0</v>
      </c>
      <c r="G517" s="20">
        <f>SUMPRODUCT(--((B517=$B$4:$B$717)*$F$4:$F$717&gt;F517))+1</f>
        <v>74</v>
      </c>
      <c r="H517" s="18" t="s">
        <v>13</v>
      </c>
    </row>
    <row r="518" s="3" customFormat="1" ht="12" spans="1:8">
      <c r="A518" s="18" t="str">
        <f>"202301717"</f>
        <v>202301717</v>
      </c>
      <c r="B518" s="18" t="str">
        <f t="shared" si="92"/>
        <v>014</v>
      </c>
      <c r="C518" s="18" t="str">
        <f t="shared" si="95"/>
        <v>17</v>
      </c>
      <c r="D518" s="14" t="s">
        <v>24</v>
      </c>
      <c r="E518" s="14" t="s">
        <v>28</v>
      </c>
      <c r="F518" s="19">
        <v>0</v>
      </c>
      <c r="G518" s="20">
        <f>SUMPRODUCT(--((B518=$B$4:$B$717)*$F$4:$F$717&gt;F518))+1</f>
        <v>74</v>
      </c>
      <c r="H518" s="18" t="s">
        <v>13</v>
      </c>
    </row>
    <row r="519" s="3" customFormat="1" ht="12" spans="1:8">
      <c r="A519" s="18" t="str">
        <f>"202301718"</f>
        <v>202301718</v>
      </c>
      <c r="B519" s="18" t="str">
        <f t="shared" si="92"/>
        <v>014</v>
      </c>
      <c r="C519" s="18" t="str">
        <f t="shared" si="95"/>
        <v>17</v>
      </c>
      <c r="D519" s="14" t="s">
        <v>24</v>
      </c>
      <c r="E519" s="14" t="s">
        <v>28</v>
      </c>
      <c r="F519" s="19">
        <v>0</v>
      </c>
      <c r="G519" s="20">
        <f>SUMPRODUCT(--((B519=$B$4:$B$717)*$F$4:$F$717&gt;F519))+1</f>
        <v>74</v>
      </c>
      <c r="H519" s="18" t="s">
        <v>13</v>
      </c>
    </row>
    <row r="520" s="3" customFormat="1" ht="12" spans="1:8">
      <c r="A520" s="18" t="str">
        <f>"202301724"</f>
        <v>202301724</v>
      </c>
      <c r="B520" s="18" t="str">
        <f t="shared" si="92"/>
        <v>014</v>
      </c>
      <c r="C520" s="18" t="str">
        <f t="shared" si="95"/>
        <v>17</v>
      </c>
      <c r="D520" s="14" t="s">
        <v>24</v>
      </c>
      <c r="E520" s="14" t="s">
        <v>28</v>
      </c>
      <c r="F520" s="19">
        <v>0</v>
      </c>
      <c r="G520" s="20">
        <f>SUMPRODUCT(--((B520=$B$4:$B$717)*$F$4:$F$717&gt;F520))+1</f>
        <v>74</v>
      </c>
      <c r="H520" s="18" t="s">
        <v>13</v>
      </c>
    </row>
    <row r="521" s="3" customFormat="1" ht="12" spans="1:8">
      <c r="A521" s="18" t="str">
        <f>"202301726"</f>
        <v>202301726</v>
      </c>
      <c r="B521" s="18" t="str">
        <f t="shared" si="92"/>
        <v>014</v>
      </c>
      <c r="C521" s="18" t="str">
        <f t="shared" si="95"/>
        <v>17</v>
      </c>
      <c r="D521" s="14" t="s">
        <v>24</v>
      </c>
      <c r="E521" s="14" t="s">
        <v>28</v>
      </c>
      <c r="F521" s="19">
        <v>0</v>
      </c>
      <c r="G521" s="20">
        <f>SUMPRODUCT(--((B521=$B$4:$B$717)*$F$4:$F$717&gt;F521))+1</f>
        <v>74</v>
      </c>
      <c r="H521" s="18" t="s">
        <v>13</v>
      </c>
    </row>
    <row r="522" s="3" customFormat="1" ht="12" spans="1:8">
      <c r="A522" s="18" t="str">
        <f>"202301728"</f>
        <v>202301728</v>
      </c>
      <c r="B522" s="18" t="str">
        <f t="shared" si="92"/>
        <v>014</v>
      </c>
      <c r="C522" s="18" t="str">
        <f t="shared" si="95"/>
        <v>17</v>
      </c>
      <c r="D522" s="14" t="s">
        <v>24</v>
      </c>
      <c r="E522" s="14" t="s">
        <v>28</v>
      </c>
      <c r="F522" s="19">
        <v>0</v>
      </c>
      <c r="G522" s="20">
        <f>SUMPRODUCT(--((B522=$B$4:$B$717)*$F$4:$F$717&gt;F522))+1</f>
        <v>74</v>
      </c>
      <c r="H522" s="18" t="s">
        <v>13</v>
      </c>
    </row>
    <row r="523" s="3" customFormat="1" ht="12" spans="1:8">
      <c r="A523" s="18" t="str">
        <f>"202301729"</f>
        <v>202301729</v>
      </c>
      <c r="B523" s="18" t="str">
        <f t="shared" si="92"/>
        <v>014</v>
      </c>
      <c r="C523" s="18" t="str">
        <f t="shared" si="95"/>
        <v>17</v>
      </c>
      <c r="D523" s="14" t="s">
        <v>24</v>
      </c>
      <c r="E523" s="14" t="s">
        <v>28</v>
      </c>
      <c r="F523" s="19">
        <v>0</v>
      </c>
      <c r="G523" s="20">
        <f>SUMPRODUCT(--((B523=$B$4:$B$717)*$F$4:$F$717&gt;F523))+1</f>
        <v>74</v>
      </c>
      <c r="H523" s="18" t="s">
        <v>13</v>
      </c>
    </row>
    <row r="524" s="3" customFormat="1" ht="12" spans="1:8">
      <c r="A524" s="18" t="str">
        <f>"202301805"</f>
        <v>202301805</v>
      </c>
      <c r="B524" s="18" t="str">
        <f t="shared" si="92"/>
        <v>014</v>
      </c>
      <c r="C524" s="18" t="str">
        <f t="shared" ref="C524:C534" si="96">"18"</f>
        <v>18</v>
      </c>
      <c r="D524" s="14" t="s">
        <v>24</v>
      </c>
      <c r="E524" s="14" t="s">
        <v>28</v>
      </c>
      <c r="F524" s="19">
        <v>0</v>
      </c>
      <c r="G524" s="20">
        <f>SUMPRODUCT(--((B524=$B$4:$B$717)*$F$4:$F$717&gt;F524))+1</f>
        <v>74</v>
      </c>
      <c r="H524" s="18" t="s">
        <v>13</v>
      </c>
    </row>
    <row r="525" s="3" customFormat="1" ht="12" spans="1:8">
      <c r="A525" s="18" t="str">
        <f>"202301806"</f>
        <v>202301806</v>
      </c>
      <c r="B525" s="18" t="str">
        <f t="shared" si="92"/>
        <v>014</v>
      </c>
      <c r="C525" s="18" t="str">
        <f t="shared" si="96"/>
        <v>18</v>
      </c>
      <c r="D525" s="14" t="s">
        <v>24</v>
      </c>
      <c r="E525" s="14" t="s">
        <v>28</v>
      </c>
      <c r="F525" s="19">
        <v>0</v>
      </c>
      <c r="G525" s="20">
        <f>SUMPRODUCT(--((B525=$B$4:$B$717)*$F$4:$F$717&gt;F525))+1</f>
        <v>74</v>
      </c>
      <c r="H525" s="18" t="s">
        <v>13</v>
      </c>
    </row>
    <row r="526" s="3" customFormat="1" ht="12" spans="1:8">
      <c r="A526" s="18" t="str">
        <f>"202301807"</f>
        <v>202301807</v>
      </c>
      <c r="B526" s="18" t="str">
        <f t="shared" si="92"/>
        <v>014</v>
      </c>
      <c r="C526" s="18" t="str">
        <f t="shared" si="96"/>
        <v>18</v>
      </c>
      <c r="D526" s="14" t="s">
        <v>24</v>
      </c>
      <c r="E526" s="14" t="s">
        <v>28</v>
      </c>
      <c r="F526" s="19">
        <v>0</v>
      </c>
      <c r="G526" s="20">
        <f>SUMPRODUCT(--((B526=$B$4:$B$717)*$F$4:$F$717&gt;F526))+1</f>
        <v>74</v>
      </c>
      <c r="H526" s="18" t="s">
        <v>13</v>
      </c>
    </row>
    <row r="527" s="3" customFormat="1" ht="12" spans="1:8">
      <c r="A527" s="18" t="str">
        <f>"202301809"</f>
        <v>202301809</v>
      </c>
      <c r="B527" s="18" t="str">
        <f t="shared" si="92"/>
        <v>014</v>
      </c>
      <c r="C527" s="18" t="str">
        <f t="shared" si="96"/>
        <v>18</v>
      </c>
      <c r="D527" s="14" t="s">
        <v>24</v>
      </c>
      <c r="E527" s="14" t="s">
        <v>28</v>
      </c>
      <c r="F527" s="19">
        <v>0</v>
      </c>
      <c r="G527" s="20">
        <f>SUMPRODUCT(--((B527=$B$4:$B$717)*$F$4:$F$717&gt;F527))+1</f>
        <v>74</v>
      </c>
      <c r="H527" s="18" t="s">
        <v>13</v>
      </c>
    </row>
    <row r="528" s="3" customFormat="1" ht="12" spans="1:8">
      <c r="A528" s="18" t="str">
        <f>"202301811"</f>
        <v>202301811</v>
      </c>
      <c r="B528" s="18" t="str">
        <f t="shared" si="92"/>
        <v>014</v>
      </c>
      <c r="C528" s="18" t="str">
        <f t="shared" si="96"/>
        <v>18</v>
      </c>
      <c r="D528" s="14" t="s">
        <v>24</v>
      </c>
      <c r="E528" s="14" t="s">
        <v>28</v>
      </c>
      <c r="F528" s="19">
        <v>0</v>
      </c>
      <c r="G528" s="20">
        <f>SUMPRODUCT(--((B528=$B$4:$B$717)*$F$4:$F$717&gt;F528))+1</f>
        <v>74</v>
      </c>
      <c r="H528" s="18" t="s">
        <v>13</v>
      </c>
    </row>
    <row r="529" s="3" customFormat="1" ht="12" spans="1:8">
      <c r="A529" s="18" t="str">
        <f>"202301814"</f>
        <v>202301814</v>
      </c>
      <c r="B529" s="18" t="str">
        <f t="shared" si="92"/>
        <v>014</v>
      </c>
      <c r="C529" s="18" t="str">
        <f t="shared" si="96"/>
        <v>18</v>
      </c>
      <c r="D529" s="14" t="s">
        <v>24</v>
      </c>
      <c r="E529" s="14" t="s">
        <v>28</v>
      </c>
      <c r="F529" s="19">
        <v>0</v>
      </c>
      <c r="G529" s="20">
        <f>SUMPRODUCT(--((B529=$B$4:$B$717)*$F$4:$F$717&gt;F529))+1</f>
        <v>74</v>
      </c>
      <c r="H529" s="18" t="s">
        <v>13</v>
      </c>
    </row>
    <row r="530" s="3" customFormat="1" ht="12" spans="1:8">
      <c r="A530" s="18" t="str">
        <f>"202301815"</f>
        <v>202301815</v>
      </c>
      <c r="B530" s="18" t="str">
        <f t="shared" si="92"/>
        <v>014</v>
      </c>
      <c r="C530" s="18" t="str">
        <f t="shared" si="96"/>
        <v>18</v>
      </c>
      <c r="D530" s="14" t="s">
        <v>24</v>
      </c>
      <c r="E530" s="14" t="s">
        <v>28</v>
      </c>
      <c r="F530" s="19">
        <v>0</v>
      </c>
      <c r="G530" s="20">
        <f>SUMPRODUCT(--((B530=$B$4:$B$717)*$F$4:$F$717&gt;F530))+1</f>
        <v>74</v>
      </c>
      <c r="H530" s="18" t="s">
        <v>13</v>
      </c>
    </row>
    <row r="531" s="3" customFormat="1" ht="12" spans="1:8">
      <c r="A531" s="18" t="str">
        <f>"202301824"</f>
        <v>202301824</v>
      </c>
      <c r="B531" s="18" t="str">
        <f t="shared" si="92"/>
        <v>014</v>
      </c>
      <c r="C531" s="18" t="str">
        <f t="shared" si="96"/>
        <v>18</v>
      </c>
      <c r="D531" s="14" t="s">
        <v>24</v>
      </c>
      <c r="E531" s="14" t="s">
        <v>28</v>
      </c>
      <c r="F531" s="19">
        <v>0</v>
      </c>
      <c r="G531" s="20">
        <f>SUMPRODUCT(--((B531=$B$4:$B$717)*$F$4:$F$717&gt;F531))+1</f>
        <v>74</v>
      </c>
      <c r="H531" s="18" t="s">
        <v>13</v>
      </c>
    </row>
    <row r="532" s="3" customFormat="1" ht="12" spans="1:8">
      <c r="A532" s="18" t="str">
        <f>"202301825"</f>
        <v>202301825</v>
      </c>
      <c r="B532" s="18" t="str">
        <f t="shared" si="92"/>
        <v>014</v>
      </c>
      <c r="C532" s="18" t="str">
        <f t="shared" si="96"/>
        <v>18</v>
      </c>
      <c r="D532" s="14" t="s">
        <v>24</v>
      </c>
      <c r="E532" s="14" t="s">
        <v>28</v>
      </c>
      <c r="F532" s="19">
        <v>0</v>
      </c>
      <c r="G532" s="20">
        <f>SUMPRODUCT(--((B532=$B$4:$B$717)*$F$4:$F$717&gt;F532))+1</f>
        <v>74</v>
      </c>
      <c r="H532" s="18" t="s">
        <v>13</v>
      </c>
    </row>
    <row r="533" s="3" customFormat="1" ht="12" spans="1:8">
      <c r="A533" s="18" t="str">
        <f>"202301826"</f>
        <v>202301826</v>
      </c>
      <c r="B533" s="18" t="str">
        <f t="shared" si="92"/>
        <v>014</v>
      </c>
      <c r="C533" s="18" t="str">
        <f t="shared" si="96"/>
        <v>18</v>
      </c>
      <c r="D533" s="14" t="s">
        <v>24</v>
      </c>
      <c r="E533" s="14" t="s">
        <v>28</v>
      </c>
      <c r="F533" s="19">
        <v>0</v>
      </c>
      <c r="G533" s="20">
        <f>SUMPRODUCT(--((B533=$B$4:$B$717)*$F$4:$F$717&gt;F533))+1</f>
        <v>74</v>
      </c>
      <c r="H533" s="18" t="s">
        <v>13</v>
      </c>
    </row>
    <row r="534" s="3" customFormat="1" ht="12" spans="1:8">
      <c r="A534" s="18" t="str">
        <f>"202301827"</f>
        <v>202301827</v>
      </c>
      <c r="B534" s="18" t="str">
        <f t="shared" si="92"/>
        <v>014</v>
      </c>
      <c r="C534" s="18" t="str">
        <f t="shared" si="96"/>
        <v>18</v>
      </c>
      <c r="D534" s="14" t="s">
        <v>24</v>
      </c>
      <c r="E534" s="14" t="s">
        <v>28</v>
      </c>
      <c r="F534" s="19">
        <v>0</v>
      </c>
      <c r="G534" s="20">
        <f>SUMPRODUCT(--((B534=$B$4:$B$717)*$F$4:$F$717&gt;F534))+1</f>
        <v>74</v>
      </c>
      <c r="H534" s="18" t="s">
        <v>13</v>
      </c>
    </row>
    <row r="535" s="3" customFormat="1" ht="12" spans="1:8">
      <c r="A535" s="18" t="str">
        <f>"202301901"</f>
        <v>202301901</v>
      </c>
      <c r="B535" s="18" t="str">
        <f t="shared" si="92"/>
        <v>014</v>
      </c>
      <c r="C535" s="18" t="str">
        <f t="shared" ref="C535:C549" si="97">"19"</f>
        <v>19</v>
      </c>
      <c r="D535" s="14" t="s">
        <v>24</v>
      </c>
      <c r="E535" s="14" t="s">
        <v>28</v>
      </c>
      <c r="F535" s="19">
        <v>0</v>
      </c>
      <c r="G535" s="20">
        <f>SUMPRODUCT(--((B535=$B$4:$B$717)*$F$4:$F$717&gt;F535))+1</f>
        <v>74</v>
      </c>
      <c r="H535" s="18" t="s">
        <v>13</v>
      </c>
    </row>
    <row r="536" s="3" customFormat="1" ht="12" spans="1:8">
      <c r="A536" s="18" t="str">
        <f>"202301903"</f>
        <v>202301903</v>
      </c>
      <c r="B536" s="18" t="str">
        <f t="shared" si="92"/>
        <v>014</v>
      </c>
      <c r="C536" s="18" t="str">
        <f t="shared" si="97"/>
        <v>19</v>
      </c>
      <c r="D536" s="14" t="s">
        <v>24</v>
      </c>
      <c r="E536" s="14" t="s">
        <v>28</v>
      </c>
      <c r="F536" s="19">
        <v>0</v>
      </c>
      <c r="G536" s="20">
        <f>SUMPRODUCT(--((B536=$B$4:$B$717)*$F$4:$F$717&gt;F536))+1</f>
        <v>74</v>
      </c>
      <c r="H536" s="18" t="s">
        <v>13</v>
      </c>
    </row>
    <row r="537" s="3" customFormat="1" ht="12" spans="1:8">
      <c r="A537" s="18" t="str">
        <f>"202301906"</f>
        <v>202301906</v>
      </c>
      <c r="B537" s="18" t="str">
        <f t="shared" si="92"/>
        <v>014</v>
      </c>
      <c r="C537" s="18" t="str">
        <f t="shared" si="97"/>
        <v>19</v>
      </c>
      <c r="D537" s="14" t="s">
        <v>24</v>
      </c>
      <c r="E537" s="14" t="s">
        <v>28</v>
      </c>
      <c r="F537" s="19">
        <v>0</v>
      </c>
      <c r="G537" s="20">
        <f>SUMPRODUCT(--((B537=$B$4:$B$717)*$F$4:$F$717&gt;F537))+1</f>
        <v>74</v>
      </c>
      <c r="H537" s="18" t="s">
        <v>13</v>
      </c>
    </row>
    <row r="538" s="3" customFormat="1" ht="12" spans="1:8">
      <c r="A538" s="18" t="str">
        <f>"202301908"</f>
        <v>202301908</v>
      </c>
      <c r="B538" s="18" t="str">
        <f t="shared" si="92"/>
        <v>014</v>
      </c>
      <c r="C538" s="18" t="str">
        <f t="shared" si="97"/>
        <v>19</v>
      </c>
      <c r="D538" s="14" t="s">
        <v>24</v>
      </c>
      <c r="E538" s="14" t="s">
        <v>28</v>
      </c>
      <c r="F538" s="19">
        <v>0</v>
      </c>
      <c r="G538" s="20">
        <f>SUMPRODUCT(--((B538=$B$4:$B$717)*$F$4:$F$717&gt;F538))+1</f>
        <v>74</v>
      </c>
      <c r="H538" s="18" t="s">
        <v>13</v>
      </c>
    </row>
    <row r="539" s="3" customFormat="1" ht="12" spans="1:8">
      <c r="A539" s="18" t="str">
        <f>"202301910"</f>
        <v>202301910</v>
      </c>
      <c r="B539" s="18" t="str">
        <f t="shared" si="92"/>
        <v>014</v>
      </c>
      <c r="C539" s="18" t="str">
        <f t="shared" si="97"/>
        <v>19</v>
      </c>
      <c r="D539" s="14" t="s">
        <v>24</v>
      </c>
      <c r="E539" s="14" t="s">
        <v>28</v>
      </c>
      <c r="F539" s="19">
        <v>0</v>
      </c>
      <c r="G539" s="20">
        <f>SUMPRODUCT(--((B539=$B$4:$B$717)*$F$4:$F$717&gt;F539))+1</f>
        <v>74</v>
      </c>
      <c r="H539" s="18" t="s">
        <v>13</v>
      </c>
    </row>
    <row r="540" s="3" customFormat="1" ht="12" spans="1:8">
      <c r="A540" s="18" t="str">
        <f>"202301916"</f>
        <v>202301916</v>
      </c>
      <c r="B540" s="18" t="str">
        <f t="shared" si="92"/>
        <v>014</v>
      </c>
      <c r="C540" s="18" t="str">
        <f t="shared" si="97"/>
        <v>19</v>
      </c>
      <c r="D540" s="14" t="s">
        <v>24</v>
      </c>
      <c r="E540" s="14" t="s">
        <v>28</v>
      </c>
      <c r="F540" s="19">
        <v>0</v>
      </c>
      <c r="G540" s="20">
        <f>SUMPRODUCT(--((B540=$B$4:$B$717)*$F$4:$F$717&gt;F540))+1</f>
        <v>74</v>
      </c>
      <c r="H540" s="18" t="s">
        <v>13</v>
      </c>
    </row>
    <row r="541" s="3" customFormat="1" ht="12" spans="1:8">
      <c r="A541" s="18" t="str">
        <f>"202301917"</f>
        <v>202301917</v>
      </c>
      <c r="B541" s="18" t="str">
        <f t="shared" si="92"/>
        <v>014</v>
      </c>
      <c r="C541" s="18" t="str">
        <f t="shared" si="97"/>
        <v>19</v>
      </c>
      <c r="D541" s="14" t="s">
        <v>24</v>
      </c>
      <c r="E541" s="14" t="s">
        <v>28</v>
      </c>
      <c r="F541" s="19">
        <v>0</v>
      </c>
      <c r="G541" s="20">
        <f>SUMPRODUCT(--((B541=$B$4:$B$717)*$F$4:$F$717&gt;F541))+1</f>
        <v>74</v>
      </c>
      <c r="H541" s="18" t="s">
        <v>13</v>
      </c>
    </row>
    <row r="542" s="3" customFormat="1" ht="12" spans="1:8">
      <c r="A542" s="18" t="str">
        <f>"202301918"</f>
        <v>202301918</v>
      </c>
      <c r="B542" s="18" t="str">
        <f t="shared" si="92"/>
        <v>014</v>
      </c>
      <c r="C542" s="18" t="str">
        <f t="shared" si="97"/>
        <v>19</v>
      </c>
      <c r="D542" s="14" t="s">
        <v>24</v>
      </c>
      <c r="E542" s="14" t="s">
        <v>28</v>
      </c>
      <c r="F542" s="19">
        <v>0</v>
      </c>
      <c r="G542" s="20">
        <f>SUMPRODUCT(--((B542=$B$4:$B$717)*$F$4:$F$717&gt;F542))+1</f>
        <v>74</v>
      </c>
      <c r="H542" s="18" t="s">
        <v>13</v>
      </c>
    </row>
    <row r="543" s="3" customFormat="1" ht="12" spans="1:8">
      <c r="A543" s="18" t="str">
        <f>"202301921"</f>
        <v>202301921</v>
      </c>
      <c r="B543" s="18" t="str">
        <f t="shared" si="92"/>
        <v>014</v>
      </c>
      <c r="C543" s="18" t="str">
        <f t="shared" si="97"/>
        <v>19</v>
      </c>
      <c r="D543" s="14" t="s">
        <v>24</v>
      </c>
      <c r="E543" s="14" t="s">
        <v>28</v>
      </c>
      <c r="F543" s="19">
        <v>0</v>
      </c>
      <c r="G543" s="20">
        <f>SUMPRODUCT(--((B543=$B$4:$B$717)*$F$4:$F$717&gt;F543))+1</f>
        <v>74</v>
      </c>
      <c r="H543" s="18" t="s">
        <v>13</v>
      </c>
    </row>
    <row r="544" s="3" customFormat="1" ht="12" spans="1:8">
      <c r="A544" s="18" t="str">
        <f>"202301922"</f>
        <v>202301922</v>
      </c>
      <c r="B544" s="18" t="str">
        <f t="shared" si="92"/>
        <v>014</v>
      </c>
      <c r="C544" s="18" t="str">
        <f t="shared" si="97"/>
        <v>19</v>
      </c>
      <c r="D544" s="14" t="s">
        <v>24</v>
      </c>
      <c r="E544" s="14" t="s">
        <v>28</v>
      </c>
      <c r="F544" s="19">
        <v>0</v>
      </c>
      <c r="G544" s="20">
        <f>SUMPRODUCT(--((B544=$B$4:$B$717)*$F$4:$F$717&gt;F544))+1</f>
        <v>74</v>
      </c>
      <c r="H544" s="18" t="s">
        <v>13</v>
      </c>
    </row>
    <row r="545" s="3" customFormat="1" ht="12" spans="1:8">
      <c r="A545" s="18" t="str">
        <f>"202301923"</f>
        <v>202301923</v>
      </c>
      <c r="B545" s="18" t="str">
        <f t="shared" si="92"/>
        <v>014</v>
      </c>
      <c r="C545" s="18" t="str">
        <f t="shared" si="97"/>
        <v>19</v>
      </c>
      <c r="D545" s="14" t="s">
        <v>24</v>
      </c>
      <c r="E545" s="14" t="s">
        <v>28</v>
      </c>
      <c r="F545" s="19">
        <v>0</v>
      </c>
      <c r="G545" s="20">
        <f>SUMPRODUCT(--((B545=$B$4:$B$717)*$F$4:$F$717&gt;F545))+1</f>
        <v>74</v>
      </c>
      <c r="H545" s="18" t="s">
        <v>13</v>
      </c>
    </row>
    <row r="546" s="3" customFormat="1" ht="12" spans="1:8">
      <c r="A546" s="18" t="str">
        <f>"202301925"</f>
        <v>202301925</v>
      </c>
      <c r="B546" s="18" t="str">
        <f t="shared" si="92"/>
        <v>014</v>
      </c>
      <c r="C546" s="18" t="str">
        <f t="shared" si="97"/>
        <v>19</v>
      </c>
      <c r="D546" s="14" t="s">
        <v>24</v>
      </c>
      <c r="E546" s="14" t="s">
        <v>28</v>
      </c>
      <c r="F546" s="19">
        <v>0</v>
      </c>
      <c r="G546" s="20">
        <f>SUMPRODUCT(--((B546=$B$4:$B$717)*$F$4:$F$717&gt;F546))+1</f>
        <v>74</v>
      </c>
      <c r="H546" s="18" t="s">
        <v>13</v>
      </c>
    </row>
    <row r="547" s="3" customFormat="1" ht="12" spans="1:8">
      <c r="A547" s="18" t="str">
        <f>"202301926"</f>
        <v>202301926</v>
      </c>
      <c r="B547" s="18" t="str">
        <f t="shared" si="92"/>
        <v>014</v>
      </c>
      <c r="C547" s="18" t="str">
        <f t="shared" si="97"/>
        <v>19</v>
      </c>
      <c r="D547" s="14" t="s">
        <v>24</v>
      </c>
      <c r="E547" s="14" t="s">
        <v>28</v>
      </c>
      <c r="F547" s="19">
        <v>0</v>
      </c>
      <c r="G547" s="20">
        <f>SUMPRODUCT(--((B547=$B$4:$B$717)*$F$4:$F$717&gt;F547))+1</f>
        <v>74</v>
      </c>
      <c r="H547" s="18" t="s">
        <v>13</v>
      </c>
    </row>
    <row r="548" s="3" customFormat="1" ht="12" spans="1:8">
      <c r="A548" s="18" t="str">
        <f>"202301927"</f>
        <v>202301927</v>
      </c>
      <c r="B548" s="18" t="str">
        <f t="shared" si="92"/>
        <v>014</v>
      </c>
      <c r="C548" s="18" t="str">
        <f t="shared" si="97"/>
        <v>19</v>
      </c>
      <c r="D548" s="14" t="s">
        <v>24</v>
      </c>
      <c r="E548" s="14" t="s">
        <v>28</v>
      </c>
      <c r="F548" s="19">
        <v>0</v>
      </c>
      <c r="G548" s="20">
        <f>SUMPRODUCT(--((B548=$B$4:$B$717)*$F$4:$F$717&gt;F548))+1</f>
        <v>74</v>
      </c>
      <c r="H548" s="18" t="s">
        <v>13</v>
      </c>
    </row>
    <row r="549" s="3" customFormat="1" ht="12" spans="1:8">
      <c r="A549" s="18" t="str">
        <f>"202301929"</f>
        <v>202301929</v>
      </c>
      <c r="B549" s="18" t="str">
        <f t="shared" si="92"/>
        <v>014</v>
      </c>
      <c r="C549" s="18" t="str">
        <f t="shared" si="97"/>
        <v>19</v>
      </c>
      <c r="D549" s="14" t="s">
        <v>24</v>
      </c>
      <c r="E549" s="14" t="s">
        <v>28</v>
      </c>
      <c r="F549" s="19">
        <v>0</v>
      </c>
      <c r="G549" s="20">
        <f>SUMPRODUCT(--((B549=$B$4:$B$717)*$F$4:$F$717&gt;F549))+1</f>
        <v>74</v>
      </c>
      <c r="H549" s="18" t="s">
        <v>13</v>
      </c>
    </row>
    <row r="550" s="3" customFormat="1" ht="12" spans="1:8">
      <c r="A550" s="14" t="str">
        <f>"202301105"</f>
        <v>202301105</v>
      </c>
      <c r="B550" s="14" t="str">
        <f t="shared" ref="B550:B563" si="98">"015"</f>
        <v>015</v>
      </c>
      <c r="C550" s="14" t="str">
        <f t="shared" ref="C550:C563" si="99">"11"</f>
        <v>11</v>
      </c>
      <c r="D550" s="14" t="s">
        <v>24</v>
      </c>
      <c r="E550" s="14" t="s">
        <v>29</v>
      </c>
      <c r="F550" s="16">
        <v>72.04</v>
      </c>
      <c r="G550" s="17">
        <f>SUMPRODUCT(--((B550=$B$4:$B$717)*$F$4:$F$717&gt;F550))+1</f>
        <v>1</v>
      </c>
      <c r="H550" s="18" t="s">
        <v>12</v>
      </c>
    </row>
    <row r="551" s="3" customFormat="1" ht="12" spans="1:8">
      <c r="A551" s="14" t="str">
        <f>"202301103"</f>
        <v>202301103</v>
      </c>
      <c r="B551" s="14" t="str">
        <f t="shared" si="98"/>
        <v>015</v>
      </c>
      <c r="C551" s="14" t="str">
        <f t="shared" si="99"/>
        <v>11</v>
      </c>
      <c r="D551" s="14" t="s">
        <v>24</v>
      </c>
      <c r="E551" s="14" t="s">
        <v>29</v>
      </c>
      <c r="F551" s="16">
        <v>63.98</v>
      </c>
      <c r="G551" s="17">
        <f>SUMPRODUCT(--((B551=$B$4:$B$717)*$F$4:$F$717&gt;F551))+1</f>
        <v>2</v>
      </c>
      <c r="H551" s="18" t="s">
        <v>12</v>
      </c>
    </row>
    <row r="552" s="3" customFormat="1" ht="12" spans="1:8">
      <c r="A552" s="14" t="str">
        <f>"202301102"</f>
        <v>202301102</v>
      </c>
      <c r="B552" s="14" t="str">
        <f t="shared" si="98"/>
        <v>015</v>
      </c>
      <c r="C552" s="14" t="str">
        <f t="shared" si="99"/>
        <v>11</v>
      </c>
      <c r="D552" s="14" t="s">
        <v>24</v>
      </c>
      <c r="E552" s="14" t="s">
        <v>29</v>
      </c>
      <c r="F552" s="16">
        <v>61.59</v>
      </c>
      <c r="G552" s="17">
        <f>SUMPRODUCT(--((B552=$B$4:$B$717)*$F$4:$F$717&gt;F552))+1</f>
        <v>3</v>
      </c>
      <c r="H552" s="18" t="s">
        <v>12</v>
      </c>
    </row>
    <row r="553" s="3" customFormat="1" ht="12" spans="1:8">
      <c r="A553" s="18" t="str">
        <f>"202301104"</f>
        <v>202301104</v>
      </c>
      <c r="B553" s="18" t="str">
        <f t="shared" si="98"/>
        <v>015</v>
      </c>
      <c r="C553" s="18" t="str">
        <f t="shared" si="99"/>
        <v>11</v>
      </c>
      <c r="D553" s="14" t="s">
        <v>24</v>
      </c>
      <c r="E553" s="14" t="s">
        <v>29</v>
      </c>
      <c r="F553" s="19">
        <v>53.57</v>
      </c>
      <c r="G553" s="20">
        <f>SUMPRODUCT(--((B553=$B$4:$B$717)*$F$4:$F$717&gt;F553))+1</f>
        <v>4</v>
      </c>
      <c r="H553" s="18" t="s">
        <v>13</v>
      </c>
    </row>
    <row r="554" s="3" customFormat="1" ht="12" spans="1:8">
      <c r="A554" s="18" t="str">
        <f>"202301108"</f>
        <v>202301108</v>
      </c>
      <c r="B554" s="18" t="str">
        <f t="shared" si="98"/>
        <v>015</v>
      </c>
      <c r="C554" s="18" t="str">
        <f t="shared" si="99"/>
        <v>11</v>
      </c>
      <c r="D554" s="14" t="s">
        <v>24</v>
      </c>
      <c r="E554" s="14" t="s">
        <v>29</v>
      </c>
      <c r="F554" s="19">
        <v>51.15</v>
      </c>
      <c r="G554" s="20">
        <f>SUMPRODUCT(--((B554=$B$4:$B$717)*$F$4:$F$717&gt;F554))+1</f>
        <v>5</v>
      </c>
      <c r="H554" s="18" t="s">
        <v>13</v>
      </c>
    </row>
    <row r="555" s="3" customFormat="1" ht="12" spans="1:8">
      <c r="A555" s="18" t="str">
        <f>"202301109"</f>
        <v>202301109</v>
      </c>
      <c r="B555" s="18" t="str">
        <f t="shared" si="98"/>
        <v>015</v>
      </c>
      <c r="C555" s="18" t="str">
        <f t="shared" si="99"/>
        <v>11</v>
      </c>
      <c r="D555" s="14" t="s">
        <v>24</v>
      </c>
      <c r="E555" s="14" t="s">
        <v>29</v>
      </c>
      <c r="F555" s="19">
        <v>43.67</v>
      </c>
      <c r="G555" s="20">
        <f>SUMPRODUCT(--((B555=$B$4:$B$717)*$F$4:$F$717&gt;F555))+1</f>
        <v>6</v>
      </c>
      <c r="H555" s="18" t="s">
        <v>13</v>
      </c>
    </row>
    <row r="556" s="3" customFormat="1" ht="12" spans="1:8">
      <c r="A556" s="18" t="str">
        <f>"202301111"</f>
        <v>202301111</v>
      </c>
      <c r="B556" s="18" t="str">
        <f t="shared" si="98"/>
        <v>015</v>
      </c>
      <c r="C556" s="18" t="str">
        <f t="shared" si="99"/>
        <v>11</v>
      </c>
      <c r="D556" s="14" t="s">
        <v>24</v>
      </c>
      <c r="E556" s="14" t="s">
        <v>29</v>
      </c>
      <c r="F556" s="19">
        <v>40.99</v>
      </c>
      <c r="G556" s="20">
        <f>SUMPRODUCT(--((B556=$B$4:$B$717)*$F$4:$F$717&gt;F556))+1</f>
        <v>7</v>
      </c>
      <c r="H556" s="18" t="s">
        <v>13</v>
      </c>
    </row>
    <row r="557" s="3" customFormat="1" ht="12" spans="1:8">
      <c r="A557" s="18" t="str">
        <f>"202301101"</f>
        <v>202301101</v>
      </c>
      <c r="B557" s="18" t="str">
        <f t="shared" si="98"/>
        <v>015</v>
      </c>
      <c r="C557" s="18" t="str">
        <f t="shared" si="99"/>
        <v>11</v>
      </c>
      <c r="D557" s="14" t="s">
        <v>24</v>
      </c>
      <c r="E557" s="14" t="s">
        <v>29</v>
      </c>
      <c r="F557" s="19">
        <v>0</v>
      </c>
      <c r="G557" s="20">
        <f>SUMPRODUCT(--((B557=$B$4:$B$717)*$F$4:$F$717&gt;F557))+1</f>
        <v>8</v>
      </c>
      <c r="H557" s="18" t="s">
        <v>13</v>
      </c>
    </row>
    <row r="558" s="3" customFormat="1" ht="12" spans="1:8">
      <c r="A558" s="18" t="str">
        <f>"202301106"</f>
        <v>202301106</v>
      </c>
      <c r="B558" s="18" t="str">
        <f t="shared" si="98"/>
        <v>015</v>
      </c>
      <c r="C558" s="18" t="str">
        <f t="shared" si="99"/>
        <v>11</v>
      </c>
      <c r="D558" s="14" t="s">
        <v>24</v>
      </c>
      <c r="E558" s="14" t="s">
        <v>29</v>
      </c>
      <c r="F558" s="19">
        <v>0</v>
      </c>
      <c r="G558" s="20">
        <f>SUMPRODUCT(--((B558=$B$4:$B$717)*$F$4:$F$717&gt;F558))+1</f>
        <v>8</v>
      </c>
      <c r="H558" s="18" t="s">
        <v>13</v>
      </c>
    </row>
    <row r="559" s="3" customFormat="1" ht="12" spans="1:8">
      <c r="A559" s="18" t="str">
        <f>"202301107"</f>
        <v>202301107</v>
      </c>
      <c r="B559" s="18" t="str">
        <f t="shared" si="98"/>
        <v>015</v>
      </c>
      <c r="C559" s="18" t="str">
        <f t="shared" si="99"/>
        <v>11</v>
      </c>
      <c r="D559" s="14" t="s">
        <v>24</v>
      </c>
      <c r="E559" s="14" t="s">
        <v>29</v>
      </c>
      <c r="F559" s="19">
        <v>0</v>
      </c>
      <c r="G559" s="20">
        <f>SUMPRODUCT(--((B559=$B$4:$B$717)*$F$4:$F$717&gt;F559))+1</f>
        <v>8</v>
      </c>
      <c r="H559" s="18" t="s">
        <v>13</v>
      </c>
    </row>
    <row r="560" s="3" customFormat="1" ht="12" spans="1:8">
      <c r="A560" s="18" t="str">
        <f>"202301110"</f>
        <v>202301110</v>
      </c>
      <c r="B560" s="18" t="str">
        <f t="shared" si="98"/>
        <v>015</v>
      </c>
      <c r="C560" s="18" t="str">
        <f t="shared" si="99"/>
        <v>11</v>
      </c>
      <c r="D560" s="14" t="s">
        <v>24</v>
      </c>
      <c r="E560" s="14" t="s">
        <v>29</v>
      </c>
      <c r="F560" s="19">
        <v>0</v>
      </c>
      <c r="G560" s="20">
        <f>SUMPRODUCT(--((B560=$B$4:$B$717)*$F$4:$F$717&gt;F560))+1</f>
        <v>8</v>
      </c>
      <c r="H560" s="18" t="s">
        <v>13</v>
      </c>
    </row>
    <row r="561" s="3" customFormat="1" ht="12" spans="1:8">
      <c r="A561" s="18" t="str">
        <f>"202301112"</f>
        <v>202301112</v>
      </c>
      <c r="B561" s="18" t="str">
        <f t="shared" si="98"/>
        <v>015</v>
      </c>
      <c r="C561" s="18" t="str">
        <f t="shared" si="99"/>
        <v>11</v>
      </c>
      <c r="D561" s="14" t="s">
        <v>24</v>
      </c>
      <c r="E561" s="14" t="s">
        <v>29</v>
      </c>
      <c r="F561" s="19">
        <v>0</v>
      </c>
      <c r="G561" s="20">
        <f>SUMPRODUCT(--((B561=$B$4:$B$717)*$F$4:$F$717&gt;F561))+1</f>
        <v>8</v>
      </c>
      <c r="H561" s="18" t="s">
        <v>13</v>
      </c>
    </row>
    <row r="562" s="3" customFormat="1" ht="12" spans="1:8">
      <c r="A562" s="18" t="str">
        <f>"202301113"</f>
        <v>202301113</v>
      </c>
      <c r="B562" s="18" t="str">
        <f t="shared" si="98"/>
        <v>015</v>
      </c>
      <c r="C562" s="18" t="str">
        <f t="shared" si="99"/>
        <v>11</v>
      </c>
      <c r="D562" s="14" t="s">
        <v>24</v>
      </c>
      <c r="E562" s="14" t="s">
        <v>29</v>
      </c>
      <c r="F562" s="19">
        <v>0</v>
      </c>
      <c r="G562" s="20">
        <f>SUMPRODUCT(--((B562=$B$4:$B$717)*$F$4:$F$717&gt;F562))+1</f>
        <v>8</v>
      </c>
      <c r="H562" s="18" t="s">
        <v>13</v>
      </c>
    </row>
    <row r="563" s="3" customFormat="1" ht="12" spans="1:8">
      <c r="A563" s="18" t="str">
        <f>"202301114"</f>
        <v>202301114</v>
      </c>
      <c r="B563" s="18" t="str">
        <f t="shared" si="98"/>
        <v>015</v>
      </c>
      <c r="C563" s="18" t="str">
        <f t="shared" si="99"/>
        <v>11</v>
      </c>
      <c r="D563" s="14" t="s">
        <v>24</v>
      </c>
      <c r="E563" s="14" t="s">
        <v>29</v>
      </c>
      <c r="F563" s="19">
        <v>0</v>
      </c>
      <c r="G563" s="20">
        <f>SUMPRODUCT(--((B563=$B$4:$B$717)*$F$4:$F$717&gt;F563))+1</f>
        <v>8</v>
      </c>
      <c r="H563" s="18" t="s">
        <v>13</v>
      </c>
    </row>
    <row r="564" s="3" customFormat="1" ht="12" spans="1:8">
      <c r="A564" s="14" t="str">
        <f>"202301206"</f>
        <v>202301206</v>
      </c>
      <c r="B564" s="14" t="str">
        <f t="shared" ref="B564:B619" si="100">"016"</f>
        <v>016</v>
      </c>
      <c r="C564" s="14" t="str">
        <f t="shared" ref="C564:C570" si="101">"12"</f>
        <v>12</v>
      </c>
      <c r="D564" s="14" t="s">
        <v>24</v>
      </c>
      <c r="E564" s="14" t="s">
        <v>30</v>
      </c>
      <c r="F564" s="16">
        <v>72.34</v>
      </c>
      <c r="G564" s="17">
        <f>SUMPRODUCT(--((B564=$B$4:$B$717)*$F$4:$F$717&gt;F564))+1</f>
        <v>1</v>
      </c>
      <c r="H564" s="18" t="s">
        <v>12</v>
      </c>
    </row>
    <row r="565" s="3" customFormat="1" ht="12" spans="1:8">
      <c r="A565" s="14" t="str">
        <f>"202301223"</f>
        <v>202301223</v>
      </c>
      <c r="B565" s="14" t="str">
        <f t="shared" si="100"/>
        <v>016</v>
      </c>
      <c r="C565" s="14" t="str">
        <f t="shared" si="101"/>
        <v>12</v>
      </c>
      <c r="D565" s="14" t="s">
        <v>24</v>
      </c>
      <c r="E565" s="14" t="s">
        <v>30</v>
      </c>
      <c r="F565" s="16">
        <v>67.57</v>
      </c>
      <c r="G565" s="17">
        <f>SUMPRODUCT(--((B565=$B$4:$B$717)*$F$4:$F$717&gt;F565))+1</f>
        <v>2</v>
      </c>
      <c r="H565" s="18" t="s">
        <v>12</v>
      </c>
    </row>
    <row r="566" s="3" customFormat="1" ht="12" spans="1:8">
      <c r="A566" s="14" t="str">
        <f>"202301302"</f>
        <v>202301302</v>
      </c>
      <c r="B566" s="14" t="str">
        <f t="shared" si="100"/>
        <v>016</v>
      </c>
      <c r="C566" s="14" t="str">
        <f t="shared" ref="C566:C571" si="102">"13"</f>
        <v>13</v>
      </c>
      <c r="D566" s="14" t="s">
        <v>24</v>
      </c>
      <c r="E566" s="14" t="s">
        <v>30</v>
      </c>
      <c r="F566" s="16">
        <v>67.17</v>
      </c>
      <c r="G566" s="17">
        <f>SUMPRODUCT(--((B566=$B$4:$B$717)*$F$4:$F$717&gt;F566))+1</f>
        <v>3</v>
      </c>
      <c r="H566" s="18" t="s">
        <v>12</v>
      </c>
    </row>
    <row r="567" s="3" customFormat="1" ht="12" spans="1:8">
      <c r="A567" s="18" t="str">
        <f>"202301305"</f>
        <v>202301305</v>
      </c>
      <c r="B567" s="18" t="str">
        <f t="shared" si="100"/>
        <v>016</v>
      </c>
      <c r="C567" s="18" t="str">
        <f t="shared" si="102"/>
        <v>13</v>
      </c>
      <c r="D567" s="14" t="s">
        <v>24</v>
      </c>
      <c r="E567" s="14" t="s">
        <v>30</v>
      </c>
      <c r="F567" s="19">
        <v>66.76</v>
      </c>
      <c r="G567" s="20">
        <f>SUMPRODUCT(--((B567=$B$4:$B$717)*$F$4:$F$717&gt;F567))+1</f>
        <v>4</v>
      </c>
      <c r="H567" s="18" t="s">
        <v>13</v>
      </c>
    </row>
    <row r="568" s="3" customFormat="1" ht="12" spans="1:8">
      <c r="A568" s="18" t="str">
        <f>"202301219"</f>
        <v>202301219</v>
      </c>
      <c r="B568" s="18" t="str">
        <f t="shared" si="100"/>
        <v>016</v>
      </c>
      <c r="C568" s="18" t="str">
        <f t="shared" si="101"/>
        <v>12</v>
      </c>
      <c r="D568" s="14" t="s">
        <v>24</v>
      </c>
      <c r="E568" s="14" t="s">
        <v>30</v>
      </c>
      <c r="F568" s="19">
        <v>66.16</v>
      </c>
      <c r="G568" s="20">
        <f>SUMPRODUCT(--((B568=$B$4:$B$717)*$F$4:$F$717&gt;F568))+1</f>
        <v>5</v>
      </c>
      <c r="H568" s="18" t="s">
        <v>13</v>
      </c>
    </row>
    <row r="569" s="3" customFormat="1" ht="12" spans="1:8">
      <c r="A569" s="18" t="str">
        <f>"202301215"</f>
        <v>202301215</v>
      </c>
      <c r="B569" s="18" t="str">
        <f t="shared" si="100"/>
        <v>016</v>
      </c>
      <c r="C569" s="18" t="str">
        <f t="shared" si="101"/>
        <v>12</v>
      </c>
      <c r="D569" s="14" t="s">
        <v>24</v>
      </c>
      <c r="E569" s="14" t="s">
        <v>30</v>
      </c>
      <c r="F569" s="19">
        <v>65.93</v>
      </c>
      <c r="G569" s="20">
        <f>SUMPRODUCT(--((B569=$B$4:$B$717)*$F$4:$F$717&gt;F569))+1</f>
        <v>6</v>
      </c>
      <c r="H569" s="18" t="s">
        <v>13</v>
      </c>
    </row>
    <row r="570" s="3" customFormat="1" ht="12" spans="1:8">
      <c r="A570" s="18" t="str">
        <f>"202301210"</f>
        <v>202301210</v>
      </c>
      <c r="B570" s="18" t="str">
        <f t="shared" si="100"/>
        <v>016</v>
      </c>
      <c r="C570" s="18" t="str">
        <f t="shared" si="101"/>
        <v>12</v>
      </c>
      <c r="D570" s="14" t="s">
        <v>24</v>
      </c>
      <c r="E570" s="14" t="s">
        <v>30</v>
      </c>
      <c r="F570" s="19">
        <v>65.73</v>
      </c>
      <c r="G570" s="20">
        <f>SUMPRODUCT(--((B570=$B$4:$B$717)*$F$4:$F$717&gt;F570))+1</f>
        <v>7</v>
      </c>
      <c r="H570" s="18" t="s">
        <v>13</v>
      </c>
    </row>
    <row r="571" s="3" customFormat="1" ht="12" spans="1:8">
      <c r="A571" s="18" t="str">
        <f>"202301303"</f>
        <v>202301303</v>
      </c>
      <c r="B571" s="18" t="str">
        <f t="shared" si="100"/>
        <v>016</v>
      </c>
      <c r="C571" s="18" t="str">
        <f t="shared" si="102"/>
        <v>13</v>
      </c>
      <c r="D571" s="14" t="s">
        <v>24</v>
      </c>
      <c r="E571" s="14" t="s">
        <v>30</v>
      </c>
      <c r="F571" s="19">
        <v>62.75</v>
      </c>
      <c r="G571" s="20">
        <f>SUMPRODUCT(--((B571=$B$4:$B$717)*$F$4:$F$717&gt;F571))+1</f>
        <v>8</v>
      </c>
      <c r="H571" s="18" t="s">
        <v>13</v>
      </c>
    </row>
    <row r="572" s="3" customFormat="1" ht="12" spans="1:8">
      <c r="A572" s="18" t="str">
        <f>"202301226"</f>
        <v>202301226</v>
      </c>
      <c r="B572" s="18" t="str">
        <f t="shared" si="100"/>
        <v>016</v>
      </c>
      <c r="C572" s="18" t="str">
        <f t="shared" ref="C572:C575" si="103">"12"</f>
        <v>12</v>
      </c>
      <c r="D572" s="14" t="s">
        <v>24</v>
      </c>
      <c r="E572" s="14" t="s">
        <v>30</v>
      </c>
      <c r="F572" s="19">
        <v>61.66</v>
      </c>
      <c r="G572" s="20">
        <f>SUMPRODUCT(--((B572=$B$4:$B$717)*$F$4:$F$717&gt;F572))+1</f>
        <v>9</v>
      </c>
      <c r="H572" s="18" t="s">
        <v>13</v>
      </c>
    </row>
    <row r="573" s="3" customFormat="1" ht="12" spans="1:8">
      <c r="A573" s="18" t="str">
        <f>"202301211"</f>
        <v>202301211</v>
      </c>
      <c r="B573" s="18" t="str">
        <f t="shared" si="100"/>
        <v>016</v>
      </c>
      <c r="C573" s="18" t="str">
        <f t="shared" si="103"/>
        <v>12</v>
      </c>
      <c r="D573" s="14" t="s">
        <v>24</v>
      </c>
      <c r="E573" s="14" t="s">
        <v>30</v>
      </c>
      <c r="F573" s="19">
        <v>60.58</v>
      </c>
      <c r="G573" s="20">
        <f>SUMPRODUCT(--((B573=$B$4:$B$717)*$F$4:$F$717&gt;F573))+1</f>
        <v>10</v>
      </c>
      <c r="H573" s="18" t="s">
        <v>13</v>
      </c>
    </row>
    <row r="574" s="3" customFormat="1" ht="12" spans="1:8">
      <c r="A574" s="18" t="str">
        <f>"202301119"</f>
        <v>202301119</v>
      </c>
      <c r="B574" s="18" t="str">
        <f t="shared" si="100"/>
        <v>016</v>
      </c>
      <c r="C574" s="18" t="str">
        <f t="shared" ref="C574:C577" si="104">"11"</f>
        <v>11</v>
      </c>
      <c r="D574" s="14" t="s">
        <v>24</v>
      </c>
      <c r="E574" s="14" t="s">
        <v>30</v>
      </c>
      <c r="F574" s="19">
        <v>60.01</v>
      </c>
      <c r="G574" s="20">
        <f>SUMPRODUCT(--((B574=$B$4:$B$717)*$F$4:$F$717&gt;F574))+1</f>
        <v>11</v>
      </c>
      <c r="H574" s="18" t="s">
        <v>13</v>
      </c>
    </row>
    <row r="575" s="3" customFormat="1" ht="12" spans="1:8">
      <c r="A575" s="18" t="str">
        <f>"202301230"</f>
        <v>202301230</v>
      </c>
      <c r="B575" s="18" t="str">
        <f t="shared" si="100"/>
        <v>016</v>
      </c>
      <c r="C575" s="18" t="str">
        <f t="shared" si="103"/>
        <v>12</v>
      </c>
      <c r="D575" s="14" t="s">
        <v>24</v>
      </c>
      <c r="E575" s="14" t="s">
        <v>30</v>
      </c>
      <c r="F575" s="19">
        <v>59.9</v>
      </c>
      <c r="G575" s="20">
        <f>SUMPRODUCT(--((B575=$B$4:$B$717)*$F$4:$F$717&gt;F575))+1</f>
        <v>12</v>
      </c>
      <c r="H575" s="18" t="s">
        <v>13</v>
      </c>
    </row>
    <row r="576" s="3" customFormat="1" ht="12" spans="1:8">
      <c r="A576" s="18" t="str">
        <f>"202301123"</f>
        <v>202301123</v>
      </c>
      <c r="B576" s="18" t="str">
        <f t="shared" si="100"/>
        <v>016</v>
      </c>
      <c r="C576" s="18" t="str">
        <f t="shared" si="104"/>
        <v>11</v>
      </c>
      <c r="D576" s="14" t="s">
        <v>24</v>
      </c>
      <c r="E576" s="14" t="s">
        <v>30</v>
      </c>
      <c r="F576" s="19">
        <v>59.75</v>
      </c>
      <c r="G576" s="20">
        <f>SUMPRODUCT(--((B576=$B$4:$B$717)*$F$4:$F$717&gt;F576))+1</f>
        <v>13</v>
      </c>
      <c r="H576" s="18" t="s">
        <v>13</v>
      </c>
    </row>
    <row r="577" s="3" customFormat="1" ht="12" spans="1:8">
      <c r="A577" s="18" t="str">
        <f>"202301121"</f>
        <v>202301121</v>
      </c>
      <c r="B577" s="18" t="str">
        <f t="shared" si="100"/>
        <v>016</v>
      </c>
      <c r="C577" s="18" t="str">
        <f t="shared" si="104"/>
        <v>11</v>
      </c>
      <c r="D577" s="14" t="s">
        <v>24</v>
      </c>
      <c r="E577" s="14" t="s">
        <v>30</v>
      </c>
      <c r="F577" s="19">
        <v>59.5</v>
      </c>
      <c r="G577" s="20">
        <f>SUMPRODUCT(--((B577=$B$4:$B$717)*$F$4:$F$717&gt;F577))+1</f>
        <v>14</v>
      </c>
      <c r="H577" s="18" t="s">
        <v>13</v>
      </c>
    </row>
    <row r="578" s="3" customFormat="1" ht="12" spans="1:8">
      <c r="A578" s="18" t="str">
        <f>"202301201"</f>
        <v>202301201</v>
      </c>
      <c r="B578" s="18" t="str">
        <f t="shared" si="100"/>
        <v>016</v>
      </c>
      <c r="C578" s="18" t="str">
        <f t="shared" ref="C578:C580" si="105">"12"</f>
        <v>12</v>
      </c>
      <c r="D578" s="14" t="s">
        <v>24</v>
      </c>
      <c r="E578" s="14" t="s">
        <v>30</v>
      </c>
      <c r="F578" s="19">
        <v>58.84</v>
      </c>
      <c r="G578" s="20">
        <f>SUMPRODUCT(--((B578=$B$4:$B$717)*$F$4:$F$717&gt;F578))+1</f>
        <v>15</v>
      </c>
      <c r="H578" s="18" t="s">
        <v>13</v>
      </c>
    </row>
    <row r="579" s="3" customFormat="1" ht="12" spans="1:8">
      <c r="A579" s="18" t="str">
        <f>"202301225"</f>
        <v>202301225</v>
      </c>
      <c r="B579" s="18" t="str">
        <f t="shared" si="100"/>
        <v>016</v>
      </c>
      <c r="C579" s="18" t="str">
        <f t="shared" si="105"/>
        <v>12</v>
      </c>
      <c r="D579" s="14" t="s">
        <v>24</v>
      </c>
      <c r="E579" s="14" t="s">
        <v>30</v>
      </c>
      <c r="F579" s="19">
        <v>58.77</v>
      </c>
      <c r="G579" s="20">
        <f>SUMPRODUCT(--((B579=$B$4:$B$717)*$F$4:$F$717&gt;F579))+1</f>
        <v>16</v>
      </c>
      <c r="H579" s="18" t="s">
        <v>13</v>
      </c>
    </row>
    <row r="580" s="3" customFormat="1" ht="12" spans="1:8">
      <c r="A580" s="18" t="str">
        <f>"202301221"</f>
        <v>202301221</v>
      </c>
      <c r="B580" s="18" t="str">
        <f t="shared" si="100"/>
        <v>016</v>
      </c>
      <c r="C580" s="18" t="str">
        <f t="shared" si="105"/>
        <v>12</v>
      </c>
      <c r="D580" s="14" t="s">
        <v>24</v>
      </c>
      <c r="E580" s="14" t="s">
        <v>30</v>
      </c>
      <c r="F580" s="19">
        <v>58.58</v>
      </c>
      <c r="G580" s="20">
        <f>SUMPRODUCT(--((B580=$B$4:$B$717)*$F$4:$F$717&gt;F580))+1</f>
        <v>17</v>
      </c>
      <c r="H580" s="18" t="s">
        <v>13</v>
      </c>
    </row>
    <row r="581" s="3" customFormat="1" ht="12" spans="1:8">
      <c r="A581" s="18" t="str">
        <f>"202301127"</f>
        <v>202301127</v>
      </c>
      <c r="B581" s="18" t="str">
        <f t="shared" si="100"/>
        <v>016</v>
      </c>
      <c r="C581" s="18" t="str">
        <f>"11"</f>
        <v>11</v>
      </c>
      <c r="D581" s="14" t="s">
        <v>24</v>
      </c>
      <c r="E581" s="14" t="s">
        <v>30</v>
      </c>
      <c r="F581" s="19">
        <v>57</v>
      </c>
      <c r="G581" s="20">
        <f>SUMPRODUCT(--((B581=$B$4:$B$717)*$F$4:$F$717&gt;F581))+1</f>
        <v>18</v>
      </c>
      <c r="H581" s="18" t="s">
        <v>13</v>
      </c>
    </row>
    <row r="582" s="3" customFormat="1" ht="12" spans="1:8">
      <c r="A582" s="18" t="str">
        <f>"202301310"</f>
        <v>202301310</v>
      </c>
      <c r="B582" s="18" t="str">
        <f t="shared" si="100"/>
        <v>016</v>
      </c>
      <c r="C582" s="18" t="str">
        <f>"13"</f>
        <v>13</v>
      </c>
      <c r="D582" s="14" t="s">
        <v>24</v>
      </c>
      <c r="E582" s="14" t="s">
        <v>30</v>
      </c>
      <c r="F582" s="19">
        <v>56.26</v>
      </c>
      <c r="G582" s="20">
        <f>SUMPRODUCT(--((B582=$B$4:$B$717)*$F$4:$F$717&gt;F582))+1</f>
        <v>19</v>
      </c>
      <c r="H582" s="18" t="s">
        <v>13</v>
      </c>
    </row>
    <row r="583" s="3" customFormat="1" ht="12" spans="1:8">
      <c r="A583" s="18" t="str">
        <f>"202301116"</f>
        <v>202301116</v>
      </c>
      <c r="B583" s="18" t="str">
        <f t="shared" si="100"/>
        <v>016</v>
      </c>
      <c r="C583" s="18" t="str">
        <f>"11"</f>
        <v>11</v>
      </c>
      <c r="D583" s="14" t="s">
        <v>24</v>
      </c>
      <c r="E583" s="14" t="s">
        <v>30</v>
      </c>
      <c r="F583" s="19">
        <v>56</v>
      </c>
      <c r="G583" s="20">
        <f>SUMPRODUCT(--((B583=$B$4:$B$717)*$F$4:$F$717&gt;F583))+1</f>
        <v>20</v>
      </c>
      <c r="H583" s="18" t="s">
        <v>13</v>
      </c>
    </row>
    <row r="584" s="3" customFormat="1" ht="12" spans="1:8">
      <c r="A584" s="18" t="str">
        <f>"202301222"</f>
        <v>202301222</v>
      </c>
      <c r="B584" s="18" t="str">
        <f t="shared" si="100"/>
        <v>016</v>
      </c>
      <c r="C584" s="18" t="str">
        <f t="shared" ref="C584:C588" si="106">"12"</f>
        <v>12</v>
      </c>
      <c r="D584" s="14" t="s">
        <v>24</v>
      </c>
      <c r="E584" s="14" t="s">
        <v>30</v>
      </c>
      <c r="F584" s="19">
        <v>55.83</v>
      </c>
      <c r="G584" s="20">
        <f>SUMPRODUCT(--((B584=$B$4:$B$717)*$F$4:$F$717&gt;F584))+1</f>
        <v>21</v>
      </c>
      <c r="H584" s="18" t="s">
        <v>13</v>
      </c>
    </row>
    <row r="585" s="3" customFormat="1" ht="12" spans="1:8">
      <c r="A585" s="18" t="str">
        <f>"202301202"</f>
        <v>202301202</v>
      </c>
      <c r="B585" s="18" t="str">
        <f t="shared" si="100"/>
        <v>016</v>
      </c>
      <c r="C585" s="18" t="str">
        <f t="shared" si="106"/>
        <v>12</v>
      </c>
      <c r="D585" s="14" t="s">
        <v>24</v>
      </c>
      <c r="E585" s="14" t="s">
        <v>30</v>
      </c>
      <c r="F585" s="19">
        <v>54.73</v>
      </c>
      <c r="G585" s="20">
        <f>SUMPRODUCT(--((B585=$B$4:$B$717)*$F$4:$F$717&gt;F585))+1</f>
        <v>22</v>
      </c>
      <c r="H585" s="18" t="s">
        <v>13</v>
      </c>
    </row>
    <row r="586" s="3" customFormat="1" ht="12" spans="1:8">
      <c r="A586" s="18" t="str">
        <f>"202301309"</f>
        <v>202301309</v>
      </c>
      <c r="B586" s="18" t="str">
        <f t="shared" si="100"/>
        <v>016</v>
      </c>
      <c r="C586" s="18" t="str">
        <f>"13"</f>
        <v>13</v>
      </c>
      <c r="D586" s="14" t="s">
        <v>24</v>
      </c>
      <c r="E586" s="14" t="s">
        <v>30</v>
      </c>
      <c r="F586" s="19">
        <v>54.59</v>
      </c>
      <c r="G586" s="20">
        <f>SUMPRODUCT(--((B586=$B$4:$B$717)*$F$4:$F$717&gt;F586))+1</f>
        <v>23</v>
      </c>
      <c r="H586" s="18" t="s">
        <v>13</v>
      </c>
    </row>
    <row r="587" s="3" customFormat="1" ht="12" spans="1:8">
      <c r="A587" s="18" t="str">
        <f>"202301128"</f>
        <v>202301128</v>
      </c>
      <c r="B587" s="18" t="str">
        <f t="shared" si="100"/>
        <v>016</v>
      </c>
      <c r="C587" s="18" t="str">
        <f>"11"</f>
        <v>11</v>
      </c>
      <c r="D587" s="14" t="s">
        <v>24</v>
      </c>
      <c r="E587" s="14" t="s">
        <v>30</v>
      </c>
      <c r="F587" s="19">
        <v>54.42</v>
      </c>
      <c r="G587" s="20">
        <f>SUMPRODUCT(--((B587=$B$4:$B$717)*$F$4:$F$717&gt;F587))+1</f>
        <v>24</v>
      </c>
      <c r="H587" s="18" t="s">
        <v>13</v>
      </c>
    </row>
    <row r="588" s="3" customFormat="1" ht="12" spans="1:8">
      <c r="A588" s="18" t="str">
        <f>"202301218"</f>
        <v>202301218</v>
      </c>
      <c r="B588" s="18" t="str">
        <f t="shared" si="100"/>
        <v>016</v>
      </c>
      <c r="C588" s="18" t="str">
        <f t="shared" si="106"/>
        <v>12</v>
      </c>
      <c r="D588" s="14" t="s">
        <v>24</v>
      </c>
      <c r="E588" s="14" t="s">
        <v>30</v>
      </c>
      <c r="F588" s="19">
        <v>52.83</v>
      </c>
      <c r="G588" s="20">
        <f>SUMPRODUCT(--((B588=$B$4:$B$717)*$F$4:$F$717&gt;F588))+1</f>
        <v>25</v>
      </c>
      <c r="H588" s="18" t="s">
        <v>13</v>
      </c>
    </row>
    <row r="589" s="3" customFormat="1" ht="12" spans="1:8">
      <c r="A589" s="18" t="str">
        <f>"202301120"</f>
        <v>202301120</v>
      </c>
      <c r="B589" s="18" t="str">
        <f t="shared" si="100"/>
        <v>016</v>
      </c>
      <c r="C589" s="18" t="str">
        <f>"11"</f>
        <v>11</v>
      </c>
      <c r="D589" s="14" t="s">
        <v>24</v>
      </c>
      <c r="E589" s="14" t="s">
        <v>30</v>
      </c>
      <c r="F589" s="19">
        <v>52.58</v>
      </c>
      <c r="G589" s="20">
        <f>SUMPRODUCT(--((B589=$B$4:$B$717)*$F$4:$F$717&gt;F589))+1</f>
        <v>26</v>
      </c>
      <c r="H589" s="18" t="s">
        <v>13</v>
      </c>
    </row>
    <row r="590" s="3" customFormat="1" ht="12" spans="1:8">
      <c r="A590" s="18" t="str">
        <f>"202301308"</f>
        <v>202301308</v>
      </c>
      <c r="B590" s="18" t="str">
        <f t="shared" si="100"/>
        <v>016</v>
      </c>
      <c r="C590" s="18" t="str">
        <f>"13"</f>
        <v>13</v>
      </c>
      <c r="D590" s="14" t="s">
        <v>24</v>
      </c>
      <c r="E590" s="14" t="s">
        <v>30</v>
      </c>
      <c r="F590" s="19">
        <v>52.51</v>
      </c>
      <c r="G590" s="20">
        <f>SUMPRODUCT(--((B590=$B$4:$B$717)*$F$4:$F$717&gt;F590))+1</f>
        <v>27</v>
      </c>
      <c r="H590" s="18" t="s">
        <v>13</v>
      </c>
    </row>
    <row r="591" s="3" customFormat="1" ht="12" spans="1:8">
      <c r="A591" s="18" t="str">
        <f>"202301227"</f>
        <v>202301227</v>
      </c>
      <c r="B591" s="18" t="str">
        <f t="shared" si="100"/>
        <v>016</v>
      </c>
      <c r="C591" s="18" t="str">
        <f t="shared" ref="C591:C596" si="107">"12"</f>
        <v>12</v>
      </c>
      <c r="D591" s="14" t="s">
        <v>24</v>
      </c>
      <c r="E591" s="14" t="s">
        <v>30</v>
      </c>
      <c r="F591" s="19">
        <v>51.18</v>
      </c>
      <c r="G591" s="20">
        <f>SUMPRODUCT(--((B591=$B$4:$B$717)*$F$4:$F$717&gt;F591))+1</f>
        <v>28</v>
      </c>
      <c r="H591" s="18" t="s">
        <v>13</v>
      </c>
    </row>
    <row r="592" s="3" customFormat="1" ht="12" spans="1:8">
      <c r="A592" s="18" t="str">
        <f>"202301207"</f>
        <v>202301207</v>
      </c>
      <c r="B592" s="18" t="str">
        <f t="shared" si="100"/>
        <v>016</v>
      </c>
      <c r="C592" s="18" t="str">
        <f t="shared" si="107"/>
        <v>12</v>
      </c>
      <c r="D592" s="14" t="s">
        <v>24</v>
      </c>
      <c r="E592" s="14" t="s">
        <v>30</v>
      </c>
      <c r="F592" s="19">
        <v>50.32</v>
      </c>
      <c r="G592" s="20">
        <f>SUMPRODUCT(--((B592=$B$4:$B$717)*$F$4:$F$717&gt;F592))+1</f>
        <v>29</v>
      </c>
      <c r="H592" s="18" t="s">
        <v>13</v>
      </c>
    </row>
    <row r="593" s="3" customFormat="1" ht="12" spans="1:8">
      <c r="A593" s="18" t="str">
        <f>"202301306"</f>
        <v>202301306</v>
      </c>
      <c r="B593" s="18" t="str">
        <f t="shared" si="100"/>
        <v>016</v>
      </c>
      <c r="C593" s="18" t="str">
        <f>"13"</f>
        <v>13</v>
      </c>
      <c r="D593" s="14" t="s">
        <v>24</v>
      </c>
      <c r="E593" s="14" t="s">
        <v>30</v>
      </c>
      <c r="F593" s="19">
        <v>49.51</v>
      </c>
      <c r="G593" s="20">
        <f>SUMPRODUCT(--((B593=$B$4:$B$717)*$F$4:$F$717&gt;F593))+1</f>
        <v>30</v>
      </c>
      <c r="H593" s="18" t="s">
        <v>13</v>
      </c>
    </row>
    <row r="594" s="3" customFormat="1" ht="12" spans="1:8">
      <c r="A594" s="18" t="str">
        <f>"202301228"</f>
        <v>202301228</v>
      </c>
      <c r="B594" s="18" t="str">
        <f t="shared" si="100"/>
        <v>016</v>
      </c>
      <c r="C594" s="18" t="str">
        <f t="shared" si="107"/>
        <v>12</v>
      </c>
      <c r="D594" s="14" t="s">
        <v>24</v>
      </c>
      <c r="E594" s="14" t="s">
        <v>30</v>
      </c>
      <c r="F594" s="19">
        <v>48.41</v>
      </c>
      <c r="G594" s="20">
        <f>SUMPRODUCT(--((B594=$B$4:$B$717)*$F$4:$F$717&gt;F594))+1</f>
        <v>31</v>
      </c>
      <c r="H594" s="18" t="s">
        <v>13</v>
      </c>
    </row>
    <row r="595" s="3" customFormat="1" ht="12" spans="1:8">
      <c r="A595" s="18" t="str">
        <f>"202301212"</f>
        <v>202301212</v>
      </c>
      <c r="B595" s="18" t="str">
        <f t="shared" si="100"/>
        <v>016</v>
      </c>
      <c r="C595" s="18" t="str">
        <f t="shared" si="107"/>
        <v>12</v>
      </c>
      <c r="D595" s="14" t="s">
        <v>24</v>
      </c>
      <c r="E595" s="14" t="s">
        <v>30</v>
      </c>
      <c r="F595" s="19">
        <v>47.82</v>
      </c>
      <c r="G595" s="20">
        <f>SUMPRODUCT(--((B595=$B$4:$B$717)*$F$4:$F$717&gt;F595))+1</f>
        <v>32</v>
      </c>
      <c r="H595" s="18" t="s">
        <v>13</v>
      </c>
    </row>
    <row r="596" s="3" customFormat="1" ht="12" spans="1:8">
      <c r="A596" s="18" t="str">
        <f>"202301203"</f>
        <v>202301203</v>
      </c>
      <c r="B596" s="18" t="str">
        <f t="shared" si="100"/>
        <v>016</v>
      </c>
      <c r="C596" s="18" t="str">
        <f t="shared" si="107"/>
        <v>12</v>
      </c>
      <c r="D596" s="14" t="s">
        <v>24</v>
      </c>
      <c r="E596" s="14" t="s">
        <v>30</v>
      </c>
      <c r="F596" s="19">
        <v>46.34</v>
      </c>
      <c r="G596" s="20">
        <f>SUMPRODUCT(--((B596=$B$4:$B$717)*$F$4:$F$717&gt;F596))+1</f>
        <v>33</v>
      </c>
      <c r="H596" s="18" t="s">
        <v>13</v>
      </c>
    </row>
    <row r="597" s="3" customFormat="1" ht="12" spans="1:8">
      <c r="A597" s="18" t="str">
        <f>"202301124"</f>
        <v>202301124</v>
      </c>
      <c r="B597" s="18" t="str">
        <f t="shared" si="100"/>
        <v>016</v>
      </c>
      <c r="C597" s="18" t="str">
        <f t="shared" ref="C597:C605" si="108">"11"</f>
        <v>11</v>
      </c>
      <c r="D597" s="14" t="s">
        <v>24</v>
      </c>
      <c r="E597" s="14" t="s">
        <v>30</v>
      </c>
      <c r="F597" s="19">
        <v>46.23</v>
      </c>
      <c r="G597" s="20">
        <f>SUMPRODUCT(--((B597=$B$4:$B$717)*$F$4:$F$717&gt;F597))+1</f>
        <v>34</v>
      </c>
      <c r="H597" s="18" t="s">
        <v>13</v>
      </c>
    </row>
    <row r="598" s="3" customFormat="1" ht="12" spans="1:8">
      <c r="A598" s="18" t="str">
        <f>"202301115"</f>
        <v>202301115</v>
      </c>
      <c r="B598" s="18" t="str">
        <f t="shared" si="100"/>
        <v>016</v>
      </c>
      <c r="C598" s="18" t="str">
        <f t="shared" si="108"/>
        <v>11</v>
      </c>
      <c r="D598" s="14" t="s">
        <v>24</v>
      </c>
      <c r="E598" s="14" t="s">
        <v>30</v>
      </c>
      <c r="F598" s="19">
        <v>0</v>
      </c>
      <c r="G598" s="20">
        <f>SUMPRODUCT(--((B598=$B$4:$B$717)*$F$4:$F$717&gt;F598))+1</f>
        <v>35</v>
      </c>
      <c r="H598" s="18" t="s">
        <v>13</v>
      </c>
    </row>
    <row r="599" s="3" customFormat="1" ht="12" spans="1:8">
      <c r="A599" s="18" t="str">
        <f>"202301117"</f>
        <v>202301117</v>
      </c>
      <c r="B599" s="18" t="str">
        <f t="shared" si="100"/>
        <v>016</v>
      </c>
      <c r="C599" s="18" t="str">
        <f t="shared" si="108"/>
        <v>11</v>
      </c>
      <c r="D599" s="14" t="s">
        <v>24</v>
      </c>
      <c r="E599" s="14" t="s">
        <v>30</v>
      </c>
      <c r="F599" s="19">
        <v>0</v>
      </c>
      <c r="G599" s="20">
        <f>SUMPRODUCT(--((B599=$B$4:$B$717)*$F$4:$F$717&gt;F599))+1</f>
        <v>35</v>
      </c>
      <c r="H599" s="18" t="s">
        <v>13</v>
      </c>
    </row>
    <row r="600" s="3" customFormat="1" ht="12" spans="1:8">
      <c r="A600" s="18" t="str">
        <f>"202301118"</f>
        <v>202301118</v>
      </c>
      <c r="B600" s="18" t="str">
        <f t="shared" si="100"/>
        <v>016</v>
      </c>
      <c r="C600" s="18" t="str">
        <f t="shared" si="108"/>
        <v>11</v>
      </c>
      <c r="D600" s="14" t="s">
        <v>24</v>
      </c>
      <c r="E600" s="14" t="s">
        <v>30</v>
      </c>
      <c r="F600" s="19">
        <v>0</v>
      </c>
      <c r="G600" s="20">
        <f>SUMPRODUCT(--((B600=$B$4:$B$717)*$F$4:$F$717&gt;F600))+1</f>
        <v>35</v>
      </c>
      <c r="H600" s="18" t="s">
        <v>13</v>
      </c>
    </row>
    <row r="601" s="3" customFormat="1" ht="12" spans="1:8">
      <c r="A601" s="18" t="str">
        <f>"202301122"</f>
        <v>202301122</v>
      </c>
      <c r="B601" s="18" t="str">
        <f t="shared" si="100"/>
        <v>016</v>
      </c>
      <c r="C601" s="18" t="str">
        <f t="shared" si="108"/>
        <v>11</v>
      </c>
      <c r="D601" s="14" t="s">
        <v>24</v>
      </c>
      <c r="E601" s="14" t="s">
        <v>30</v>
      </c>
      <c r="F601" s="19">
        <v>0</v>
      </c>
      <c r="G601" s="20">
        <f>SUMPRODUCT(--((B601=$B$4:$B$717)*$F$4:$F$717&gt;F601))+1</f>
        <v>35</v>
      </c>
      <c r="H601" s="18" t="s">
        <v>13</v>
      </c>
    </row>
    <row r="602" s="3" customFormat="1" ht="12" spans="1:8">
      <c r="A602" s="18" t="str">
        <f>"202301125"</f>
        <v>202301125</v>
      </c>
      <c r="B602" s="18" t="str">
        <f t="shared" si="100"/>
        <v>016</v>
      </c>
      <c r="C602" s="18" t="str">
        <f t="shared" si="108"/>
        <v>11</v>
      </c>
      <c r="D602" s="14" t="s">
        <v>24</v>
      </c>
      <c r="E602" s="14" t="s">
        <v>30</v>
      </c>
      <c r="F602" s="19">
        <v>0</v>
      </c>
      <c r="G602" s="20">
        <f>SUMPRODUCT(--((B602=$B$4:$B$717)*$F$4:$F$717&gt;F602))+1</f>
        <v>35</v>
      </c>
      <c r="H602" s="18" t="s">
        <v>13</v>
      </c>
    </row>
    <row r="603" s="3" customFormat="1" ht="12" spans="1:8">
      <c r="A603" s="18" t="str">
        <f>"202301126"</f>
        <v>202301126</v>
      </c>
      <c r="B603" s="18" t="str">
        <f t="shared" si="100"/>
        <v>016</v>
      </c>
      <c r="C603" s="18" t="str">
        <f t="shared" si="108"/>
        <v>11</v>
      </c>
      <c r="D603" s="14" t="s">
        <v>24</v>
      </c>
      <c r="E603" s="14" t="s">
        <v>30</v>
      </c>
      <c r="F603" s="19">
        <v>0</v>
      </c>
      <c r="G603" s="20">
        <f>SUMPRODUCT(--((B603=$B$4:$B$717)*$F$4:$F$717&gt;F603))+1</f>
        <v>35</v>
      </c>
      <c r="H603" s="18" t="s">
        <v>13</v>
      </c>
    </row>
    <row r="604" s="3" customFormat="1" ht="12" spans="1:8">
      <c r="A604" s="18" t="str">
        <f>"202301129"</f>
        <v>202301129</v>
      </c>
      <c r="B604" s="18" t="str">
        <f t="shared" si="100"/>
        <v>016</v>
      </c>
      <c r="C604" s="18" t="str">
        <f t="shared" si="108"/>
        <v>11</v>
      </c>
      <c r="D604" s="14" t="s">
        <v>24</v>
      </c>
      <c r="E604" s="14" t="s">
        <v>30</v>
      </c>
      <c r="F604" s="19">
        <v>0</v>
      </c>
      <c r="G604" s="20">
        <f>SUMPRODUCT(--((B604=$B$4:$B$717)*$F$4:$F$717&gt;F604))+1</f>
        <v>35</v>
      </c>
      <c r="H604" s="18" t="s">
        <v>13</v>
      </c>
    </row>
    <row r="605" s="3" customFormat="1" ht="12" spans="1:8">
      <c r="A605" s="18" t="str">
        <f>"202301130"</f>
        <v>202301130</v>
      </c>
      <c r="B605" s="18" t="str">
        <f t="shared" si="100"/>
        <v>016</v>
      </c>
      <c r="C605" s="18" t="str">
        <f t="shared" si="108"/>
        <v>11</v>
      </c>
      <c r="D605" s="14" t="s">
        <v>24</v>
      </c>
      <c r="E605" s="14" t="s">
        <v>30</v>
      </c>
      <c r="F605" s="19">
        <v>0</v>
      </c>
      <c r="G605" s="20">
        <f>SUMPRODUCT(--((B605=$B$4:$B$717)*$F$4:$F$717&gt;F605))+1</f>
        <v>35</v>
      </c>
      <c r="H605" s="18" t="s">
        <v>13</v>
      </c>
    </row>
    <row r="606" s="3" customFormat="1" ht="12" spans="1:8">
      <c r="A606" s="18" t="str">
        <f>"202301204"</f>
        <v>202301204</v>
      </c>
      <c r="B606" s="18" t="str">
        <f t="shared" si="100"/>
        <v>016</v>
      </c>
      <c r="C606" s="18" t="str">
        <f t="shared" ref="C606:C616" si="109">"12"</f>
        <v>12</v>
      </c>
      <c r="D606" s="14" t="s">
        <v>24</v>
      </c>
      <c r="E606" s="14" t="s">
        <v>30</v>
      </c>
      <c r="F606" s="19">
        <v>0</v>
      </c>
      <c r="G606" s="20">
        <f>SUMPRODUCT(--((B606=$B$4:$B$717)*$F$4:$F$717&gt;F606))+1</f>
        <v>35</v>
      </c>
      <c r="H606" s="18" t="s">
        <v>13</v>
      </c>
    </row>
    <row r="607" s="3" customFormat="1" ht="12" spans="1:8">
      <c r="A607" s="18" t="str">
        <f>"202301205"</f>
        <v>202301205</v>
      </c>
      <c r="B607" s="18" t="str">
        <f t="shared" si="100"/>
        <v>016</v>
      </c>
      <c r="C607" s="18" t="str">
        <f t="shared" si="109"/>
        <v>12</v>
      </c>
      <c r="D607" s="14" t="s">
        <v>24</v>
      </c>
      <c r="E607" s="14" t="s">
        <v>30</v>
      </c>
      <c r="F607" s="19">
        <v>0</v>
      </c>
      <c r="G607" s="20">
        <f>SUMPRODUCT(--((B607=$B$4:$B$717)*$F$4:$F$717&gt;F607))+1</f>
        <v>35</v>
      </c>
      <c r="H607" s="18" t="s">
        <v>13</v>
      </c>
    </row>
    <row r="608" s="3" customFormat="1" ht="12" spans="1:8">
      <c r="A608" s="18" t="str">
        <f>"202301208"</f>
        <v>202301208</v>
      </c>
      <c r="B608" s="18" t="str">
        <f t="shared" si="100"/>
        <v>016</v>
      </c>
      <c r="C608" s="18" t="str">
        <f t="shared" si="109"/>
        <v>12</v>
      </c>
      <c r="D608" s="14" t="s">
        <v>24</v>
      </c>
      <c r="E608" s="14" t="s">
        <v>30</v>
      </c>
      <c r="F608" s="19">
        <v>0</v>
      </c>
      <c r="G608" s="20">
        <f>SUMPRODUCT(--((B608=$B$4:$B$717)*$F$4:$F$717&gt;F608))+1</f>
        <v>35</v>
      </c>
      <c r="H608" s="18" t="s">
        <v>13</v>
      </c>
    </row>
    <row r="609" s="3" customFormat="1" ht="12" spans="1:8">
      <c r="A609" s="18" t="str">
        <f>"202301209"</f>
        <v>202301209</v>
      </c>
      <c r="B609" s="18" t="str">
        <f t="shared" si="100"/>
        <v>016</v>
      </c>
      <c r="C609" s="18" t="str">
        <f t="shared" si="109"/>
        <v>12</v>
      </c>
      <c r="D609" s="14" t="s">
        <v>24</v>
      </c>
      <c r="E609" s="14" t="s">
        <v>30</v>
      </c>
      <c r="F609" s="19">
        <v>0</v>
      </c>
      <c r="G609" s="20">
        <f>SUMPRODUCT(--((B609=$B$4:$B$717)*$F$4:$F$717&gt;F609))+1</f>
        <v>35</v>
      </c>
      <c r="H609" s="18" t="s">
        <v>13</v>
      </c>
    </row>
    <row r="610" s="3" customFormat="1" ht="12" spans="1:8">
      <c r="A610" s="18" t="str">
        <f>"202301213"</f>
        <v>202301213</v>
      </c>
      <c r="B610" s="18" t="str">
        <f t="shared" si="100"/>
        <v>016</v>
      </c>
      <c r="C610" s="18" t="str">
        <f t="shared" si="109"/>
        <v>12</v>
      </c>
      <c r="D610" s="14" t="s">
        <v>24</v>
      </c>
      <c r="E610" s="14" t="s">
        <v>30</v>
      </c>
      <c r="F610" s="19">
        <v>0</v>
      </c>
      <c r="G610" s="20">
        <f>SUMPRODUCT(--((B610=$B$4:$B$717)*$F$4:$F$717&gt;F610))+1</f>
        <v>35</v>
      </c>
      <c r="H610" s="18" t="s">
        <v>13</v>
      </c>
    </row>
    <row r="611" s="3" customFormat="1" ht="12" spans="1:8">
      <c r="A611" s="18" t="str">
        <f>"202301214"</f>
        <v>202301214</v>
      </c>
      <c r="B611" s="18" t="str">
        <f t="shared" si="100"/>
        <v>016</v>
      </c>
      <c r="C611" s="18" t="str">
        <f t="shared" si="109"/>
        <v>12</v>
      </c>
      <c r="D611" s="14" t="s">
        <v>24</v>
      </c>
      <c r="E611" s="14" t="s">
        <v>30</v>
      </c>
      <c r="F611" s="19">
        <v>0</v>
      </c>
      <c r="G611" s="20">
        <f>SUMPRODUCT(--((B611=$B$4:$B$717)*$F$4:$F$717&gt;F611))+1</f>
        <v>35</v>
      </c>
      <c r="H611" s="18" t="s">
        <v>13</v>
      </c>
    </row>
    <row r="612" s="3" customFormat="1" ht="12" spans="1:8">
      <c r="A612" s="18" t="str">
        <f>"202301216"</f>
        <v>202301216</v>
      </c>
      <c r="B612" s="18" t="str">
        <f t="shared" si="100"/>
        <v>016</v>
      </c>
      <c r="C612" s="18" t="str">
        <f t="shared" si="109"/>
        <v>12</v>
      </c>
      <c r="D612" s="14" t="s">
        <v>24</v>
      </c>
      <c r="E612" s="14" t="s">
        <v>30</v>
      </c>
      <c r="F612" s="19">
        <v>0</v>
      </c>
      <c r="G612" s="20">
        <f>SUMPRODUCT(--((B612=$B$4:$B$717)*$F$4:$F$717&gt;F612))+1</f>
        <v>35</v>
      </c>
      <c r="H612" s="18" t="s">
        <v>13</v>
      </c>
    </row>
    <row r="613" s="3" customFormat="1" ht="12" spans="1:8">
      <c r="A613" s="18" t="str">
        <f>"202301217"</f>
        <v>202301217</v>
      </c>
      <c r="B613" s="18" t="str">
        <f t="shared" si="100"/>
        <v>016</v>
      </c>
      <c r="C613" s="18" t="str">
        <f t="shared" si="109"/>
        <v>12</v>
      </c>
      <c r="D613" s="14" t="s">
        <v>24</v>
      </c>
      <c r="E613" s="14" t="s">
        <v>30</v>
      </c>
      <c r="F613" s="19">
        <v>0</v>
      </c>
      <c r="G613" s="20">
        <f>SUMPRODUCT(--((B613=$B$4:$B$717)*$F$4:$F$717&gt;F613))+1</f>
        <v>35</v>
      </c>
      <c r="H613" s="18" t="s">
        <v>13</v>
      </c>
    </row>
    <row r="614" s="3" customFormat="1" ht="12" spans="1:8">
      <c r="A614" s="18" t="str">
        <f>"202301220"</f>
        <v>202301220</v>
      </c>
      <c r="B614" s="18" t="str">
        <f t="shared" si="100"/>
        <v>016</v>
      </c>
      <c r="C614" s="18" t="str">
        <f t="shared" si="109"/>
        <v>12</v>
      </c>
      <c r="D614" s="14" t="s">
        <v>24</v>
      </c>
      <c r="E614" s="14" t="s">
        <v>30</v>
      </c>
      <c r="F614" s="19">
        <v>0</v>
      </c>
      <c r="G614" s="20">
        <f>SUMPRODUCT(--((B614=$B$4:$B$717)*$F$4:$F$717&gt;F614))+1</f>
        <v>35</v>
      </c>
      <c r="H614" s="18" t="s">
        <v>13</v>
      </c>
    </row>
    <row r="615" s="3" customFormat="1" ht="12" spans="1:8">
      <c r="A615" s="18" t="str">
        <f>"202301224"</f>
        <v>202301224</v>
      </c>
      <c r="B615" s="18" t="str">
        <f t="shared" si="100"/>
        <v>016</v>
      </c>
      <c r="C615" s="18" t="str">
        <f t="shared" si="109"/>
        <v>12</v>
      </c>
      <c r="D615" s="14" t="s">
        <v>24</v>
      </c>
      <c r="E615" s="14" t="s">
        <v>30</v>
      </c>
      <c r="F615" s="19">
        <v>0</v>
      </c>
      <c r="G615" s="20">
        <f>SUMPRODUCT(--((B615=$B$4:$B$717)*$F$4:$F$717&gt;F615))+1</f>
        <v>35</v>
      </c>
      <c r="H615" s="18" t="s">
        <v>13</v>
      </c>
    </row>
    <row r="616" s="3" customFormat="1" ht="12" spans="1:8">
      <c r="A616" s="18" t="str">
        <f>"202301229"</f>
        <v>202301229</v>
      </c>
      <c r="B616" s="18" t="str">
        <f t="shared" si="100"/>
        <v>016</v>
      </c>
      <c r="C616" s="18" t="str">
        <f t="shared" si="109"/>
        <v>12</v>
      </c>
      <c r="D616" s="14" t="s">
        <v>24</v>
      </c>
      <c r="E616" s="14" t="s">
        <v>30</v>
      </c>
      <c r="F616" s="19">
        <v>0</v>
      </c>
      <c r="G616" s="20">
        <f>SUMPRODUCT(--((B616=$B$4:$B$717)*$F$4:$F$717&gt;F616))+1</f>
        <v>35</v>
      </c>
      <c r="H616" s="18" t="s">
        <v>13</v>
      </c>
    </row>
    <row r="617" s="3" customFormat="1" ht="12" spans="1:8">
      <c r="A617" s="18" t="str">
        <f>"202301301"</f>
        <v>202301301</v>
      </c>
      <c r="B617" s="18" t="str">
        <f t="shared" si="100"/>
        <v>016</v>
      </c>
      <c r="C617" s="18" t="str">
        <f t="shared" ref="C617:C619" si="110">"13"</f>
        <v>13</v>
      </c>
      <c r="D617" s="14" t="s">
        <v>24</v>
      </c>
      <c r="E617" s="14" t="s">
        <v>30</v>
      </c>
      <c r="F617" s="19">
        <v>0</v>
      </c>
      <c r="G617" s="20">
        <f>SUMPRODUCT(--((B617=$B$4:$B$717)*$F$4:$F$717&gt;F617))+1</f>
        <v>35</v>
      </c>
      <c r="H617" s="18" t="s">
        <v>13</v>
      </c>
    </row>
    <row r="618" s="3" customFormat="1" ht="12" spans="1:8">
      <c r="A618" s="18" t="str">
        <f>"202301304"</f>
        <v>202301304</v>
      </c>
      <c r="B618" s="18" t="str">
        <f t="shared" si="100"/>
        <v>016</v>
      </c>
      <c r="C618" s="18" t="str">
        <f t="shared" si="110"/>
        <v>13</v>
      </c>
      <c r="D618" s="14" t="s">
        <v>24</v>
      </c>
      <c r="E618" s="14" t="s">
        <v>30</v>
      </c>
      <c r="F618" s="19">
        <v>0</v>
      </c>
      <c r="G618" s="20">
        <f>SUMPRODUCT(--((B618=$B$4:$B$717)*$F$4:$F$717&gt;F618))+1</f>
        <v>35</v>
      </c>
      <c r="H618" s="18" t="s">
        <v>13</v>
      </c>
    </row>
    <row r="619" s="3" customFormat="1" ht="12" spans="1:8">
      <c r="A619" s="18" t="str">
        <f>"202301307"</f>
        <v>202301307</v>
      </c>
      <c r="B619" s="18" t="str">
        <f t="shared" si="100"/>
        <v>016</v>
      </c>
      <c r="C619" s="18" t="str">
        <f t="shared" si="110"/>
        <v>13</v>
      </c>
      <c r="D619" s="14" t="s">
        <v>24</v>
      </c>
      <c r="E619" s="14" t="s">
        <v>30</v>
      </c>
      <c r="F619" s="19">
        <v>0</v>
      </c>
      <c r="G619" s="20">
        <f>SUMPRODUCT(--((B619=$B$4:$B$717)*$F$4:$F$717&gt;F619))+1</f>
        <v>35</v>
      </c>
      <c r="H619" s="18" t="s">
        <v>13</v>
      </c>
    </row>
    <row r="620" s="3" customFormat="1" ht="12" spans="1:8">
      <c r="A620" s="14" t="str">
        <f>"202300624"</f>
        <v>202300624</v>
      </c>
      <c r="B620" s="14" t="str">
        <f t="shared" ref="B620:B662" si="111">"017"</f>
        <v>017</v>
      </c>
      <c r="C620" s="14" t="str">
        <f t="shared" ref="C620:C627" si="112">"06"</f>
        <v>06</v>
      </c>
      <c r="D620" s="14" t="s">
        <v>31</v>
      </c>
      <c r="E620" s="14" t="s">
        <v>27</v>
      </c>
      <c r="F620" s="16">
        <v>65.93</v>
      </c>
      <c r="G620" s="17">
        <f>SUMPRODUCT(--((B620=$B$4:$B$717)*$F$4:$F$717&gt;F620))+1</f>
        <v>1</v>
      </c>
      <c r="H620" s="18" t="s">
        <v>12</v>
      </c>
    </row>
    <row r="621" s="3" customFormat="1" ht="12" spans="1:8">
      <c r="A621" s="14" t="str">
        <f>"202300619"</f>
        <v>202300619</v>
      </c>
      <c r="B621" s="14" t="str">
        <f t="shared" si="111"/>
        <v>017</v>
      </c>
      <c r="C621" s="14" t="str">
        <f t="shared" si="112"/>
        <v>06</v>
      </c>
      <c r="D621" s="14" t="s">
        <v>31</v>
      </c>
      <c r="E621" s="14" t="s">
        <v>27</v>
      </c>
      <c r="F621" s="16">
        <v>65.1</v>
      </c>
      <c r="G621" s="17">
        <f>SUMPRODUCT(--((B621=$B$4:$B$717)*$F$4:$F$717&gt;F621))+1</f>
        <v>2</v>
      </c>
      <c r="H621" s="18" t="s">
        <v>12</v>
      </c>
    </row>
    <row r="622" s="3" customFormat="1" ht="12" spans="1:8">
      <c r="A622" s="14" t="str">
        <f>"202300626"</f>
        <v>202300626</v>
      </c>
      <c r="B622" s="14" t="str">
        <f t="shared" si="111"/>
        <v>017</v>
      </c>
      <c r="C622" s="14" t="str">
        <f t="shared" si="112"/>
        <v>06</v>
      </c>
      <c r="D622" s="14" t="s">
        <v>31</v>
      </c>
      <c r="E622" s="14" t="s">
        <v>27</v>
      </c>
      <c r="F622" s="16">
        <v>64.77</v>
      </c>
      <c r="G622" s="17">
        <f>SUMPRODUCT(--((B622=$B$4:$B$717)*$F$4:$F$717&gt;F622))+1</f>
        <v>3</v>
      </c>
      <c r="H622" s="18" t="s">
        <v>12</v>
      </c>
    </row>
    <row r="623" s="3" customFormat="1" ht="12" spans="1:8">
      <c r="A623" s="18" t="str">
        <f>"202300628"</f>
        <v>202300628</v>
      </c>
      <c r="B623" s="18" t="str">
        <f t="shared" si="111"/>
        <v>017</v>
      </c>
      <c r="C623" s="18" t="str">
        <f t="shared" si="112"/>
        <v>06</v>
      </c>
      <c r="D623" s="14" t="s">
        <v>31</v>
      </c>
      <c r="E623" s="18" t="s">
        <v>27</v>
      </c>
      <c r="F623" s="19">
        <v>64.52</v>
      </c>
      <c r="G623" s="20">
        <f>SUMPRODUCT(--((B623=$B$4:$B$717)*$F$4:$F$717&gt;F623))+1</f>
        <v>4</v>
      </c>
      <c r="H623" s="18" t="s">
        <v>13</v>
      </c>
    </row>
    <row r="624" s="3" customFormat="1" ht="12" spans="1:8">
      <c r="A624" s="18" t="str">
        <f>"202300615"</f>
        <v>202300615</v>
      </c>
      <c r="B624" s="18" t="str">
        <f t="shared" si="111"/>
        <v>017</v>
      </c>
      <c r="C624" s="18" t="str">
        <f t="shared" si="112"/>
        <v>06</v>
      </c>
      <c r="D624" s="14" t="s">
        <v>31</v>
      </c>
      <c r="E624" s="18" t="s">
        <v>27</v>
      </c>
      <c r="F624" s="19">
        <v>64.19</v>
      </c>
      <c r="G624" s="20">
        <f>SUMPRODUCT(--((B624=$B$4:$B$717)*$F$4:$F$717&gt;F624))+1</f>
        <v>5</v>
      </c>
      <c r="H624" s="18" t="s">
        <v>13</v>
      </c>
    </row>
    <row r="625" s="3" customFormat="1" ht="12" spans="1:8">
      <c r="A625" s="18" t="str">
        <f>"202300608"</f>
        <v>202300608</v>
      </c>
      <c r="B625" s="18" t="str">
        <f t="shared" si="111"/>
        <v>017</v>
      </c>
      <c r="C625" s="18" t="str">
        <f t="shared" si="112"/>
        <v>06</v>
      </c>
      <c r="D625" s="14" t="s">
        <v>31</v>
      </c>
      <c r="E625" s="18" t="s">
        <v>27</v>
      </c>
      <c r="F625" s="19">
        <v>62.78</v>
      </c>
      <c r="G625" s="20">
        <f>SUMPRODUCT(--((B625=$B$4:$B$717)*$F$4:$F$717&gt;F625))+1</f>
        <v>6</v>
      </c>
      <c r="H625" s="18" t="s">
        <v>13</v>
      </c>
    </row>
    <row r="626" s="3" customFormat="1" ht="12" spans="1:8">
      <c r="A626" s="18" t="str">
        <f>"202300606"</f>
        <v>202300606</v>
      </c>
      <c r="B626" s="18" t="str">
        <f t="shared" si="111"/>
        <v>017</v>
      </c>
      <c r="C626" s="18" t="str">
        <f t="shared" si="112"/>
        <v>06</v>
      </c>
      <c r="D626" s="14" t="s">
        <v>31</v>
      </c>
      <c r="E626" s="18" t="s">
        <v>27</v>
      </c>
      <c r="F626" s="19">
        <v>62.5</v>
      </c>
      <c r="G626" s="20">
        <f>SUMPRODUCT(--((B626=$B$4:$B$717)*$F$4:$F$717&gt;F626))+1</f>
        <v>7</v>
      </c>
      <c r="H626" s="18" t="s">
        <v>13</v>
      </c>
    </row>
    <row r="627" s="3" customFormat="1" ht="12" spans="1:8">
      <c r="A627" s="18" t="str">
        <f>"202300620"</f>
        <v>202300620</v>
      </c>
      <c r="B627" s="18" t="str">
        <f t="shared" si="111"/>
        <v>017</v>
      </c>
      <c r="C627" s="18" t="str">
        <f t="shared" si="112"/>
        <v>06</v>
      </c>
      <c r="D627" s="14" t="s">
        <v>31</v>
      </c>
      <c r="E627" s="18" t="s">
        <v>27</v>
      </c>
      <c r="F627" s="19">
        <v>61.2</v>
      </c>
      <c r="G627" s="20">
        <f>SUMPRODUCT(--((B627=$B$4:$B$717)*$F$4:$F$717&gt;F627))+1</f>
        <v>8</v>
      </c>
      <c r="H627" s="18" t="s">
        <v>13</v>
      </c>
    </row>
    <row r="628" s="3" customFormat="1" ht="12" spans="1:8">
      <c r="A628" s="18" t="str">
        <f>"202300530"</f>
        <v>202300530</v>
      </c>
      <c r="B628" s="18" t="str">
        <f t="shared" si="111"/>
        <v>017</v>
      </c>
      <c r="C628" s="18" t="str">
        <f>"05"</f>
        <v>05</v>
      </c>
      <c r="D628" s="14" t="s">
        <v>31</v>
      </c>
      <c r="E628" s="18" t="s">
        <v>27</v>
      </c>
      <c r="F628" s="19">
        <v>60.54</v>
      </c>
      <c r="G628" s="20">
        <f>SUMPRODUCT(--((B628=$B$4:$B$717)*$F$4:$F$717&gt;F628))+1</f>
        <v>9</v>
      </c>
      <c r="H628" s="18" t="s">
        <v>13</v>
      </c>
    </row>
    <row r="629" s="3" customFormat="1" ht="12" spans="1:8">
      <c r="A629" s="18" t="str">
        <f>"202300625"</f>
        <v>202300625</v>
      </c>
      <c r="B629" s="18" t="str">
        <f t="shared" si="111"/>
        <v>017</v>
      </c>
      <c r="C629" s="18" t="str">
        <f t="shared" ref="C629:C639" si="113">"06"</f>
        <v>06</v>
      </c>
      <c r="D629" s="14" t="s">
        <v>31</v>
      </c>
      <c r="E629" s="18" t="s">
        <v>27</v>
      </c>
      <c r="F629" s="19">
        <v>60.27</v>
      </c>
      <c r="G629" s="20">
        <f>SUMPRODUCT(--((B629=$B$4:$B$717)*$F$4:$F$717&gt;F629))+1</f>
        <v>10</v>
      </c>
      <c r="H629" s="18" t="s">
        <v>13</v>
      </c>
    </row>
    <row r="630" s="3" customFormat="1" ht="12" spans="1:8">
      <c r="A630" s="18" t="str">
        <f>"202300706"</f>
        <v>202300706</v>
      </c>
      <c r="B630" s="18" t="str">
        <f t="shared" si="111"/>
        <v>017</v>
      </c>
      <c r="C630" s="18" t="str">
        <f t="shared" ref="C630:C633" si="114">"07"</f>
        <v>07</v>
      </c>
      <c r="D630" s="14" t="s">
        <v>31</v>
      </c>
      <c r="E630" s="18" t="s">
        <v>27</v>
      </c>
      <c r="F630" s="19">
        <v>60.18</v>
      </c>
      <c r="G630" s="20">
        <f>SUMPRODUCT(--((B630=$B$4:$B$717)*$F$4:$F$717&gt;F630))+1</f>
        <v>11</v>
      </c>
      <c r="H630" s="18" t="s">
        <v>13</v>
      </c>
    </row>
    <row r="631" s="3" customFormat="1" ht="12" spans="1:8">
      <c r="A631" s="18" t="str">
        <f>"202300702"</f>
        <v>202300702</v>
      </c>
      <c r="B631" s="18" t="str">
        <f t="shared" si="111"/>
        <v>017</v>
      </c>
      <c r="C631" s="18" t="str">
        <f t="shared" si="114"/>
        <v>07</v>
      </c>
      <c r="D631" s="14" t="s">
        <v>31</v>
      </c>
      <c r="E631" s="18" t="s">
        <v>27</v>
      </c>
      <c r="F631" s="19">
        <v>60</v>
      </c>
      <c r="G631" s="20">
        <f>SUMPRODUCT(--((B631=$B$4:$B$717)*$F$4:$F$717&gt;F631))+1</f>
        <v>12</v>
      </c>
      <c r="H631" s="18" t="s">
        <v>13</v>
      </c>
    </row>
    <row r="632" s="3" customFormat="1" ht="12" spans="1:8">
      <c r="A632" s="18" t="str">
        <f>"202300603"</f>
        <v>202300603</v>
      </c>
      <c r="B632" s="18" t="str">
        <f t="shared" si="111"/>
        <v>017</v>
      </c>
      <c r="C632" s="18" t="str">
        <f t="shared" si="113"/>
        <v>06</v>
      </c>
      <c r="D632" s="14" t="s">
        <v>31</v>
      </c>
      <c r="E632" s="18" t="s">
        <v>27</v>
      </c>
      <c r="F632" s="19">
        <v>59.93</v>
      </c>
      <c r="G632" s="20">
        <f>SUMPRODUCT(--((B632=$B$4:$B$717)*$F$4:$F$717&gt;F632))+1</f>
        <v>13</v>
      </c>
      <c r="H632" s="18" t="s">
        <v>13</v>
      </c>
    </row>
    <row r="633" s="3" customFormat="1" ht="12" spans="1:8">
      <c r="A633" s="18" t="str">
        <f>"202300710"</f>
        <v>202300710</v>
      </c>
      <c r="B633" s="18" t="str">
        <f t="shared" si="111"/>
        <v>017</v>
      </c>
      <c r="C633" s="18" t="str">
        <f t="shared" si="114"/>
        <v>07</v>
      </c>
      <c r="D633" s="14" t="s">
        <v>31</v>
      </c>
      <c r="E633" s="18" t="s">
        <v>27</v>
      </c>
      <c r="F633" s="19">
        <v>59.93</v>
      </c>
      <c r="G633" s="20">
        <f>SUMPRODUCT(--((B633=$B$4:$B$717)*$F$4:$F$717&gt;F633))+1</f>
        <v>13</v>
      </c>
      <c r="H633" s="18" t="s">
        <v>13</v>
      </c>
    </row>
    <row r="634" s="3" customFormat="1" ht="12" spans="1:8">
      <c r="A634" s="18" t="str">
        <f>"202300617"</f>
        <v>202300617</v>
      </c>
      <c r="B634" s="18" t="str">
        <f t="shared" si="111"/>
        <v>017</v>
      </c>
      <c r="C634" s="18" t="str">
        <f t="shared" si="113"/>
        <v>06</v>
      </c>
      <c r="D634" s="14" t="s">
        <v>31</v>
      </c>
      <c r="E634" s="18" t="s">
        <v>27</v>
      </c>
      <c r="F634" s="19">
        <v>59.08</v>
      </c>
      <c r="G634" s="20">
        <f>SUMPRODUCT(--((B634=$B$4:$B$717)*$F$4:$F$717&gt;F634))+1</f>
        <v>15</v>
      </c>
      <c r="H634" s="18" t="s">
        <v>13</v>
      </c>
    </row>
    <row r="635" s="3" customFormat="1" ht="12" spans="1:8">
      <c r="A635" s="18" t="str">
        <f>"202300605"</f>
        <v>202300605</v>
      </c>
      <c r="B635" s="18" t="str">
        <f t="shared" si="111"/>
        <v>017</v>
      </c>
      <c r="C635" s="18" t="str">
        <f t="shared" si="113"/>
        <v>06</v>
      </c>
      <c r="D635" s="14" t="s">
        <v>31</v>
      </c>
      <c r="E635" s="18" t="s">
        <v>27</v>
      </c>
      <c r="F635" s="19">
        <v>58.41</v>
      </c>
      <c r="G635" s="20">
        <f>SUMPRODUCT(--((B635=$B$4:$B$717)*$F$4:$F$717&gt;F635))+1</f>
        <v>16</v>
      </c>
      <c r="H635" s="18" t="s">
        <v>13</v>
      </c>
    </row>
    <row r="636" s="3" customFormat="1" ht="12" spans="1:8">
      <c r="A636" s="18" t="str">
        <f>"202300609"</f>
        <v>202300609</v>
      </c>
      <c r="B636" s="18" t="str">
        <f t="shared" si="111"/>
        <v>017</v>
      </c>
      <c r="C636" s="18" t="str">
        <f t="shared" si="113"/>
        <v>06</v>
      </c>
      <c r="D636" s="14" t="s">
        <v>31</v>
      </c>
      <c r="E636" s="18" t="s">
        <v>27</v>
      </c>
      <c r="F636" s="19">
        <v>58.02</v>
      </c>
      <c r="G636" s="20">
        <f>SUMPRODUCT(--((B636=$B$4:$B$717)*$F$4:$F$717&gt;F636))+1</f>
        <v>17</v>
      </c>
      <c r="H636" s="18" t="s">
        <v>13</v>
      </c>
    </row>
    <row r="637" s="3" customFormat="1" ht="12" spans="1:8">
      <c r="A637" s="18" t="str">
        <f>"202300629"</f>
        <v>202300629</v>
      </c>
      <c r="B637" s="18" t="str">
        <f t="shared" si="111"/>
        <v>017</v>
      </c>
      <c r="C637" s="18" t="str">
        <f t="shared" si="113"/>
        <v>06</v>
      </c>
      <c r="D637" s="14" t="s">
        <v>31</v>
      </c>
      <c r="E637" s="18" t="s">
        <v>27</v>
      </c>
      <c r="F637" s="19">
        <v>57.83</v>
      </c>
      <c r="G637" s="20">
        <f>SUMPRODUCT(--((B637=$B$4:$B$717)*$F$4:$F$717&gt;F637))+1</f>
        <v>18</v>
      </c>
      <c r="H637" s="18" t="s">
        <v>13</v>
      </c>
    </row>
    <row r="638" s="3" customFormat="1" ht="12" spans="1:8">
      <c r="A638" s="18" t="str">
        <f>"202300601"</f>
        <v>202300601</v>
      </c>
      <c r="B638" s="18" t="str">
        <f t="shared" si="111"/>
        <v>017</v>
      </c>
      <c r="C638" s="18" t="str">
        <f t="shared" si="113"/>
        <v>06</v>
      </c>
      <c r="D638" s="14" t="s">
        <v>31</v>
      </c>
      <c r="E638" s="18" t="s">
        <v>27</v>
      </c>
      <c r="F638" s="19">
        <v>57.29</v>
      </c>
      <c r="G638" s="20">
        <f>SUMPRODUCT(--((B638=$B$4:$B$717)*$F$4:$F$717&gt;F638))+1</f>
        <v>19</v>
      </c>
      <c r="H638" s="18" t="s">
        <v>13</v>
      </c>
    </row>
    <row r="639" s="3" customFormat="1" ht="12" spans="1:8">
      <c r="A639" s="18" t="str">
        <f>"202300621"</f>
        <v>202300621</v>
      </c>
      <c r="B639" s="18" t="str">
        <f t="shared" si="111"/>
        <v>017</v>
      </c>
      <c r="C639" s="18" t="str">
        <f t="shared" si="113"/>
        <v>06</v>
      </c>
      <c r="D639" s="14" t="s">
        <v>31</v>
      </c>
      <c r="E639" s="18" t="s">
        <v>27</v>
      </c>
      <c r="F639" s="19">
        <v>57.02</v>
      </c>
      <c r="G639" s="20">
        <f>SUMPRODUCT(--((B639=$B$4:$B$717)*$F$4:$F$717&gt;F639))+1</f>
        <v>20</v>
      </c>
      <c r="H639" s="18" t="s">
        <v>13</v>
      </c>
    </row>
    <row r="640" s="3" customFormat="1" ht="12" spans="1:8">
      <c r="A640" s="18" t="str">
        <f>"202300707"</f>
        <v>202300707</v>
      </c>
      <c r="B640" s="18" t="str">
        <f t="shared" si="111"/>
        <v>017</v>
      </c>
      <c r="C640" s="18" t="str">
        <f t="shared" ref="C640:C647" si="115">"07"</f>
        <v>07</v>
      </c>
      <c r="D640" s="14" t="s">
        <v>31</v>
      </c>
      <c r="E640" s="18" t="s">
        <v>27</v>
      </c>
      <c r="F640" s="19">
        <v>56.62</v>
      </c>
      <c r="G640" s="20">
        <f>SUMPRODUCT(--((B640=$B$4:$B$717)*$F$4:$F$717&gt;F640))+1</f>
        <v>21</v>
      </c>
      <c r="H640" s="18" t="s">
        <v>13</v>
      </c>
    </row>
    <row r="641" s="3" customFormat="1" ht="12" spans="1:8">
      <c r="A641" s="18" t="str">
        <f>"202300704"</f>
        <v>202300704</v>
      </c>
      <c r="B641" s="18" t="str">
        <f t="shared" si="111"/>
        <v>017</v>
      </c>
      <c r="C641" s="18" t="str">
        <f t="shared" si="115"/>
        <v>07</v>
      </c>
      <c r="D641" s="14" t="s">
        <v>31</v>
      </c>
      <c r="E641" s="18" t="s">
        <v>27</v>
      </c>
      <c r="F641" s="19">
        <v>54.86</v>
      </c>
      <c r="G641" s="20">
        <f>SUMPRODUCT(--((B641=$B$4:$B$717)*$F$4:$F$717&gt;F641))+1</f>
        <v>22</v>
      </c>
      <c r="H641" s="18" t="s">
        <v>13</v>
      </c>
    </row>
    <row r="642" s="3" customFormat="1" ht="12" spans="1:8">
      <c r="A642" s="18" t="str">
        <f>"202300610"</f>
        <v>202300610</v>
      </c>
      <c r="B642" s="18" t="str">
        <f t="shared" si="111"/>
        <v>017</v>
      </c>
      <c r="C642" s="18" t="str">
        <f t="shared" ref="C642:C644" si="116">"06"</f>
        <v>06</v>
      </c>
      <c r="D642" s="14" t="s">
        <v>31</v>
      </c>
      <c r="E642" s="18" t="s">
        <v>27</v>
      </c>
      <c r="F642" s="19">
        <v>54.28</v>
      </c>
      <c r="G642" s="20">
        <f>SUMPRODUCT(--((B642=$B$4:$B$717)*$F$4:$F$717&gt;F642))+1</f>
        <v>23</v>
      </c>
      <c r="H642" s="18" t="s">
        <v>13</v>
      </c>
    </row>
    <row r="643" s="3" customFormat="1" ht="12" spans="1:8">
      <c r="A643" s="18" t="str">
        <f>"202300612"</f>
        <v>202300612</v>
      </c>
      <c r="B643" s="18" t="str">
        <f t="shared" si="111"/>
        <v>017</v>
      </c>
      <c r="C643" s="18" t="str">
        <f t="shared" si="116"/>
        <v>06</v>
      </c>
      <c r="D643" s="14" t="s">
        <v>31</v>
      </c>
      <c r="E643" s="18" t="s">
        <v>27</v>
      </c>
      <c r="F643" s="19">
        <v>53.93</v>
      </c>
      <c r="G643" s="20">
        <f>SUMPRODUCT(--((B643=$B$4:$B$717)*$F$4:$F$717&gt;F643))+1</f>
        <v>24</v>
      </c>
      <c r="H643" s="18" t="s">
        <v>13</v>
      </c>
    </row>
    <row r="644" s="3" customFormat="1" ht="12" spans="1:8">
      <c r="A644" s="18" t="str">
        <f>"202300616"</f>
        <v>202300616</v>
      </c>
      <c r="B644" s="18" t="str">
        <f t="shared" si="111"/>
        <v>017</v>
      </c>
      <c r="C644" s="18" t="str">
        <f t="shared" si="116"/>
        <v>06</v>
      </c>
      <c r="D644" s="14" t="s">
        <v>31</v>
      </c>
      <c r="E644" s="18" t="s">
        <v>27</v>
      </c>
      <c r="F644" s="19">
        <v>53.27</v>
      </c>
      <c r="G644" s="20">
        <f>SUMPRODUCT(--((B644=$B$4:$B$717)*$F$4:$F$717&gt;F644))+1</f>
        <v>25</v>
      </c>
      <c r="H644" s="18" t="s">
        <v>13</v>
      </c>
    </row>
    <row r="645" s="3" customFormat="1" ht="12" spans="1:8">
      <c r="A645" s="18" t="str">
        <f>"202300703"</f>
        <v>202300703</v>
      </c>
      <c r="B645" s="18" t="str">
        <f t="shared" si="111"/>
        <v>017</v>
      </c>
      <c r="C645" s="18" t="str">
        <f t="shared" si="115"/>
        <v>07</v>
      </c>
      <c r="D645" s="14" t="s">
        <v>31</v>
      </c>
      <c r="E645" s="18" t="s">
        <v>27</v>
      </c>
      <c r="F645" s="19">
        <v>53.04</v>
      </c>
      <c r="G645" s="20">
        <f>SUMPRODUCT(--((B645=$B$4:$B$717)*$F$4:$F$717&gt;F645))+1</f>
        <v>26</v>
      </c>
      <c r="H645" s="18" t="s">
        <v>13</v>
      </c>
    </row>
    <row r="646" s="3" customFormat="1" ht="12" spans="1:8">
      <c r="A646" s="18" t="str">
        <f>"202300711"</f>
        <v>202300711</v>
      </c>
      <c r="B646" s="18" t="str">
        <f t="shared" si="111"/>
        <v>017</v>
      </c>
      <c r="C646" s="18" t="str">
        <f t="shared" si="115"/>
        <v>07</v>
      </c>
      <c r="D646" s="14" t="s">
        <v>31</v>
      </c>
      <c r="E646" s="18" t="s">
        <v>27</v>
      </c>
      <c r="F646" s="19">
        <v>50.92</v>
      </c>
      <c r="G646" s="20">
        <f>SUMPRODUCT(--((B646=$B$4:$B$717)*$F$4:$F$717&gt;F646))+1</f>
        <v>27</v>
      </c>
      <c r="H646" s="18" t="s">
        <v>13</v>
      </c>
    </row>
    <row r="647" s="3" customFormat="1" ht="12" spans="1:8">
      <c r="A647" s="18" t="str">
        <f>"202300708"</f>
        <v>202300708</v>
      </c>
      <c r="B647" s="18" t="str">
        <f t="shared" si="111"/>
        <v>017</v>
      </c>
      <c r="C647" s="18" t="str">
        <f t="shared" si="115"/>
        <v>07</v>
      </c>
      <c r="D647" s="14" t="s">
        <v>31</v>
      </c>
      <c r="E647" s="18" t="s">
        <v>27</v>
      </c>
      <c r="F647" s="19">
        <v>50.71</v>
      </c>
      <c r="G647" s="20">
        <f>SUMPRODUCT(--((B647=$B$4:$B$717)*$F$4:$F$717&gt;F647))+1</f>
        <v>28</v>
      </c>
      <c r="H647" s="18" t="s">
        <v>13</v>
      </c>
    </row>
    <row r="648" s="3" customFormat="1" ht="12" spans="1:8">
      <c r="A648" s="18" t="str">
        <f>"202300630"</f>
        <v>202300630</v>
      </c>
      <c r="B648" s="18" t="str">
        <f t="shared" si="111"/>
        <v>017</v>
      </c>
      <c r="C648" s="18" t="str">
        <f t="shared" ref="C648:C650" si="117">"06"</f>
        <v>06</v>
      </c>
      <c r="D648" s="14" t="s">
        <v>31</v>
      </c>
      <c r="E648" s="18" t="s">
        <v>27</v>
      </c>
      <c r="F648" s="19">
        <v>50.6</v>
      </c>
      <c r="G648" s="20">
        <f>SUMPRODUCT(--((B648=$B$4:$B$717)*$F$4:$F$717&gt;F648))+1</f>
        <v>29</v>
      </c>
      <c r="H648" s="18" t="s">
        <v>13</v>
      </c>
    </row>
    <row r="649" s="3" customFormat="1" ht="12" spans="1:8">
      <c r="A649" s="18" t="str">
        <f>"202300627"</f>
        <v>202300627</v>
      </c>
      <c r="B649" s="18" t="str">
        <f t="shared" si="111"/>
        <v>017</v>
      </c>
      <c r="C649" s="18" t="str">
        <f t="shared" si="117"/>
        <v>06</v>
      </c>
      <c r="D649" s="14" t="s">
        <v>31</v>
      </c>
      <c r="E649" s="18" t="s">
        <v>27</v>
      </c>
      <c r="F649" s="19">
        <v>50.25</v>
      </c>
      <c r="G649" s="20">
        <f>SUMPRODUCT(--((B649=$B$4:$B$717)*$F$4:$F$717&gt;F649))+1</f>
        <v>30</v>
      </c>
      <c r="H649" s="18" t="s">
        <v>13</v>
      </c>
    </row>
    <row r="650" s="3" customFormat="1" ht="12" spans="1:8">
      <c r="A650" s="18" t="str">
        <f>"202300618"</f>
        <v>202300618</v>
      </c>
      <c r="B650" s="18" t="str">
        <f t="shared" si="111"/>
        <v>017</v>
      </c>
      <c r="C650" s="18" t="str">
        <f t="shared" si="117"/>
        <v>06</v>
      </c>
      <c r="D650" s="14" t="s">
        <v>31</v>
      </c>
      <c r="E650" s="18" t="s">
        <v>27</v>
      </c>
      <c r="F650" s="19">
        <v>48.85</v>
      </c>
      <c r="G650" s="20">
        <f>SUMPRODUCT(--((B650=$B$4:$B$717)*$F$4:$F$717&gt;F650))+1</f>
        <v>31</v>
      </c>
      <c r="H650" s="18" t="s">
        <v>13</v>
      </c>
    </row>
    <row r="651" s="3" customFormat="1" ht="12" spans="1:8">
      <c r="A651" s="18" t="str">
        <f>"202300709"</f>
        <v>202300709</v>
      </c>
      <c r="B651" s="18" t="str">
        <f t="shared" si="111"/>
        <v>017</v>
      </c>
      <c r="C651" s="18" t="str">
        <f>"07"</f>
        <v>07</v>
      </c>
      <c r="D651" s="14" t="s">
        <v>31</v>
      </c>
      <c r="E651" s="18" t="s">
        <v>27</v>
      </c>
      <c r="F651" s="19">
        <v>46.02</v>
      </c>
      <c r="G651" s="20">
        <f>SUMPRODUCT(--((B651=$B$4:$B$717)*$F$4:$F$717&gt;F651))+1</f>
        <v>32</v>
      </c>
      <c r="H651" s="18" t="s">
        <v>13</v>
      </c>
    </row>
    <row r="652" s="3" customFormat="1" ht="12" spans="1:8">
      <c r="A652" s="18" t="str">
        <f>"202300712"</f>
        <v>202300712</v>
      </c>
      <c r="B652" s="18" t="str">
        <f t="shared" si="111"/>
        <v>017</v>
      </c>
      <c r="C652" s="18" t="str">
        <f>"07"</f>
        <v>07</v>
      </c>
      <c r="D652" s="14" t="s">
        <v>31</v>
      </c>
      <c r="E652" s="18" t="s">
        <v>27</v>
      </c>
      <c r="F652" s="19">
        <v>43.86</v>
      </c>
      <c r="G652" s="20">
        <f>SUMPRODUCT(--((B652=$B$4:$B$717)*$F$4:$F$717&gt;F652))+1</f>
        <v>33</v>
      </c>
      <c r="H652" s="18" t="s">
        <v>13</v>
      </c>
    </row>
    <row r="653" s="3" customFormat="1" ht="12" spans="1:8">
      <c r="A653" s="18" t="str">
        <f>"202300602"</f>
        <v>202300602</v>
      </c>
      <c r="B653" s="18" t="str">
        <f t="shared" si="111"/>
        <v>017</v>
      </c>
      <c r="C653" s="18" t="str">
        <f t="shared" ref="C653:C660" si="118">"06"</f>
        <v>06</v>
      </c>
      <c r="D653" s="14" t="s">
        <v>31</v>
      </c>
      <c r="E653" s="18" t="s">
        <v>27</v>
      </c>
      <c r="F653" s="19">
        <v>0</v>
      </c>
      <c r="G653" s="20">
        <f>SUMPRODUCT(--((B653=$B$4:$B$717)*$F$4:$F$717&gt;F653))+1</f>
        <v>34</v>
      </c>
      <c r="H653" s="18" t="s">
        <v>13</v>
      </c>
    </row>
    <row r="654" s="3" customFormat="1" ht="12" spans="1:8">
      <c r="A654" s="18" t="str">
        <f>"202300604"</f>
        <v>202300604</v>
      </c>
      <c r="B654" s="18" t="str">
        <f t="shared" si="111"/>
        <v>017</v>
      </c>
      <c r="C654" s="18" t="str">
        <f t="shared" si="118"/>
        <v>06</v>
      </c>
      <c r="D654" s="14" t="s">
        <v>31</v>
      </c>
      <c r="E654" s="18" t="s">
        <v>27</v>
      </c>
      <c r="F654" s="19">
        <v>0</v>
      </c>
      <c r="G654" s="20">
        <f>SUMPRODUCT(--((B654=$B$4:$B$717)*$F$4:$F$717&gt;F654))+1</f>
        <v>34</v>
      </c>
      <c r="H654" s="18" t="s">
        <v>13</v>
      </c>
    </row>
    <row r="655" s="3" customFormat="1" ht="12" spans="1:8">
      <c r="A655" s="18" t="str">
        <f>"202300607"</f>
        <v>202300607</v>
      </c>
      <c r="B655" s="18" t="str">
        <f t="shared" si="111"/>
        <v>017</v>
      </c>
      <c r="C655" s="18" t="str">
        <f t="shared" si="118"/>
        <v>06</v>
      </c>
      <c r="D655" s="14" t="s">
        <v>31</v>
      </c>
      <c r="E655" s="18" t="s">
        <v>27</v>
      </c>
      <c r="F655" s="19">
        <v>0</v>
      </c>
      <c r="G655" s="20">
        <f>SUMPRODUCT(--((B655=$B$4:$B$717)*$F$4:$F$717&gt;F655))+1</f>
        <v>34</v>
      </c>
      <c r="H655" s="18" t="s">
        <v>13</v>
      </c>
    </row>
    <row r="656" s="3" customFormat="1" ht="12" spans="1:8">
      <c r="A656" s="18" t="str">
        <f>"202300611"</f>
        <v>202300611</v>
      </c>
      <c r="B656" s="18" t="str">
        <f t="shared" si="111"/>
        <v>017</v>
      </c>
      <c r="C656" s="18" t="str">
        <f t="shared" si="118"/>
        <v>06</v>
      </c>
      <c r="D656" s="14" t="s">
        <v>31</v>
      </c>
      <c r="E656" s="18" t="s">
        <v>27</v>
      </c>
      <c r="F656" s="19">
        <v>0</v>
      </c>
      <c r="G656" s="20">
        <f>SUMPRODUCT(--((B656=$B$4:$B$717)*$F$4:$F$717&gt;F656))+1</f>
        <v>34</v>
      </c>
      <c r="H656" s="18" t="s">
        <v>13</v>
      </c>
    </row>
    <row r="657" s="3" customFormat="1" ht="12" spans="1:8">
      <c r="A657" s="18" t="str">
        <f>"202300613"</f>
        <v>202300613</v>
      </c>
      <c r="B657" s="18" t="str">
        <f t="shared" si="111"/>
        <v>017</v>
      </c>
      <c r="C657" s="18" t="str">
        <f t="shared" si="118"/>
        <v>06</v>
      </c>
      <c r="D657" s="14" t="s">
        <v>31</v>
      </c>
      <c r="E657" s="18" t="s">
        <v>27</v>
      </c>
      <c r="F657" s="19">
        <v>0</v>
      </c>
      <c r="G657" s="20">
        <f>SUMPRODUCT(--((B657=$B$4:$B$717)*$F$4:$F$717&gt;F657))+1</f>
        <v>34</v>
      </c>
      <c r="H657" s="18" t="s">
        <v>13</v>
      </c>
    </row>
    <row r="658" s="3" customFormat="1" ht="12" spans="1:8">
      <c r="A658" s="18" t="str">
        <f>"202300614"</f>
        <v>202300614</v>
      </c>
      <c r="B658" s="18" t="str">
        <f t="shared" si="111"/>
        <v>017</v>
      </c>
      <c r="C658" s="18" t="str">
        <f t="shared" si="118"/>
        <v>06</v>
      </c>
      <c r="D658" s="14" t="s">
        <v>31</v>
      </c>
      <c r="E658" s="18" t="s">
        <v>27</v>
      </c>
      <c r="F658" s="19">
        <v>0</v>
      </c>
      <c r="G658" s="20">
        <f>SUMPRODUCT(--((B658=$B$4:$B$717)*$F$4:$F$717&gt;F658))+1</f>
        <v>34</v>
      </c>
      <c r="H658" s="18" t="s">
        <v>13</v>
      </c>
    </row>
    <row r="659" s="3" customFormat="1" ht="12" spans="1:8">
      <c r="A659" s="18" t="str">
        <f>"202300622"</f>
        <v>202300622</v>
      </c>
      <c r="B659" s="18" t="str">
        <f t="shared" si="111"/>
        <v>017</v>
      </c>
      <c r="C659" s="18" t="str">
        <f t="shared" si="118"/>
        <v>06</v>
      </c>
      <c r="D659" s="14" t="s">
        <v>31</v>
      </c>
      <c r="E659" s="18" t="s">
        <v>27</v>
      </c>
      <c r="F659" s="19">
        <v>0</v>
      </c>
      <c r="G659" s="20">
        <f>SUMPRODUCT(--((B659=$B$4:$B$717)*$F$4:$F$717&gt;F659))+1</f>
        <v>34</v>
      </c>
      <c r="H659" s="18" t="s">
        <v>13</v>
      </c>
    </row>
    <row r="660" s="3" customFormat="1" ht="12" spans="1:8">
      <c r="A660" s="18" t="str">
        <f>"202300623"</f>
        <v>202300623</v>
      </c>
      <c r="B660" s="18" t="str">
        <f t="shared" si="111"/>
        <v>017</v>
      </c>
      <c r="C660" s="18" t="str">
        <f t="shared" si="118"/>
        <v>06</v>
      </c>
      <c r="D660" s="14" t="s">
        <v>31</v>
      </c>
      <c r="E660" s="18" t="s">
        <v>27</v>
      </c>
      <c r="F660" s="19">
        <v>0</v>
      </c>
      <c r="G660" s="20">
        <f>SUMPRODUCT(--((B660=$B$4:$B$717)*$F$4:$F$717&gt;F660))+1</f>
        <v>34</v>
      </c>
      <c r="H660" s="18" t="s">
        <v>13</v>
      </c>
    </row>
    <row r="661" s="3" customFormat="1" ht="12" spans="1:8">
      <c r="A661" s="18" t="str">
        <f>"202300701"</f>
        <v>202300701</v>
      </c>
      <c r="B661" s="18" t="str">
        <f t="shared" si="111"/>
        <v>017</v>
      </c>
      <c r="C661" s="18" t="str">
        <f>"07"</f>
        <v>07</v>
      </c>
      <c r="D661" s="14" t="s">
        <v>31</v>
      </c>
      <c r="E661" s="18" t="s">
        <v>27</v>
      </c>
      <c r="F661" s="19">
        <v>0</v>
      </c>
      <c r="G661" s="20">
        <f>SUMPRODUCT(--((B661=$B$4:$B$717)*$F$4:$F$717&gt;F661))+1</f>
        <v>34</v>
      </c>
      <c r="H661" s="18" t="s">
        <v>13</v>
      </c>
    </row>
    <row r="662" s="3" customFormat="1" ht="12" spans="1:8">
      <c r="A662" s="18" t="str">
        <f>"202300705"</f>
        <v>202300705</v>
      </c>
      <c r="B662" s="18" t="str">
        <f t="shared" si="111"/>
        <v>017</v>
      </c>
      <c r="C662" s="18" t="str">
        <f>"07"</f>
        <v>07</v>
      </c>
      <c r="D662" s="14" t="s">
        <v>31</v>
      </c>
      <c r="E662" s="18" t="s">
        <v>27</v>
      </c>
      <c r="F662" s="19">
        <v>0</v>
      </c>
      <c r="G662" s="20">
        <f>SUMPRODUCT(--((B662=$B$4:$B$717)*$F$4:$F$717&gt;F662))+1</f>
        <v>34</v>
      </c>
      <c r="H662" s="18" t="s">
        <v>13</v>
      </c>
    </row>
    <row r="663" s="3" customFormat="1" ht="12" spans="1:8">
      <c r="A663" s="14" t="str">
        <f>"202301315"</f>
        <v>202301315</v>
      </c>
      <c r="B663" s="14" t="str">
        <f t="shared" ref="B663:B670" si="119">"018"</f>
        <v>018</v>
      </c>
      <c r="C663" s="14" t="str">
        <f t="shared" ref="C663:C670" si="120">"13"</f>
        <v>13</v>
      </c>
      <c r="D663" s="14" t="s">
        <v>31</v>
      </c>
      <c r="E663" s="14" t="s">
        <v>29</v>
      </c>
      <c r="F663" s="16">
        <v>68.83</v>
      </c>
      <c r="G663" s="17">
        <f>SUMPRODUCT(--((B663=$B$4:$B$717)*$F$4:$F$717&gt;F663))+1</f>
        <v>1</v>
      </c>
      <c r="H663" s="18" t="s">
        <v>12</v>
      </c>
    </row>
    <row r="664" s="3" customFormat="1" ht="12" spans="1:8">
      <c r="A664" s="14" t="str">
        <f>"202301311"</f>
        <v>202301311</v>
      </c>
      <c r="B664" s="14" t="str">
        <f t="shared" si="119"/>
        <v>018</v>
      </c>
      <c r="C664" s="14" t="str">
        <f t="shared" si="120"/>
        <v>13</v>
      </c>
      <c r="D664" s="14" t="s">
        <v>31</v>
      </c>
      <c r="E664" s="14" t="s">
        <v>29</v>
      </c>
      <c r="F664" s="16">
        <v>66.93</v>
      </c>
      <c r="G664" s="17">
        <f>SUMPRODUCT(--((B664=$B$4:$B$717)*$F$4:$F$717&gt;F664))+1</f>
        <v>2</v>
      </c>
      <c r="H664" s="18" t="s">
        <v>12</v>
      </c>
    </row>
    <row r="665" s="3" customFormat="1" ht="12" spans="1:8">
      <c r="A665" s="14" t="str">
        <f>"202301318"</f>
        <v>202301318</v>
      </c>
      <c r="B665" s="14" t="str">
        <f t="shared" si="119"/>
        <v>018</v>
      </c>
      <c r="C665" s="14" t="str">
        <f t="shared" si="120"/>
        <v>13</v>
      </c>
      <c r="D665" s="14" t="s">
        <v>31</v>
      </c>
      <c r="E665" s="14" t="s">
        <v>29</v>
      </c>
      <c r="F665" s="16">
        <v>64.59</v>
      </c>
      <c r="G665" s="17">
        <f>SUMPRODUCT(--((B665=$B$4:$B$717)*$F$4:$F$717&gt;F665))+1</f>
        <v>3</v>
      </c>
      <c r="H665" s="18" t="s">
        <v>12</v>
      </c>
    </row>
    <row r="666" s="3" customFormat="1" ht="12" spans="1:8">
      <c r="A666" s="18" t="str">
        <f>"202301312"</f>
        <v>202301312</v>
      </c>
      <c r="B666" s="18" t="str">
        <f t="shared" si="119"/>
        <v>018</v>
      </c>
      <c r="C666" s="18" t="str">
        <f t="shared" si="120"/>
        <v>13</v>
      </c>
      <c r="D666" s="14" t="s">
        <v>31</v>
      </c>
      <c r="E666" s="14" t="s">
        <v>29</v>
      </c>
      <c r="F666" s="19">
        <v>47.59</v>
      </c>
      <c r="G666" s="20">
        <f>SUMPRODUCT(--((B666=$B$4:$B$717)*$F$4:$F$717&gt;F666))+1</f>
        <v>4</v>
      </c>
      <c r="H666" s="18" t="s">
        <v>13</v>
      </c>
    </row>
    <row r="667" s="3" customFormat="1" ht="12" spans="1:8">
      <c r="A667" s="18" t="str">
        <f>"202301317"</f>
        <v>202301317</v>
      </c>
      <c r="B667" s="18" t="str">
        <f t="shared" si="119"/>
        <v>018</v>
      </c>
      <c r="C667" s="18" t="str">
        <f t="shared" si="120"/>
        <v>13</v>
      </c>
      <c r="D667" s="14" t="s">
        <v>31</v>
      </c>
      <c r="E667" s="14" t="s">
        <v>29</v>
      </c>
      <c r="F667" s="19">
        <v>43.9</v>
      </c>
      <c r="G667" s="20">
        <f>SUMPRODUCT(--((B667=$B$4:$B$717)*$F$4:$F$717&gt;F667))+1</f>
        <v>5</v>
      </c>
      <c r="H667" s="18" t="s">
        <v>13</v>
      </c>
    </row>
    <row r="668" s="3" customFormat="1" ht="12" spans="1:8">
      <c r="A668" s="18" t="str">
        <f>"202301316"</f>
        <v>202301316</v>
      </c>
      <c r="B668" s="18" t="str">
        <f t="shared" si="119"/>
        <v>018</v>
      </c>
      <c r="C668" s="18" t="str">
        <f t="shared" si="120"/>
        <v>13</v>
      </c>
      <c r="D668" s="14" t="s">
        <v>31</v>
      </c>
      <c r="E668" s="14" t="s">
        <v>29</v>
      </c>
      <c r="F668" s="19">
        <v>38.18</v>
      </c>
      <c r="G668" s="20">
        <f>SUMPRODUCT(--((B668=$B$4:$B$717)*$F$4:$F$717&gt;F668))+1</f>
        <v>6</v>
      </c>
      <c r="H668" s="18" t="s">
        <v>13</v>
      </c>
    </row>
    <row r="669" s="3" customFormat="1" ht="12" spans="1:8">
      <c r="A669" s="18" t="str">
        <f>"202301313"</f>
        <v>202301313</v>
      </c>
      <c r="B669" s="18" t="str">
        <f t="shared" si="119"/>
        <v>018</v>
      </c>
      <c r="C669" s="18" t="str">
        <f t="shared" si="120"/>
        <v>13</v>
      </c>
      <c r="D669" s="14" t="s">
        <v>31</v>
      </c>
      <c r="E669" s="14" t="s">
        <v>29</v>
      </c>
      <c r="F669" s="19">
        <v>0</v>
      </c>
      <c r="G669" s="20">
        <f>SUMPRODUCT(--((B669=$B$4:$B$717)*$F$4:$F$717&gt;F669))+1</f>
        <v>7</v>
      </c>
      <c r="H669" s="18" t="s">
        <v>13</v>
      </c>
    </row>
    <row r="670" s="3" customFormat="1" ht="12" spans="1:8">
      <c r="A670" s="18" t="str">
        <f>"202301314"</f>
        <v>202301314</v>
      </c>
      <c r="B670" s="18" t="str">
        <f t="shared" si="119"/>
        <v>018</v>
      </c>
      <c r="C670" s="18" t="str">
        <f t="shared" si="120"/>
        <v>13</v>
      </c>
      <c r="D670" s="14" t="s">
        <v>31</v>
      </c>
      <c r="E670" s="14" t="s">
        <v>29</v>
      </c>
      <c r="F670" s="19">
        <v>0</v>
      </c>
      <c r="G670" s="20">
        <f>SUMPRODUCT(--((B670=$B$4:$B$717)*$F$4:$F$717&gt;F670))+1</f>
        <v>7</v>
      </c>
      <c r="H670" s="18" t="s">
        <v>13</v>
      </c>
    </row>
    <row r="671" s="3" customFormat="1" ht="12" spans="1:8">
      <c r="A671" s="14" t="str">
        <f>"202301405"</f>
        <v>202301405</v>
      </c>
      <c r="B671" s="14" t="str">
        <f t="shared" ref="B671:B694" si="121">"019"</f>
        <v>019</v>
      </c>
      <c r="C671" s="14" t="str">
        <f t="shared" ref="C671:C677" si="122">"14"</f>
        <v>14</v>
      </c>
      <c r="D671" s="14" t="s">
        <v>31</v>
      </c>
      <c r="E671" s="14" t="s">
        <v>30</v>
      </c>
      <c r="F671" s="16">
        <v>69.1</v>
      </c>
      <c r="G671" s="17">
        <f>SUMPRODUCT(--((B671=$B$4:$B$717)*$F$4:$F$717&gt;F671))+1</f>
        <v>1</v>
      </c>
      <c r="H671" s="18" t="s">
        <v>12</v>
      </c>
    </row>
    <row r="672" s="3" customFormat="1" ht="12" spans="1:8">
      <c r="A672" s="14" t="str">
        <f>"202301328"</f>
        <v>202301328</v>
      </c>
      <c r="B672" s="14" t="str">
        <f t="shared" si="121"/>
        <v>019</v>
      </c>
      <c r="C672" s="14" t="str">
        <f t="shared" ref="C672:C675" si="123">"13"</f>
        <v>13</v>
      </c>
      <c r="D672" s="14" t="s">
        <v>31</v>
      </c>
      <c r="E672" s="14" t="s">
        <v>30</v>
      </c>
      <c r="F672" s="16">
        <v>65.9</v>
      </c>
      <c r="G672" s="17">
        <f>SUMPRODUCT(--((B672=$B$4:$B$717)*$F$4:$F$717&gt;F672))+1</f>
        <v>2</v>
      </c>
      <c r="H672" s="18" t="s">
        <v>12</v>
      </c>
    </row>
    <row r="673" s="3" customFormat="1" ht="12" spans="1:8">
      <c r="A673" s="14" t="str">
        <f>"202301408"</f>
        <v>202301408</v>
      </c>
      <c r="B673" s="14" t="str">
        <f t="shared" si="121"/>
        <v>019</v>
      </c>
      <c r="C673" s="14" t="str">
        <f t="shared" si="122"/>
        <v>14</v>
      </c>
      <c r="D673" s="14" t="s">
        <v>31</v>
      </c>
      <c r="E673" s="14" t="s">
        <v>30</v>
      </c>
      <c r="F673" s="16">
        <v>64.1</v>
      </c>
      <c r="G673" s="17">
        <f>SUMPRODUCT(--((B673=$B$4:$B$717)*$F$4:$F$717&gt;F673))+1</f>
        <v>3</v>
      </c>
      <c r="H673" s="18" t="s">
        <v>12</v>
      </c>
    </row>
    <row r="674" s="3" customFormat="1" ht="12" spans="1:8">
      <c r="A674" s="18" t="str">
        <f>"202301322"</f>
        <v>202301322</v>
      </c>
      <c r="B674" s="18" t="str">
        <f t="shared" si="121"/>
        <v>019</v>
      </c>
      <c r="C674" s="18" t="str">
        <f t="shared" si="123"/>
        <v>13</v>
      </c>
      <c r="D674" s="14" t="s">
        <v>31</v>
      </c>
      <c r="E674" s="14" t="s">
        <v>30</v>
      </c>
      <c r="F674" s="19">
        <v>63.1</v>
      </c>
      <c r="G674" s="20">
        <f>SUMPRODUCT(--((B674=$B$4:$B$717)*$F$4:$F$717&gt;F674))+1</f>
        <v>4</v>
      </c>
      <c r="H674" s="18" t="s">
        <v>13</v>
      </c>
    </row>
    <row r="675" s="3" customFormat="1" ht="12" spans="1:8">
      <c r="A675" s="18" t="str">
        <f>"202301319"</f>
        <v>202301319</v>
      </c>
      <c r="B675" s="18" t="str">
        <f t="shared" si="121"/>
        <v>019</v>
      </c>
      <c r="C675" s="18" t="str">
        <f t="shared" si="123"/>
        <v>13</v>
      </c>
      <c r="D675" s="14" t="s">
        <v>31</v>
      </c>
      <c r="E675" s="14" t="s">
        <v>30</v>
      </c>
      <c r="F675" s="19">
        <v>62.26</v>
      </c>
      <c r="G675" s="20">
        <f>SUMPRODUCT(--((B675=$B$4:$B$717)*$F$4:$F$717&gt;F675))+1</f>
        <v>5</v>
      </c>
      <c r="H675" s="18" t="s">
        <v>13</v>
      </c>
    </row>
    <row r="676" s="3" customFormat="1" ht="12" spans="1:8">
      <c r="A676" s="18" t="str">
        <f>"202301409"</f>
        <v>202301409</v>
      </c>
      <c r="B676" s="18" t="str">
        <f t="shared" si="121"/>
        <v>019</v>
      </c>
      <c r="C676" s="18" t="str">
        <f t="shared" si="122"/>
        <v>14</v>
      </c>
      <c r="D676" s="14" t="s">
        <v>31</v>
      </c>
      <c r="E676" s="14" t="s">
        <v>30</v>
      </c>
      <c r="F676" s="19">
        <v>60.59</v>
      </c>
      <c r="G676" s="20">
        <f>SUMPRODUCT(--((B676=$B$4:$B$717)*$F$4:$F$717&gt;F676))+1</f>
        <v>6</v>
      </c>
      <c r="H676" s="18" t="s">
        <v>13</v>
      </c>
    </row>
    <row r="677" s="3" customFormat="1" ht="12" spans="1:8">
      <c r="A677" s="18" t="str">
        <f>"202301404"</f>
        <v>202301404</v>
      </c>
      <c r="B677" s="18" t="str">
        <f t="shared" si="121"/>
        <v>019</v>
      </c>
      <c r="C677" s="18" t="str">
        <f t="shared" si="122"/>
        <v>14</v>
      </c>
      <c r="D677" s="14" t="s">
        <v>31</v>
      </c>
      <c r="E677" s="14" t="s">
        <v>30</v>
      </c>
      <c r="F677" s="19">
        <v>59.51</v>
      </c>
      <c r="G677" s="20">
        <f>SUMPRODUCT(--((B677=$B$4:$B$717)*$F$4:$F$717&gt;F677))+1</f>
        <v>7</v>
      </c>
      <c r="H677" s="18" t="s">
        <v>13</v>
      </c>
    </row>
    <row r="678" s="3" customFormat="1" ht="12" spans="1:8">
      <c r="A678" s="18" t="str">
        <f>"202301330"</f>
        <v>202301330</v>
      </c>
      <c r="B678" s="18" t="str">
        <f t="shared" si="121"/>
        <v>019</v>
      </c>
      <c r="C678" s="18" t="str">
        <f t="shared" ref="C678:C684" si="124">"13"</f>
        <v>13</v>
      </c>
      <c r="D678" s="14" t="s">
        <v>31</v>
      </c>
      <c r="E678" s="14" t="s">
        <v>30</v>
      </c>
      <c r="F678" s="19">
        <v>59.08</v>
      </c>
      <c r="G678" s="20">
        <f>SUMPRODUCT(--((B678=$B$4:$B$717)*$F$4:$F$717&gt;F678))+1</f>
        <v>8</v>
      </c>
      <c r="H678" s="18" t="s">
        <v>13</v>
      </c>
    </row>
    <row r="679" s="3" customFormat="1" ht="12" spans="1:8">
      <c r="A679" s="18" t="str">
        <f>"202301406"</f>
        <v>202301406</v>
      </c>
      <c r="B679" s="18" t="str">
        <f t="shared" si="121"/>
        <v>019</v>
      </c>
      <c r="C679" s="18" t="str">
        <f t="shared" ref="C679:C682" si="125">"14"</f>
        <v>14</v>
      </c>
      <c r="D679" s="14" t="s">
        <v>31</v>
      </c>
      <c r="E679" s="14" t="s">
        <v>30</v>
      </c>
      <c r="F679" s="19">
        <v>58.55</v>
      </c>
      <c r="G679" s="20">
        <f>SUMPRODUCT(--((B679=$B$4:$B$717)*$F$4:$F$717&gt;F679))+1</f>
        <v>9</v>
      </c>
      <c r="H679" s="18" t="s">
        <v>13</v>
      </c>
    </row>
    <row r="680" s="3" customFormat="1" ht="12" spans="1:8">
      <c r="A680" s="18" t="str">
        <f>"202301402"</f>
        <v>202301402</v>
      </c>
      <c r="B680" s="18" t="str">
        <f t="shared" si="121"/>
        <v>019</v>
      </c>
      <c r="C680" s="18" t="str">
        <f t="shared" si="125"/>
        <v>14</v>
      </c>
      <c r="D680" s="14" t="s">
        <v>31</v>
      </c>
      <c r="E680" s="14" t="s">
        <v>30</v>
      </c>
      <c r="F680" s="19">
        <v>58.41</v>
      </c>
      <c r="G680" s="20">
        <f>SUMPRODUCT(--((B680=$B$4:$B$717)*$F$4:$F$717&gt;F680))+1</f>
        <v>10</v>
      </c>
      <c r="H680" s="18" t="s">
        <v>13</v>
      </c>
    </row>
    <row r="681" s="3" customFormat="1" ht="12" spans="1:8">
      <c r="A681" s="18" t="str">
        <f>"202301324"</f>
        <v>202301324</v>
      </c>
      <c r="B681" s="18" t="str">
        <f t="shared" si="121"/>
        <v>019</v>
      </c>
      <c r="C681" s="18" t="str">
        <f t="shared" si="124"/>
        <v>13</v>
      </c>
      <c r="D681" s="14" t="s">
        <v>31</v>
      </c>
      <c r="E681" s="14" t="s">
        <v>30</v>
      </c>
      <c r="F681" s="19">
        <v>58.09</v>
      </c>
      <c r="G681" s="20">
        <f>SUMPRODUCT(--((B681=$B$4:$B$717)*$F$4:$F$717&gt;F681))+1</f>
        <v>11</v>
      </c>
      <c r="H681" s="18" t="s">
        <v>13</v>
      </c>
    </row>
    <row r="682" s="3" customFormat="1" ht="12" spans="1:8">
      <c r="A682" s="18" t="str">
        <f>"202301412"</f>
        <v>202301412</v>
      </c>
      <c r="B682" s="18" t="str">
        <f t="shared" si="121"/>
        <v>019</v>
      </c>
      <c r="C682" s="18" t="str">
        <f t="shared" si="125"/>
        <v>14</v>
      </c>
      <c r="D682" s="14" t="s">
        <v>31</v>
      </c>
      <c r="E682" s="14" t="s">
        <v>30</v>
      </c>
      <c r="F682" s="19">
        <v>56.84</v>
      </c>
      <c r="G682" s="20">
        <f>SUMPRODUCT(--((B682=$B$4:$B$717)*$F$4:$F$717&gt;F682))+1</f>
        <v>12</v>
      </c>
      <c r="H682" s="18" t="s">
        <v>13</v>
      </c>
    </row>
    <row r="683" s="3" customFormat="1" ht="12" spans="1:8">
      <c r="A683" s="18" t="str">
        <f>"202301325"</f>
        <v>202301325</v>
      </c>
      <c r="B683" s="18" t="str">
        <f t="shared" si="121"/>
        <v>019</v>
      </c>
      <c r="C683" s="18" t="str">
        <f t="shared" si="124"/>
        <v>13</v>
      </c>
      <c r="D683" s="14" t="s">
        <v>31</v>
      </c>
      <c r="E683" s="14" t="s">
        <v>30</v>
      </c>
      <c r="F683" s="19">
        <v>56.25</v>
      </c>
      <c r="G683" s="20">
        <f>SUMPRODUCT(--((B683=$B$4:$B$717)*$F$4:$F$717&gt;F683))+1</f>
        <v>13</v>
      </c>
      <c r="H683" s="18" t="s">
        <v>13</v>
      </c>
    </row>
    <row r="684" s="3" customFormat="1" ht="12" spans="1:8">
      <c r="A684" s="18" t="str">
        <f>"202301326"</f>
        <v>202301326</v>
      </c>
      <c r="B684" s="18" t="str">
        <f t="shared" si="121"/>
        <v>019</v>
      </c>
      <c r="C684" s="18" t="str">
        <f t="shared" si="124"/>
        <v>13</v>
      </c>
      <c r="D684" s="14" t="s">
        <v>31</v>
      </c>
      <c r="E684" s="14" t="s">
        <v>30</v>
      </c>
      <c r="F684" s="19">
        <v>55.52</v>
      </c>
      <c r="G684" s="20">
        <f>SUMPRODUCT(--((B684=$B$4:$B$717)*$F$4:$F$717&gt;F684))+1</f>
        <v>14</v>
      </c>
      <c r="H684" s="18" t="s">
        <v>13</v>
      </c>
    </row>
    <row r="685" s="3" customFormat="1" ht="12" spans="1:8">
      <c r="A685" s="18" t="str">
        <f>"202301403"</f>
        <v>202301403</v>
      </c>
      <c r="B685" s="18" t="str">
        <f t="shared" si="121"/>
        <v>019</v>
      </c>
      <c r="C685" s="18" t="str">
        <f>"14"</f>
        <v>14</v>
      </c>
      <c r="D685" s="14" t="s">
        <v>31</v>
      </c>
      <c r="E685" s="14" t="s">
        <v>30</v>
      </c>
      <c r="F685" s="19">
        <v>53.47</v>
      </c>
      <c r="G685" s="20">
        <f>SUMPRODUCT(--((B685=$B$4:$B$717)*$F$4:$F$717&gt;F685))+1</f>
        <v>15</v>
      </c>
      <c r="H685" s="18" t="s">
        <v>13</v>
      </c>
    </row>
    <row r="686" s="3" customFormat="1" ht="12" spans="1:8">
      <c r="A686" s="18" t="str">
        <f>"202301323"</f>
        <v>202301323</v>
      </c>
      <c r="B686" s="18" t="str">
        <f t="shared" si="121"/>
        <v>019</v>
      </c>
      <c r="C686" s="18" t="str">
        <f t="shared" ref="C686:C690" si="126">"13"</f>
        <v>13</v>
      </c>
      <c r="D686" s="14" t="s">
        <v>31</v>
      </c>
      <c r="E686" s="14" t="s">
        <v>30</v>
      </c>
      <c r="F686" s="19">
        <v>52.74</v>
      </c>
      <c r="G686" s="20">
        <f>SUMPRODUCT(--((B686=$B$4:$B$717)*$F$4:$F$717&gt;F686))+1</f>
        <v>16</v>
      </c>
      <c r="H686" s="18" t="s">
        <v>13</v>
      </c>
    </row>
    <row r="687" s="3" customFormat="1" ht="12" spans="1:8">
      <c r="A687" s="18" t="str">
        <f>"202301320"</f>
        <v>202301320</v>
      </c>
      <c r="B687" s="18" t="str">
        <f t="shared" si="121"/>
        <v>019</v>
      </c>
      <c r="C687" s="18" t="str">
        <f t="shared" si="126"/>
        <v>13</v>
      </c>
      <c r="D687" s="14" t="s">
        <v>31</v>
      </c>
      <c r="E687" s="14" t="s">
        <v>30</v>
      </c>
      <c r="F687" s="19">
        <v>50.32</v>
      </c>
      <c r="G687" s="20">
        <f>SUMPRODUCT(--((B687=$B$4:$B$717)*$F$4:$F$717&gt;F687))+1</f>
        <v>17</v>
      </c>
      <c r="H687" s="18" t="s">
        <v>13</v>
      </c>
    </row>
    <row r="688" s="3" customFormat="1" ht="12" spans="1:8">
      <c r="A688" s="18" t="str">
        <f>"202301329"</f>
        <v>202301329</v>
      </c>
      <c r="B688" s="18" t="str">
        <f t="shared" si="121"/>
        <v>019</v>
      </c>
      <c r="C688" s="18" t="str">
        <f t="shared" si="126"/>
        <v>13</v>
      </c>
      <c r="D688" s="14" t="s">
        <v>31</v>
      </c>
      <c r="E688" s="14" t="s">
        <v>30</v>
      </c>
      <c r="F688" s="19">
        <v>49.35</v>
      </c>
      <c r="G688" s="20">
        <f>SUMPRODUCT(--((B688=$B$4:$B$717)*$F$4:$F$717&gt;F688))+1</f>
        <v>18</v>
      </c>
      <c r="H688" s="18" t="s">
        <v>13</v>
      </c>
    </row>
    <row r="689" s="3" customFormat="1" ht="12" spans="1:8">
      <c r="A689" s="18" t="str">
        <f>"202301321"</f>
        <v>202301321</v>
      </c>
      <c r="B689" s="18" t="str">
        <f t="shared" si="121"/>
        <v>019</v>
      </c>
      <c r="C689" s="18" t="str">
        <f t="shared" si="126"/>
        <v>13</v>
      </c>
      <c r="D689" s="14" t="s">
        <v>31</v>
      </c>
      <c r="E689" s="14" t="s">
        <v>30</v>
      </c>
      <c r="F689" s="19">
        <v>0</v>
      </c>
      <c r="G689" s="20">
        <f>SUMPRODUCT(--((B689=$B$4:$B$717)*$F$4:$F$717&gt;F689))+1</f>
        <v>19</v>
      </c>
      <c r="H689" s="18" t="s">
        <v>13</v>
      </c>
    </row>
    <row r="690" s="3" customFormat="1" ht="12" spans="1:8">
      <c r="A690" s="18" t="str">
        <f>"202301327"</f>
        <v>202301327</v>
      </c>
      <c r="B690" s="18" t="str">
        <f t="shared" si="121"/>
        <v>019</v>
      </c>
      <c r="C690" s="18" t="str">
        <f t="shared" si="126"/>
        <v>13</v>
      </c>
      <c r="D690" s="14" t="s">
        <v>31</v>
      </c>
      <c r="E690" s="14" t="s">
        <v>30</v>
      </c>
      <c r="F690" s="19">
        <v>0</v>
      </c>
      <c r="G690" s="20">
        <f>SUMPRODUCT(--((B690=$B$4:$B$717)*$F$4:$F$717&gt;F690))+1</f>
        <v>19</v>
      </c>
      <c r="H690" s="18" t="s">
        <v>13</v>
      </c>
    </row>
    <row r="691" s="3" customFormat="1" ht="12" spans="1:8">
      <c r="A691" s="18" t="str">
        <f>"202301401"</f>
        <v>202301401</v>
      </c>
      <c r="B691" s="18" t="str">
        <f t="shared" si="121"/>
        <v>019</v>
      </c>
      <c r="C691" s="18" t="str">
        <f t="shared" ref="C691:C700" si="127">"14"</f>
        <v>14</v>
      </c>
      <c r="D691" s="14" t="s">
        <v>31</v>
      </c>
      <c r="E691" s="14" t="s">
        <v>30</v>
      </c>
      <c r="F691" s="19">
        <v>0</v>
      </c>
      <c r="G691" s="20">
        <f>SUMPRODUCT(--((B691=$B$4:$B$717)*$F$4:$F$717&gt;F691))+1</f>
        <v>19</v>
      </c>
      <c r="H691" s="18" t="s">
        <v>13</v>
      </c>
    </row>
    <row r="692" s="3" customFormat="1" ht="12" spans="1:8">
      <c r="A692" s="18" t="str">
        <f>"202301407"</f>
        <v>202301407</v>
      </c>
      <c r="B692" s="18" t="str">
        <f t="shared" si="121"/>
        <v>019</v>
      </c>
      <c r="C692" s="18" t="str">
        <f t="shared" si="127"/>
        <v>14</v>
      </c>
      <c r="D692" s="14" t="s">
        <v>31</v>
      </c>
      <c r="E692" s="14" t="s">
        <v>30</v>
      </c>
      <c r="F692" s="19">
        <v>0</v>
      </c>
      <c r="G692" s="20">
        <f>SUMPRODUCT(--((B692=$B$4:$B$717)*$F$4:$F$717&gt;F692))+1</f>
        <v>19</v>
      </c>
      <c r="H692" s="18" t="s">
        <v>13</v>
      </c>
    </row>
    <row r="693" s="3" customFormat="1" ht="12" spans="1:8">
      <c r="A693" s="18" t="str">
        <f>"202301410"</f>
        <v>202301410</v>
      </c>
      <c r="B693" s="18" t="str">
        <f t="shared" si="121"/>
        <v>019</v>
      </c>
      <c r="C693" s="18" t="str">
        <f t="shared" si="127"/>
        <v>14</v>
      </c>
      <c r="D693" s="14" t="s">
        <v>31</v>
      </c>
      <c r="E693" s="14" t="s">
        <v>30</v>
      </c>
      <c r="F693" s="19">
        <v>0</v>
      </c>
      <c r="G693" s="20">
        <f>SUMPRODUCT(--((B693=$B$4:$B$717)*$F$4:$F$717&gt;F693))+1</f>
        <v>19</v>
      </c>
      <c r="H693" s="18" t="s">
        <v>13</v>
      </c>
    </row>
    <row r="694" s="3" customFormat="1" ht="12" spans="1:8">
      <c r="A694" s="18" t="str">
        <f>"202301411"</f>
        <v>202301411</v>
      </c>
      <c r="B694" s="18" t="str">
        <f t="shared" si="121"/>
        <v>019</v>
      </c>
      <c r="C694" s="18" t="str">
        <f t="shared" si="127"/>
        <v>14</v>
      </c>
      <c r="D694" s="14" t="s">
        <v>31</v>
      </c>
      <c r="E694" s="14" t="s">
        <v>30</v>
      </c>
      <c r="F694" s="19">
        <v>0</v>
      </c>
      <c r="G694" s="20">
        <f>SUMPRODUCT(--((B694=$B$4:$B$717)*$F$4:$F$717&gt;F694))+1</f>
        <v>19</v>
      </c>
      <c r="H694" s="18" t="s">
        <v>13</v>
      </c>
    </row>
    <row r="695" s="3" customFormat="1" ht="12" spans="1:8">
      <c r="A695" s="14" t="str">
        <f>"202301417"</f>
        <v>202301417</v>
      </c>
      <c r="B695" s="14" t="str">
        <f t="shared" ref="B695:B699" si="128">"020"</f>
        <v>020</v>
      </c>
      <c r="C695" s="14" t="str">
        <f t="shared" si="127"/>
        <v>14</v>
      </c>
      <c r="D695" s="14" t="s">
        <v>32</v>
      </c>
      <c r="E695" s="14" t="s">
        <v>29</v>
      </c>
      <c r="F695" s="16">
        <v>65.36</v>
      </c>
      <c r="G695" s="17">
        <f>SUMPRODUCT(--((B695=$B$4:$B$717)*$F$4:$F$717&gt;F695))+1</f>
        <v>1</v>
      </c>
      <c r="H695" s="18" t="s">
        <v>12</v>
      </c>
    </row>
    <row r="696" s="3" customFormat="1" ht="12" spans="1:8">
      <c r="A696" s="14" t="str">
        <f>"202301414"</f>
        <v>202301414</v>
      </c>
      <c r="B696" s="14" t="str">
        <f t="shared" si="128"/>
        <v>020</v>
      </c>
      <c r="C696" s="14" t="str">
        <f t="shared" si="127"/>
        <v>14</v>
      </c>
      <c r="D696" s="14" t="s">
        <v>32</v>
      </c>
      <c r="E696" s="14" t="s">
        <v>29</v>
      </c>
      <c r="F696" s="16">
        <v>52.84</v>
      </c>
      <c r="G696" s="17">
        <f>SUMPRODUCT(--((B696=$B$4:$B$717)*$F$4:$F$717&gt;F696))+1</f>
        <v>2</v>
      </c>
      <c r="H696" s="18" t="s">
        <v>12</v>
      </c>
    </row>
    <row r="697" s="3" customFormat="1" ht="12" spans="1:8">
      <c r="A697" s="14" t="str">
        <f>"202301413"</f>
        <v>202301413</v>
      </c>
      <c r="B697" s="14" t="str">
        <f t="shared" si="128"/>
        <v>020</v>
      </c>
      <c r="C697" s="14" t="str">
        <f t="shared" si="127"/>
        <v>14</v>
      </c>
      <c r="D697" s="14" t="s">
        <v>32</v>
      </c>
      <c r="E697" s="14" t="s">
        <v>29</v>
      </c>
      <c r="F697" s="16">
        <v>52.24</v>
      </c>
      <c r="G697" s="17">
        <f>SUMPRODUCT(--((B697=$B$4:$B$717)*$F$4:$F$717&gt;F697))+1</f>
        <v>3</v>
      </c>
      <c r="H697" s="18" t="s">
        <v>12</v>
      </c>
    </row>
    <row r="698" s="3" customFormat="1" ht="12" spans="1:8">
      <c r="A698" s="18" t="str">
        <f>"202301415"</f>
        <v>202301415</v>
      </c>
      <c r="B698" s="18" t="str">
        <f t="shared" si="128"/>
        <v>020</v>
      </c>
      <c r="C698" s="18" t="str">
        <f t="shared" si="127"/>
        <v>14</v>
      </c>
      <c r="D698" s="14" t="s">
        <v>32</v>
      </c>
      <c r="E698" s="14" t="s">
        <v>29</v>
      </c>
      <c r="F698" s="19">
        <v>51.66</v>
      </c>
      <c r="G698" s="20">
        <f>SUMPRODUCT(--((B698=$B$4:$B$717)*$F$4:$F$717&gt;F698))+1</f>
        <v>4</v>
      </c>
      <c r="H698" s="18" t="s">
        <v>13</v>
      </c>
    </row>
    <row r="699" s="3" customFormat="1" ht="12" spans="1:8">
      <c r="A699" s="18" t="str">
        <f>"202301416"</f>
        <v>202301416</v>
      </c>
      <c r="B699" s="18" t="str">
        <f t="shared" si="128"/>
        <v>020</v>
      </c>
      <c r="C699" s="18" t="str">
        <f t="shared" si="127"/>
        <v>14</v>
      </c>
      <c r="D699" s="14" t="s">
        <v>32</v>
      </c>
      <c r="E699" s="14" t="s">
        <v>29</v>
      </c>
      <c r="F699" s="19">
        <v>0</v>
      </c>
      <c r="G699" s="20">
        <f>SUMPRODUCT(--((B699=$B$4:$B$717)*$F$4:$F$717&gt;F699))+1</f>
        <v>5</v>
      </c>
      <c r="H699" s="18" t="s">
        <v>13</v>
      </c>
    </row>
    <row r="700" s="3" customFormat="1" ht="12" spans="1:8">
      <c r="A700" s="14" t="str">
        <f>"202301419"</f>
        <v>202301419</v>
      </c>
      <c r="B700" s="14" t="str">
        <f t="shared" ref="B700:B715" si="129">"021"</f>
        <v>021</v>
      </c>
      <c r="C700" s="14" t="str">
        <f t="shared" si="127"/>
        <v>14</v>
      </c>
      <c r="D700" s="14" t="s">
        <v>32</v>
      </c>
      <c r="E700" s="14" t="s">
        <v>30</v>
      </c>
      <c r="F700" s="16">
        <v>69.66</v>
      </c>
      <c r="G700" s="17">
        <f>SUMPRODUCT(--((B700=$B$4:$B$717)*$F$4:$F$717&gt;F700))+1</f>
        <v>1</v>
      </c>
      <c r="H700" s="18" t="s">
        <v>12</v>
      </c>
    </row>
    <row r="701" s="3" customFormat="1" ht="12" spans="1:8">
      <c r="A701" s="14" t="str">
        <f>"202301503"</f>
        <v>202301503</v>
      </c>
      <c r="B701" s="14" t="str">
        <f t="shared" si="129"/>
        <v>021</v>
      </c>
      <c r="C701" s="14" t="str">
        <f>"15"</f>
        <v>15</v>
      </c>
      <c r="D701" s="14" t="s">
        <v>32</v>
      </c>
      <c r="E701" s="14" t="s">
        <v>30</v>
      </c>
      <c r="F701" s="16">
        <v>60.51</v>
      </c>
      <c r="G701" s="17">
        <f>SUMPRODUCT(--((B701=$B$4:$B$717)*$F$4:$F$717&gt;F701))+1</f>
        <v>2</v>
      </c>
      <c r="H701" s="18" t="s">
        <v>12</v>
      </c>
    </row>
    <row r="702" s="3" customFormat="1" ht="12" spans="1:8">
      <c r="A702" s="14" t="str">
        <f>"202301422"</f>
        <v>202301422</v>
      </c>
      <c r="B702" s="14" t="str">
        <f t="shared" si="129"/>
        <v>021</v>
      </c>
      <c r="C702" s="14" t="str">
        <f t="shared" ref="C702:C705" si="130">"14"</f>
        <v>14</v>
      </c>
      <c r="D702" s="14" t="s">
        <v>32</v>
      </c>
      <c r="E702" s="14" t="s">
        <v>30</v>
      </c>
      <c r="F702" s="16">
        <v>59.15</v>
      </c>
      <c r="G702" s="17">
        <f>SUMPRODUCT(--((B702=$B$4:$B$717)*$F$4:$F$717&gt;F702))+1</f>
        <v>3</v>
      </c>
      <c r="H702" s="18" t="s">
        <v>12</v>
      </c>
    </row>
    <row r="703" s="3" customFormat="1" ht="12" spans="1:8">
      <c r="A703" s="18" t="str">
        <f>"202301423"</f>
        <v>202301423</v>
      </c>
      <c r="B703" s="18" t="str">
        <f t="shared" si="129"/>
        <v>021</v>
      </c>
      <c r="C703" s="18" t="str">
        <f t="shared" si="130"/>
        <v>14</v>
      </c>
      <c r="D703" s="14" t="s">
        <v>32</v>
      </c>
      <c r="E703" s="14" t="s">
        <v>30</v>
      </c>
      <c r="F703" s="19">
        <v>58</v>
      </c>
      <c r="G703" s="20">
        <f>SUMPRODUCT(--((B703=$B$4:$B$717)*$F$4:$F$717&gt;F703))+1</f>
        <v>4</v>
      </c>
      <c r="H703" s="18" t="s">
        <v>13</v>
      </c>
    </row>
    <row r="704" s="3" customFormat="1" ht="12" spans="1:8">
      <c r="A704" s="18" t="str">
        <f>"202301428"</f>
        <v>202301428</v>
      </c>
      <c r="B704" s="18" t="str">
        <f t="shared" si="129"/>
        <v>021</v>
      </c>
      <c r="C704" s="18" t="str">
        <f t="shared" si="130"/>
        <v>14</v>
      </c>
      <c r="D704" s="14" t="s">
        <v>32</v>
      </c>
      <c r="E704" s="14" t="s">
        <v>30</v>
      </c>
      <c r="F704" s="19">
        <v>55.08</v>
      </c>
      <c r="G704" s="20">
        <f>SUMPRODUCT(--((B704=$B$4:$B$717)*$F$4:$F$717&gt;F704))+1</f>
        <v>5</v>
      </c>
      <c r="H704" s="18" t="s">
        <v>13</v>
      </c>
    </row>
    <row r="705" s="3" customFormat="1" ht="12" spans="1:8">
      <c r="A705" s="18" t="str">
        <f>"202301421"</f>
        <v>202301421</v>
      </c>
      <c r="B705" s="18" t="str">
        <f t="shared" si="129"/>
        <v>021</v>
      </c>
      <c r="C705" s="18" t="str">
        <f t="shared" si="130"/>
        <v>14</v>
      </c>
      <c r="D705" s="14" t="s">
        <v>32</v>
      </c>
      <c r="E705" s="14" t="s">
        <v>30</v>
      </c>
      <c r="F705" s="19">
        <v>53.92</v>
      </c>
      <c r="G705" s="20">
        <f>SUMPRODUCT(--((B705=$B$4:$B$717)*$F$4:$F$717&gt;F705))+1</f>
        <v>6</v>
      </c>
      <c r="H705" s="18" t="s">
        <v>13</v>
      </c>
    </row>
    <row r="706" s="3" customFormat="1" ht="12" spans="1:8">
      <c r="A706" s="18" t="str">
        <f>"202301502"</f>
        <v>202301502</v>
      </c>
      <c r="B706" s="18" t="str">
        <f t="shared" si="129"/>
        <v>021</v>
      </c>
      <c r="C706" s="18" t="str">
        <f>"15"</f>
        <v>15</v>
      </c>
      <c r="D706" s="14" t="s">
        <v>32</v>
      </c>
      <c r="E706" s="14" t="s">
        <v>30</v>
      </c>
      <c r="F706" s="19">
        <v>53.78</v>
      </c>
      <c r="G706" s="20">
        <f>SUMPRODUCT(--((B706=$B$4:$B$717)*$F$4:$F$717&gt;F706))+1</f>
        <v>7</v>
      </c>
      <c r="H706" s="18" t="s">
        <v>13</v>
      </c>
    </row>
    <row r="707" s="3" customFormat="1" ht="12" spans="1:8">
      <c r="A707" s="18" t="str">
        <f>"202301427"</f>
        <v>202301427</v>
      </c>
      <c r="B707" s="18" t="str">
        <f t="shared" si="129"/>
        <v>021</v>
      </c>
      <c r="C707" s="18" t="str">
        <f t="shared" ref="C707:C714" si="131">"14"</f>
        <v>14</v>
      </c>
      <c r="D707" s="14" t="s">
        <v>32</v>
      </c>
      <c r="E707" s="14" t="s">
        <v>30</v>
      </c>
      <c r="F707" s="19">
        <v>53.41</v>
      </c>
      <c r="G707" s="20">
        <f>SUMPRODUCT(--((B707=$B$4:$B$717)*$F$4:$F$717&gt;F707))+1</f>
        <v>8</v>
      </c>
      <c r="H707" s="18" t="s">
        <v>13</v>
      </c>
    </row>
    <row r="708" s="3" customFormat="1" ht="12" spans="1:8">
      <c r="A708" s="18" t="str">
        <f>"202301420"</f>
        <v>202301420</v>
      </c>
      <c r="B708" s="18" t="str">
        <f t="shared" si="129"/>
        <v>021</v>
      </c>
      <c r="C708" s="18" t="str">
        <f t="shared" si="131"/>
        <v>14</v>
      </c>
      <c r="D708" s="14" t="s">
        <v>32</v>
      </c>
      <c r="E708" s="14" t="s">
        <v>30</v>
      </c>
      <c r="F708" s="19">
        <v>47.02</v>
      </c>
      <c r="G708" s="20">
        <f>SUMPRODUCT(--((B708=$B$4:$B$717)*$F$4:$F$717&gt;F708))+1</f>
        <v>9</v>
      </c>
      <c r="H708" s="18" t="s">
        <v>13</v>
      </c>
    </row>
    <row r="709" s="3" customFormat="1" ht="12" spans="1:8">
      <c r="A709" s="18" t="str">
        <f>"202301424"</f>
        <v>202301424</v>
      </c>
      <c r="B709" s="18" t="str">
        <f t="shared" si="129"/>
        <v>021</v>
      </c>
      <c r="C709" s="18" t="str">
        <f t="shared" si="131"/>
        <v>14</v>
      </c>
      <c r="D709" s="14" t="s">
        <v>32</v>
      </c>
      <c r="E709" s="14" t="s">
        <v>30</v>
      </c>
      <c r="F709" s="19">
        <v>46.65</v>
      </c>
      <c r="G709" s="20">
        <f>SUMPRODUCT(--((B709=$B$4:$B$717)*$F$4:$F$717&gt;F709))+1</f>
        <v>10</v>
      </c>
      <c r="H709" s="18" t="s">
        <v>13</v>
      </c>
    </row>
    <row r="710" s="3" customFormat="1" ht="12" spans="1:8">
      <c r="A710" s="18" t="str">
        <f>"202301430"</f>
        <v>202301430</v>
      </c>
      <c r="B710" s="18" t="str">
        <f t="shared" si="129"/>
        <v>021</v>
      </c>
      <c r="C710" s="18" t="str">
        <f t="shared" si="131"/>
        <v>14</v>
      </c>
      <c r="D710" s="14" t="s">
        <v>32</v>
      </c>
      <c r="E710" s="14" t="s">
        <v>30</v>
      </c>
      <c r="F710" s="19">
        <v>46.25</v>
      </c>
      <c r="G710" s="20">
        <f>SUMPRODUCT(--((B710=$B$4:$B$717)*$F$4:$F$717&gt;F710))+1</f>
        <v>11</v>
      </c>
      <c r="H710" s="18" t="s">
        <v>13</v>
      </c>
    </row>
    <row r="711" s="3" customFormat="1" ht="12" spans="1:8">
      <c r="A711" s="18" t="str">
        <f>"202301418"</f>
        <v>202301418</v>
      </c>
      <c r="B711" s="18" t="str">
        <f t="shared" si="129"/>
        <v>021</v>
      </c>
      <c r="C711" s="18" t="str">
        <f t="shared" si="131"/>
        <v>14</v>
      </c>
      <c r="D711" s="14" t="s">
        <v>32</v>
      </c>
      <c r="E711" s="14" t="s">
        <v>30</v>
      </c>
      <c r="F711" s="19">
        <v>44.56</v>
      </c>
      <c r="G711" s="20">
        <f>SUMPRODUCT(--((B711=$B$4:$B$717)*$F$4:$F$717&gt;F711))+1</f>
        <v>12</v>
      </c>
      <c r="H711" s="18" t="s">
        <v>13</v>
      </c>
    </row>
    <row r="712" s="3" customFormat="1" ht="12" spans="1:8">
      <c r="A712" s="18" t="str">
        <f>"202301425"</f>
        <v>202301425</v>
      </c>
      <c r="B712" s="18" t="str">
        <f t="shared" si="129"/>
        <v>021</v>
      </c>
      <c r="C712" s="18" t="str">
        <f t="shared" si="131"/>
        <v>14</v>
      </c>
      <c r="D712" s="14" t="s">
        <v>32</v>
      </c>
      <c r="E712" s="14" t="s">
        <v>30</v>
      </c>
      <c r="F712" s="19">
        <v>34.81</v>
      </c>
      <c r="G712" s="20">
        <f>SUMPRODUCT(--((B712=$B$4:$B$717)*$F$4:$F$717&gt;F712))+1</f>
        <v>13</v>
      </c>
      <c r="H712" s="18" t="s">
        <v>13</v>
      </c>
    </row>
    <row r="713" s="3" customFormat="1" ht="12" spans="1:8">
      <c r="A713" s="18" t="str">
        <f>"202301426"</f>
        <v>202301426</v>
      </c>
      <c r="B713" s="18" t="str">
        <f t="shared" si="129"/>
        <v>021</v>
      </c>
      <c r="C713" s="18" t="str">
        <f t="shared" si="131"/>
        <v>14</v>
      </c>
      <c r="D713" s="14" t="s">
        <v>32</v>
      </c>
      <c r="E713" s="14" t="s">
        <v>30</v>
      </c>
      <c r="F713" s="19">
        <v>0</v>
      </c>
      <c r="G713" s="20">
        <f>SUMPRODUCT(--((B713=$B$4:$B$717)*$F$4:$F$717&gt;F713))+1</f>
        <v>14</v>
      </c>
      <c r="H713" s="18" t="s">
        <v>13</v>
      </c>
    </row>
    <row r="714" s="3" customFormat="1" ht="12" spans="1:8">
      <c r="A714" s="18" t="str">
        <f>"202301429"</f>
        <v>202301429</v>
      </c>
      <c r="B714" s="18" t="str">
        <f t="shared" si="129"/>
        <v>021</v>
      </c>
      <c r="C714" s="18" t="str">
        <f t="shared" si="131"/>
        <v>14</v>
      </c>
      <c r="D714" s="14" t="s">
        <v>32</v>
      </c>
      <c r="E714" s="14" t="s">
        <v>30</v>
      </c>
      <c r="F714" s="19">
        <v>0</v>
      </c>
      <c r="G714" s="20">
        <f>SUMPRODUCT(--((B714=$B$4:$B$717)*$F$4:$F$717&gt;F714))+1</f>
        <v>14</v>
      </c>
      <c r="H714" s="18" t="s">
        <v>13</v>
      </c>
    </row>
    <row r="715" s="3" customFormat="1" ht="12" spans="1:8">
      <c r="A715" s="18" t="str">
        <f>"202301501"</f>
        <v>202301501</v>
      </c>
      <c r="B715" s="18" t="str">
        <f t="shared" si="129"/>
        <v>021</v>
      </c>
      <c r="C715" s="18" t="str">
        <f>"15"</f>
        <v>15</v>
      </c>
      <c r="D715" s="14" t="s">
        <v>32</v>
      </c>
      <c r="E715" s="14" t="s">
        <v>30</v>
      </c>
      <c r="F715" s="19">
        <v>0</v>
      </c>
      <c r="G715" s="20">
        <f>SUMPRODUCT(--((B715=$B$4:$B$717)*$F$4:$F$717&gt;F715))+1</f>
        <v>14</v>
      </c>
      <c r="H715" s="18" t="s">
        <v>13</v>
      </c>
    </row>
    <row r="716" s="3" customFormat="1" ht="12" spans="1:8">
      <c r="A716" s="14" t="str">
        <f>"202301028"</f>
        <v>202301028</v>
      </c>
      <c r="B716" s="14" t="str">
        <f>"022"</f>
        <v>022</v>
      </c>
      <c r="C716" s="14" t="str">
        <f>"10"</f>
        <v>10</v>
      </c>
      <c r="D716" s="14" t="s">
        <v>33</v>
      </c>
      <c r="E716" s="14" t="s">
        <v>34</v>
      </c>
      <c r="F716" s="16">
        <v>68.17</v>
      </c>
      <c r="G716" s="17">
        <f>SUMPRODUCT(--((B716=$B$4:$B$717)*$F$4:$F$717&gt;F716))+1</f>
        <v>1</v>
      </c>
      <c r="H716" s="18" t="s">
        <v>12</v>
      </c>
    </row>
    <row r="717" s="3" customFormat="1" ht="12" spans="1:8">
      <c r="A717" s="18" t="str">
        <f>"202301027"</f>
        <v>202301027</v>
      </c>
      <c r="B717" s="18" t="str">
        <f>"022"</f>
        <v>022</v>
      </c>
      <c r="C717" s="18" t="str">
        <f>"10"</f>
        <v>10</v>
      </c>
      <c r="D717" s="14" t="s">
        <v>33</v>
      </c>
      <c r="E717" s="14" t="s">
        <v>34</v>
      </c>
      <c r="F717" s="19">
        <v>0</v>
      </c>
      <c r="G717" s="20">
        <f>SUMPRODUCT(--((B717=$B$4:$B$717)*$F$4:$F$717&gt;F717))+1</f>
        <v>2</v>
      </c>
      <c r="H717" s="18" t="s">
        <v>13</v>
      </c>
    </row>
    <row r="718" s="3" customFormat="1" ht="12" spans="5:7">
      <c r="E718" s="21"/>
      <c r="F718" s="3"/>
      <c r="G718" s="22"/>
    </row>
    <row r="719" s="1" customFormat="1" spans="5:7">
      <c r="E719" s="4"/>
      <c r="G719" s="5"/>
    </row>
  </sheetData>
  <autoFilter ref="A3:H717">
    <extLst/>
  </autoFilter>
  <mergeCells count="2">
    <mergeCell ref="A1:H1"/>
    <mergeCell ref="A2:H2"/>
  </mergeCells>
  <printOptions horizontalCentered="1" verticalCentered="1"/>
  <pageMargins left="0.196527777777778" right="0.196527777777778" top="0.66875" bottom="0.432638888888889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liuha</cp:lastModifiedBy>
  <dcterms:created xsi:type="dcterms:W3CDTF">2023-08-04T15:11:00Z</dcterms:created>
  <dcterms:modified xsi:type="dcterms:W3CDTF">2023-08-05T00:49:54Z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4BD8166299BB46A19862DE0E2694C11D_11</vt:lpwstr>
  </property>
  <property fmtid="{D5CDD505-2E9C-101B-9397-08002B2CF9AE}" pid="3" name="KSOProductBuildVer">
    <vt:lpwstr>2052-11.1.0.14036</vt:lpwstr>
  </property>
</Properties>
</file>