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<sst xmlns="http://schemas.openxmlformats.org/spreadsheetml/2006/main" count="105" uniqueCount="24">
  <si>
    <t>万宁市2023年度政府专职消防员招聘考试综合成绩</t>
  </si>
  <si>
    <t>序号</t>
  </si>
  <si>
    <t>报考岗位</t>
  </si>
  <si>
    <t>报考号</t>
  </si>
  <si>
    <t>姓名</t>
  </si>
  <si>
    <t>笔试成绩</t>
  </si>
  <si>
    <t>体测成绩</t>
  </si>
  <si>
    <t>笔试转化成绩</t>
  </si>
  <si>
    <t>体测转化成绩</t>
  </si>
  <si>
    <t>笔试+体测综合成绩</t>
  </si>
  <si>
    <t>面试成绩</t>
  </si>
  <si>
    <t>面试转化成绩</t>
  </si>
  <si>
    <t>综合成绩</t>
  </si>
  <si>
    <t>备注</t>
  </si>
  <si>
    <t>0101_战斗员</t>
  </si>
  <si>
    <t>缺考</t>
  </si>
  <si>
    <t>0102_全职消防管理员</t>
  </si>
  <si>
    <t>王根宝</t>
  </si>
  <si>
    <t>张文道</t>
  </si>
  <si>
    <t>陈道良</t>
  </si>
  <si>
    <t>李迟</t>
  </si>
  <si>
    <t>符芳英</t>
  </si>
  <si>
    <t>蔡汝纬</t>
  </si>
  <si>
    <t>李崇用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</si>
</sst>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"/>
      <family val="3"/>
    </font>
    <font>
      <sz val="22"/>
      <color indexed="8"/>
      <name val="仿宋"/>
      <family val="3"/>
    </font>
    <font>
      <sz val="14"/>
      <color indexed="8"/>
      <name val="仿宋"/>
      <family val="3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sz val="22"/>
      <color theme="1"/>
      <name val="仿宋"/>
      <family val="3"/>
    </font>
    <font>
      <sz val="14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24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176" fontId="43" fillId="0" borderId="0" xfId="0" applyNumberFormat="1" applyFont="1" applyAlignment="1">
      <alignment/>
    </xf>
    <xf numFmtId="0" fontId="44" fillId="0" borderId="9" xfId="0" applyFont="1" applyBorder="1" applyAlignment="1">
      <alignment horizontal="center" wrapText="1"/>
    </xf>
    <xf numFmtId="0" fontId="43" fillId="0" borderId="9" xfId="0" applyFont="1" applyBorder="1" applyAlignment="1">
      <alignment horizontal="center" wrapText="1"/>
    </xf>
    <xf numFmtId="0" fontId="43" fillId="0" borderId="9" xfId="0" applyFont="1" applyBorder="1" applyAlignment="1">
      <alignment horizontal="center"/>
    </xf>
    <xf numFmtId="0" fontId="45" fillId="33" borderId="9" xfId="0" applyFont="1" applyFill="1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 wrapText="1"/>
    </xf>
    <xf numFmtId="176" fontId="43" fillId="0" borderId="9" xfId="0" applyNumberFormat="1" applyFont="1" applyBorder="1" applyAlignment="1">
      <alignment horizontal="center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SheetLayoutView="100" workbookViewId="0" topLeftCell="A1">
      <selection activeCell="A1" sqref="A1:M1"/>
    </sheetView>
  </sheetViews>
  <sheetFormatPr defaultColWidth="9.00390625" defaultRowHeight="15"/>
  <cols>
    <col min="1" max="1" width="4.7109375" style="2" customWidth="1"/>
    <col min="2" max="2" width="18.8515625" style="2" customWidth="1"/>
    <col min="3" max="3" width="25.28125" style="2" customWidth="1"/>
    <col min="4" max="4" width="8.7109375" style="2" bestFit="1" customWidth="1"/>
    <col min="5" max="5" width="7.8515625" style="2" customWidth="1"/>
    <col min="6" max="6" width="8.421875" style="2" customWidth="1"/>
    <col min="7" max="7" width="11.28125" style="2" customWidth="1"/>
    <col min="8" max="8" width="11.57421875" style="2" customWidth="1"/>
    <col min="9" max="9" width="17.28125" style="2" customWidth="1"/>
    <col min="10" max="10" width="8.28125" style="2" customWidth="1"/>
    <col min="11" max="11" width="11.140625" style="2" customWidth="1"/>
    <col min="12" max="12" width="8.140625" style="3" customWidth="1"/>
    <col min="13" max="13" width="9.7109375" style="2" customWidth="1"/>
    <col min="14" max="16384" width="8.7109375" style="2" bestFit="1" customWidth="1"/>
  </cols>
  <sheetData>
    <row r="1" spans="1:13" ht="35.2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22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10" t="s">
        <v>12</v>
      </c>
      <c r="M2" s="6" t="s">
        <v>13</v>
      </c>
    </row>
    <row r="3" spans="1:13" ht="17.25">
      <c r="A3" s="7">
        <v>1</v>
      </c>
      <c r="B3" s="8" t="s">
        <v>14</v>
      </c>
      <c r="C3" s="8" t="str">
        <f>"546720230730004138123748"</f>
        <v>546720230730004138123748</v>
      </c>
      <c r="D3" s="8" t="str">
        <f>"夏治熙"</f>
        <v>夏治熙</v>
      </c>
      <c r="E3" s="9">
        <v>62.1</v>
      </c>
      <c r="F3" s="9">
        <v>86.57</v>
      </c>
      <c r="G3" s="9">
        <f aca="true" t="shared" si="0" ref="G3:G6">E3*0.2</f>
        <v>12.420000000000002</v>
      </c>
      <c r="H3" s="9">
        <f aca="true" t="shared" si="1" ref="H3:H6">F3*0.5</f>
        <v>43.285</v>
      </c>
      <c r="I3" s="9">
        <f aca="true" t="shared" si="2" ref="I3:I5">G3+H3</f>
        <v>55.705</v>
      </c>
      <c r="J3" s="11">
        <v>80</v>
      </c>
      <c r="K3" s="12">
        <f>J3*30%</f>
        <v>24</v>
      </c>
      <c r="L3" s="10">
        <f>I3+K3</f>
        <v>79.705</v>
      </c>
      <c r="M3" s="6"/>
    </row>
    <row r="4" spans="1:13" ht="17.25">
      <c r="A4" s="7">
        <v>2</v>
      </c>
      <c r="B4" s="8" t="s">
        <v>14</v>
      </c>
      <c r="C4" s="8" t="str">
        <f>"546720230729122329123718"</f>
        <v>546720230729122329123718</v>
      </c>
      <c r="D4" s="8" t="str">
        <f>"李贵壮"</f>
        <v>李贵壮</v>
      </c>
      <c r="E4" s="9">
        <v>32.4</v>
      </c>
      <c r="F4" s="9">
        <v>97.37</v>
      </c>
      <c r="G4" s="9">
        <f t="shared" si="0"/>
        <v>6.48</v>
      </c>
      <c r="H4" s="9">
        <f t="shared" si="1"/>
        <v>48.685</v>
      </c>
      <c r="I4" s="9">
        <f t="shared" si="2"/>
        <v>55.165000000000006</v>
      </c>
      <c r="J4" s="11">
        <v>79.67</v>
      </c>
      <c r="K4" s="12">
        <f aca="true" t="shared" si="3" ref="K4:K36">J4*30%</f>
        <v>23.901</v>
      </c>
      <c r="L4" s="10">
        <f aca="true" t="shared" si="4" ref="L4:L64">I4+K4</f>
        <v>79.066</v>
      </c>
      <c r="M4" s="6"/>
    </row>
    <row r="5" spans="1:13" ht="17.25">
      <c r="A5" s="7">
        <v>3</v>
      </c>
      <c r="B5" s="8" t="s">
        <v>14</v>
      </c>
      <c r="C5" s="8" t="str">
        <f>"546720230728114808123635"</f>
        <v>546720230728114808123635</v>
      </c>
      <c r="D5" s="8" t="str">
        <f>"麦家富"</f>
        <v>麦家富</v>
      </c>
      <c r="E5" s="9">
        <v>41.9</v>
      </c>
      <c r="F5" s="9">
        <v>87.4</v>
      </c>
      <c r="G5" s="9">
        <f t="shared" si="0"/>
        <v>8.38</v>
      </c>
      <c r="H5" s="9">
        <f t="shared" si="1"/>
        <v>43.7</v>
      </c>
      <c r="I5" s="9">
        <f t="shared" si="2"/>
        <v>52.080000000000005</v>
      </c>
      <c r="J5" s="11">
        <v>64.67</v>
      </c>
      <c r="K5" s="12">
        <f t="shared" si="3"/>
        <v>19.401</v>
      </c>
      <c r="L5" s="10">
        <f t="shared" si="4"/>
        <v>71.48100000000001</v>
      </c>
      <c r="M5" s="6"/>
    </row>
    <row r="6" spans="1:13" ht="17.25">
      <c r="A6" s="7">
        <v>4</v>
      </c>
      <c r="B6" s="8" t="s">
        <v>14</v>
      </c>
      <c r="C6" s="8" t="str">
        <f>"546720230728213848123687"</f>
        <v>546720230728213848123687</v>
      </c>
      <c r="D6" s="8" t="str">
        <f>"陈琼龙"</f>
        <v>陈琼龙</v>
      </c>
      <c r="E6" s="9">
        <v>55.7</v>
      </c>
      <c r="F6" s="9">
        <v>78.4</v>
      </c>
      <c r="G6" s="9">
        <f t="shared" si="0"/>
        <v>11.14</v>
      </c>
      <c r="H6" s="9">
        <f t="shared" si="1"/>
        <v>39.2</v>
      </c>
      <c r="I6" s="9">
        <f aca="true" t="shared" si="5" ref="I6:I12">G6+H6</f>
        <v>50.34</v>
      </c>
      <c r="J6" s="11">
        <v>82.33</v>
      </c>
      <c r="K6" s="12">
        <f t="shared" si="3"/>
        <v>24.698999999999998</v>
      </c>
      <c r="L6" s="10">
        <f t="shared" si="4"/>
        <v>75.039</v>
      </c>
      <c r="M6" s="6"/>
    </row>
    <row r="7" spans="1:13" ht="17.25">
      <c r="A7" s="7">
        <v>5</v>
      </c>
      <c r="B7" s="8" t="s">
        <v>14</v>
      </c>
      <c r="C7" s="8" t="str">
        <f>"546720230801225631123811"</f>
        <v>546720230801225631123811</v>
      </c>
      <c r="D7" s="8" t="str">
        <f>"吴伟"</f>
        <v>吴伟</v>
      </c>
      <c r="E7" s="9">
        <v>33.8</v>
      </c>
      <c r="F7" s="9">
        <v>84.5</v>
      </c>
      <c r="G7" s="9">
        <f aca="true" t="shared" si="6" ref="G7:G12">E7*0.2</f>
        <v>6.76</v>
      </c>
      <c r="H7" s="9">
        <f aca="true" t="shared" si="7" ref="H7:H12">F7*0.5</f>
        <v>42.25</v>
      </c>
      <c r="I7" s="9">
        <f t="shared" si="5"/>
        <v>49.01</v>
      </c>
      <c r="J7" s="11">
        <v>81.33</v>
      </c>
      <c r="K7" s="12">
        <f t="shared" si="3"/>
        <v>24.398999999999997</v>
      </c>
      <c r="L7" s="10">
        <f t="shared" si="4"/>
        <v>73.40899999999999</v>
      </c>
      <c r="M7" s="6"/>
    </row>
    <row r="8" spans="1:13" ht="17.25">
      <c r="A8" s="7">
        <v>6</v>
      </c>
      <c r="B8" s="8" t="s">
        <v>14</v>
      </c>
      <c r="C8" s="8" t="str">
        <f>"546720230729105051123712"</f>
        <v>546720230729105051123712</v>
      </c>
      <c r="D8" s="8" t="str">
        <f>"吴乾飞"</f>
        <v>吴乾飞</v>
      </c>
      <c r="E8" s="9">
        <v>59</v>
      </c>
      <c r="F8" s="9">
        <v>71.4</v>
      </c>
      <c r="G8" s="9">
        <f t="shared" si="6"/>
        <v>11.8</v>
      </c>
      <c r="H8" s="9">
        <f t="shared" si="7"/>
        <v>35.7</v>
      </c>
      <c r="I8" s="9">
        <f t="shared" si="5"/>
        <v>47.5</v>
      </c>
      <c r="J8" s="11">
        <v>85.33</v>
      </c>
      <c r="K8" s="12">
        <f t="shared" si="3"/>
        <v>25.599</v>
      </c>
      <c r="L8" s="10">
        <f t="shared" si="4"/>
        <v>73.099</v>
      </c>
      <c r="M8" s="6"/>
    </row>
    <row r="9" spans="1:13" ht="17.25">
      <c r="A9" s="7">
        <v>7</v>
      </c>
      <c r="B9" s="8" t="s">
        <v>14</v>
      </c>
      <c r="C9" s="8" t="str">
        <f>"546720230729211306123743"</f>
        <v>546720230729211306123743</v>
      </c>
      <c r="D9" s="8" t="str">
        <f>"曾祥健"</f>
        <v>曾祥健</v>
      </c>
      <c r="E9" s="9">
        <v>26.3</v>
      </c>
      <c r="F9" s="9">
        <v>81.7</v>
      </c>
      <c r="G9" s="9">
        <f t="shared" si="6"/>
        <v>5.260000000000001</v>
      </c>
      <c r="H9" s="9">
        <f t="shared" si="7"/>
        <v>40.85</v>
      </c>
      <c r="I9" s="9">
        <f t="shared" si="5"/>
        <v>46.11</v>
      </c>
      <c r="J9" s="11" t="s">
        <v>15</v>
      </c>
      <c r="K9" s="11" t="s">
        <v>15</v>
      </c>
      <c r="L9" s="11">
        <v>46.11</v>
      </c>
      <c r="M9" s="6"/>
    </row>
    <row r="10" spans="1:13" ht="17.25">
      <c r="A10" s="7">
        <v>8</v>
      </c>
      <c r="B10" s="8" t="s">
        <v>14</v>
      </c>
      <c r="C10" s="8" t="str">
        <f>"546720230728121718123642"</f>
        <v>546720230728121718123642</v>
      </c>
      <c r="D10" s="8" t="str">
        <f>"黎昌演"</f>
        <v>黎昌演</v>
      </c>
      <c r="E10" s="9">
        <v>58.4</v>
      </c>
      <c r="F10" s="9">
        <v>54</v>
      </c>
      <c r="G10" s="9">
        <f t="shared" si="6"/>
        <v>11.68</v>
      </c>
      <c r="H10" s="9">
        <f t="shared" si="7"/>
        <v>27</v>
      </c>
      <c r="I10" s="9">
        <f t="shared" si="5"/>
        <v>38.68</v>
      </c>
      <c r="J10" s="11">
        <v>86</v>
      </c>
      <c r="K10" s="12">
        <f t="shared" si="3"/>
        <v>25.8</v>
      </c>
      <c r="L10" s="10">
        <f t="shared" si="4"/>
        <v>64.48</v>
      </c>
      <c r="M10" s="6"/>
    </row>
    <row r="11" spans="1:13" ht="17.25">
      <c r="A11" s="7">
        <v>9</v>
      </c>
      <c r="B11" s="8" t="s">
        <v>14</v>
      </c>
      <c r="C11" s="8" t="str">
        <f>"546720230731181936123784"</f>
        <v>546720230731181936123784</v>
      </c>
      <c r="D11" s="8" t="str">
        <f>"李光骏"</f>
        <v>李光骏</v>
      </c>
      <c r="E11" s="9">
        <v>35.9</v>
      </c>
      <c r="F11" s="9">
        <v>75.3</v>
      </c>
      <c r="G11" s="9">
        <f t="shared" si="6"/>
        <v>7.18</v>
      </c>
      <c r="H11" s="9">
        <f t="shared" si="7"/>
        <v>37.65</v>
      </c>
      <c r="I11" s="9">
        <f t="shared" si="5"/>
        <v>44.83</v>
      </c>
      <c r="J11" s="11">
        <v>62</v>
      </c>
      <c r="K11" s="12">
        <f t="shared" si="3"/>
        <v>18.599999999999998</v>
      </c>
      <c r="L11" s="10">
        <f t="shared" si="4"/>
        <v>63.42999999999999</v>
      </c>
      <c r="M11" s="6"/>
    </row>
    <row r="12" spans="1:13" ht="17.25">
      <c r="A12" s="7">
        <v>10</v>
      </c>
      <c r="B12" s="8" t="s">
        <v>14</v>
      </c>
      <c r="C12" s="8" t="str">
        <f>"546720230728113717123631"</f>
        <v>546720230728113717123631</v>
      </c>
      <c r="D12" s="8" t="str">
        <f>"叶子龙"</f>
        <v>叶子龙</v>
      </c>
      <c r="E12" s="9">
        <v>32.9</v>
      </c>
      <c r="F12" s="9">
        <v>78.55</v>
      </c>
      <c r="G12" s="9">
        <f t="shared" si="6"/>
        <v>6.58</v>
      </c>
      <c r="H12" s="9">
        <f t="shared" si="7"/>
        <v>39.275</v>
      </c>
      <c r="I12" s="9">
        <f t="shared" si="5"/>
        <v>45.855</v>
      </c>
      <c r="J12" s="11">
        <v>85.67</v>
      </c>
      <c r="K12" s="12">
        <f t="shared" si="3"/>
        <v>25.701</v>
      </c>
      <c r="L12" s="10">
        <f t="shared" si="4"/>
        <v>71.556</v>
      </c>
      <c r="M12" s="6"/>
    </row>
    <row r="13" spans="1:13" ht="17.25">
      <c r="A13" s="7"/>
      <c r="B13" s="8"/>
      <c r="C13" s="8"/>
      <c r="D13" s="8"/>
      <c r="E13" s="6"/>
      <c r="F13" s="6"/>
      <c r="G13" s="6"/>
      <c r="H13" s="6"/>
      <c r="I13" s="6"/>
      <c r="J13" s="11"/>
      <c r="K13" s="12"/>
      <c r="L13" s="10"/>
      <c r="M13" s="6"/>
    </row>
    <row r="14" spans="1:13" ht="17.25">
      <c r="A14" s="7">
        <v>1</v>
      </c>
      <c r="B14" s="8" t="s">
        <v>16</v>
      </c>
      <c r="C14" s="8" t="str">
        <f>"546720230802214731123828"</f>
        <v>546720230802214731123828</v>
      </c>
      <c r="D14" s="8" t="str">
        <f>"赵斌强"</f>
        <v>赵斌强</v>
      </c>
      <c r="E14" s="9">
        <v>33</v>
      </c>
      <c r="F14" s="9">
        <v>19</v>
      </c>
      <c r="G14" s="9">
        <f aca="true" t="shared" si="8" ref="G14:G33">E14*0.2</f>
        <v>6.6000000000000005</v>
      </c>
      <c r="H14" s="9">
        <f aca="true" t="shared" si="9" ref="H14:H33">F14*0.5</f>
        <v>9.5</v>
      </c>
      <c r="I14" s="9">
        <f aca="true" t="shared" si="10" ref="I14:I25">G14+H14</f>
        <v>16.1</v>
      </c>
      <c r="J14" s="11" t="s">
        <v>15</v>
      </c>
      <c r="K14" s="11" t="s">
        <v>15</v>
      </c>
      <c r="L14" s="11">
        <v>16.1</v>
      </c>
      <c r="M14" s="6"/>
    </row>
    <row r="15" spans="1:13" ht="17.25">
      <c r="A15" s="7">
        <v>2</v>
      </c>
      <c r="B15" s="8" t="s">
        <v>16</v>
      </c>
      <c r="C15" s="8" t="str">
        <f>"546720230731152011123781"</f>
        <v>546720230731152011123781</v>
      </c>
      <c r="D15" s="8" t="str">
        <f>"莫颜先"</f>
        <v>莫颜先</v>
      </c>
      <c r="E15" s="9">
        <v>34.6</v>
      </c>
      <c r="F15" s="9">
        <v>77.37</v>
      </c>
      <c r="G15" s="9">
        <f t="shared" si="8"/>
        <v>6.920000000000001</v>
      </c>
      <c r="H15" s="9">
        <f t="shared" si="9"/>
        <v>38.685</v>
      </c>
      <c r="I15" s="9">
        <f t="shared" si="10"/>
        <v>45.605000000000004</v>
      </c>
      <c r="J15" s="11">
        <v>70</v>
      </c>
      <c r="K15" s="12">
        <f t="shared" si="3"/>
        <v>21</v>
      </c>
      <c r="L15" s="10">
        <f t="shared" si="4"/>
        <v>66.605</v>
      </c>
      <c r="M15" s="6"/>
    </row>
    <row r="16" spans="1:13" ht="17.25">
      <c r="A16" s="7">
        <v>3</v>
      </c>
      <c r="B16" s="8" t="s">
        <v>16</v>
      </c>
      <c r="C16" s="8" t="str">
        <f>"546720230728114621123634"</f>
        <v>546720230728114621123634</v>
      </c>
      <c r="D16" s="8" t="str">
        <f>"罗亚龙"</f>
        <v>罗亚龙</v>
      </c>
      <c r="E16" s="9">
        <v>29.7</v>
      </c>
      <c r="F16" s="9">
        <v>81.4</v>
      </c>
      <c r="G16" s="9">
        <f t="shared" si="8"/>
        <v>5.94</v>
      </c>
      <c r="H16" s="9">
        <f t="shared" si="9"/>
        <v>40.7</v>
      </c>
      <c r="I16" s="9">
        <f t="shared" si="10"/>
        <v>46.64</v>
      </c>
      <c r="J16" s="11">
        <v>71.67</v>
      </c>
      <c r="K16" s="12">
        <f t="shared" si="3"/>
        <v>21.501</v>
      </c>
      <c r="L16" s="10">
        <f t="shared" si="4"/>
        <v>68.141</v>
      </c>
      <c r="M16" s="6"/>
    </row>
    <row r="17" spans="1:13" ht="17.25">
      <c r="A17" s="7">
        <v>4</v>
      </c>
      <c r="B17" s="8" t="s">
        <v>16</v>
      </c>
      <c r="C17" s="8" t="str">
        <f>"546720230729182439123739"</f>
        <v>546720230729182439123739</v>
      </c>
      <c r="D17" s="8" t="str">
        <f>"王诗明"</f>
        <v>王诗明</v>
      </c>
      <c r="E17" s="9">
        <v>32.7</v>
      </c>
      <c r="F17" s="9">
        <v>73.8</v>
      </c>
      <c r="G17" s="9">
        <f t="shared" si="8"/>
        <v>6.540000000000001</v>
      </c>
      <c r="H17" s="9">
        <f t="shared" si="9"/>
        <v>36.9</v>
      </c>
      <c r="I17" s="9">
        <f t="shared" si="10"/>
        <v>43.44</v>
      </c>
      <c r="J17" s="11">
        <v>75.33</v>
      </c>
      <c r="K17" s="12">
        <f t="shared" si="3"/>
        <v>22.599</v>
      </c>
      <c r="L17" s="10">
        <f t="shared" si="4"/>
        <v>66.039</v>
      </c>
      <c r="M17" s="6"/>
    </row>
    <row r="18" spans="1:13" ht="17.25">
      <c r="A18" s="7">
        <v>5</v>
      </c>
      <c r="B18" s="8" t="s">
        <v>16</v>
      </c>
      <c r="C18" s="8" t="str">
        <f>"546720230728164336123667"</f>
        <v>546720230728164336123667</v>
      </c>
      <c r="D18" s="8" t="str">
        <f>"韦周旭"</f>
        <v>韦周旭</v>
      </c>
      <c r="E18" s="9">
        <v>28.3</v>
      </c>
      <c r="F18" s="9">
        <v>69.7</v>
      </c>
      <c r="G18" s="9">
        <f t="shared" si="8"/>
        <v>5.66</v>
      </c>
      <c r="H18" s="9">
        <f t="shared" si="9"/>
        <v>34.85</v>
      </c>
      <c r="I18" s="9">
        <f t="shared" si="10"/>
        <v>40.510000000000005</v>
      </c>
      <c r="J18" s="11">
        <v>66</v>
      </c>
      <c r="K18" s="12">
        <f t="shared" si="3"/>
        <v>19.8</v>
      </c>
      <c r="L18" s="10">
        <f t="shared" si="4"/>
        <v>60.31</v>
      </c>
      <c r="M18" s="6"/>
    </row>
    <row r="19" spans="1:13" ht="17.25">
      <c r="A19" s="7">
        <v>6</v>
      </c>
      <c r="B19" s="8" t="s">
        <v>16</v>
      </c>
      <c r="C19" s="8" t="str">
        <f>"546720230728113826123632"</f>
        <v>546720230728113826123632</v>
      </c>
      <c r="D19" s="8" t="str">
        <f>"陈德志"</f>
        <v>陈德志</v>
      </c>
      <c r="E19" s="9">
        <v>54.7</v>
      </c>
      <c r="F19" s="9">
        <v>82</v>
      </c>
      <c r="G19" s="9">
        <f t="shared" si="8"/>
        <v>10.940000000000001</v>
      </c>
      <c r="H19" s="9">
        <f t="shared" si="9"/>
        <v>41</v>
      </c>
      <c r="I19" s="9">
        <f t="shared" si="10"/>
        <v>51.94</v>
      </c>
      <c r="J19" s="11">
        <v>77.67</v>
      </c>
      <c r="K19" s="12">
        <f t="shared" si="3"/>
        <v>23.301</v>
      </c>
      <c r="L19" s="10">
        <f t="shared" si="4"/>
        <v>75.241</v>
      </c>
      <c r="M19" s="6"/>
    </row>
    <row r="20" spans="1:13" ht="17.25">
      <c r="A20" s="7">
        <v>7</v>
      </c>
      <c r="B20" s="8" t="s">
        <v>16</v>
      </c>
      <c r="C20" s="8" t="str">
        <f>"546720230728115654123637"</f>
        <v>546720230728115654123637</v>
      </c>
      <c r="D20" s="8" t="str">
        <f>"陈道熙"</f>
        <v>陈道熙</v>
      </c>
      <c r="E20" s="9">
        <v>38.5</v>
      </c>
      <c r="F20" s="9">
        <v>60</v>
      </c>
      <c r="G20" s="9">
        <f t="shared" si="8"/>
        <v>7.7</v>
      </c>
      <c r="H20" s="9">
        <f t="shared" si="9"/>
        <v>30</v>
      </c>
      <c r="I20" s="9">
        <f t="shared" si="10"/>
        <v>37.7</v>
      </c>
      <c r="J20" s="11">
        <v>88.67</v>
      </c>
      <c r="K20" s="12">
        <f t="shared" si="3"/>
        <v>26.601</v>
      </c>
      <c r="L20" s="10">
        <f t="shared" si="4"/>
        <v>64.301</v>
      </c>
      <c r="M20" s="6"/>
    </row>
    <row r="21" spans="1:13" ht="17.25">
      <c r="A21" s="7">
        <v>8</v>
      </c>
      <c r="B21" s="8" t="s">
        <v>16</v>
      </c>
      <c r="C21" s="8" t="str">
        <f>"546720230729192422123741"</f>
        <v>546720230729192422123741</v>
      </c>
      <c r="D21" s="8" t="s">
        <v>17</v>
      </c>
      <c r="E21" s="9">
        <v>44.9</v>
      </c>
      <c r="F21" s="9">
        <v>0</v>
      </c>
      <c r="G21" s="9">
        <f t="shared" si="8"/>
        <v>8.98</v>
      </c>
      <c r="H21" s="9">
        <f t="shared" si="9"/>
        <v>0</v>
      </c>
      <c r="I21" s="9">
        <f t="shared" si="10"/>
        <v>8.98</v>
      </c>
      <c r="J21" s="11">
        <v>63.33</v>
      </c>
      <c r="K21" s="12">
        <f t="shared" si="3"/>
        <v>18.999</v>
      </c>
      <c r="L21" s="10">
        <f t="shared" si="4"/>
        <v>27.979</v>
      </c>
      <c r="M21" s="6"/>
    </row>
    <row r="22" spans="1:13" ht="17.25">
      <c r="A22" s="7">
        <v>9</v>
      </c>
      <c r="B22" s="8" t="s">
        <v>16</v>
      </c>
      <c r="C22" s="8" t="str">
        <f>"546720230728144337123655"</f>
        <v>546720230728144337123655</v>
      </c>
      <c r="D22" s="8" t="str">
        <f>"黄在磊"</f>
        <v>黄在磊</v>
      </c>
      <c r="E22" s="9">
        <v>46.8</v>
      </c>
      <c r="F22" s="9">
        <v>96.8</v>
      </c>
      <c r="G22" s="9">
        <f t="shared" si="8"/>
        <v>9.36</v>
      </c>
      <c r="H22" s="9">
        <f t="shared" si="9"/>
        <v>48.4</v>
      </c>
      <c r="I22" s="9">
        <f t="shared" si="10"/>
        <v>57.76</v>
      </c>
      <c r="J22" s="11">
        <v>78.33</v>
      </c>
      <c r="K22" s="12">
        <f t="shared" si="3"/>
        <v>23.499</v>
      </c>
      <c r="L22" s="10">
        <f t="shared" si="4"/>
        <v>81.259</v>
      </c>
      <c r="M22" s="6"/>
    </row>
    <row r="23" spans="1:13" ht="17.25">
      <c r="A23" s="7">
        <v>10</v>
      </c>
      <c r="B23" s="8" t="s">
        <v>16</v>
      </c>
      <c r="C23" s="8" t="str">
        <f>"546720230730225401123769"</f>
        <v>546720230730225401123769</v>
      </c>
      <c r="D23" s="8" t="s">
        <v>18</v>
      </c>
      <c r="E23" s="9">
        <v>48.2</v>
      </c>
      <c r="F23" s="9">
        <v>41</v>
      </c>
      <c r="G23" s="9">
        <f t="shared" si="8"/>
        <v>9.64</v>
      </c>
      <c r="H23" s="9">
        <f t="shared" si="9"/>
        <v>20.5</v>
      </c>
      <c r="I23" s="9">
        <f t="shared" si="10"/>
        <v>30.14</v>
      </c>
      <c r="J23" s="11">
        <v>67.33</v>
      </c>
      <c r="K23" s="12">
        <f t="shared" si="3"/>
        <v>20.198999999999998</v>
      </c>
      <c r="L23" s="10">
        <f t="shared" si="4"/>
        <v>50.339</v>
      </c>
      <c r="M23" s="6"/>
    </row>
    <row r="24" spans="1:13" ht="17.25">
      <c r="A24" s="7">
        <v>11</v>
      </c>
      <c r="B24" s="8" t="s">
        <v>16</v>
      </c>
      <c r="C24" s="8" t="str">
        <f>"546720230731134947123780"</f>
        <v>546720230731134947123780</v>
      </c>
      <c r="D24" s="8" t="str">
        <f>"钟明材"</f>
        <v>钟明材</v>
      </c>
      <c r="E24" s="9">
        <v>34.8</v>
      </c>
      <c r="F24" s="9">
        <v>45</v>
      </c>
      <c r="G24" s="9">
        <f t="shared" si="8"/>
        <v>6.96</v>
      </c>
      <c r="H24" s="9">
        <f t="shared" si="9"/>
        <v>22.5</v>
      </c>
      <c r="I24" s="9">
        <f t="shared" si="10"/>
        <v>29.46</v>
      </c>
      <c r="J24" s="11">
        <v>68.67</v>
      </c>
      <c r="K24" s="12">
        <f t="shared" si="3"/>
        <v>20.601</v>
      </c>
      <c r="L24" s="10">
        <f t="shared" si="4"/>
        <v>50.061</v>
      </c>
      <c r="M24" s="6"/>
    </row>
    <row r="25" spans="1:13" ht="17.25">
      <c r="A25" s="7">
        <v>12</v>
      </c>
      <c r="B25" s="8" t="s">
        <v>16</v>
      </c>
      <c r="C25" s="8" t="str">
        <f>"546720230728221038123690"</f>
        <v>546720230728221038123690</v>
      </c>
      <c r="D25" s="8" t="str">
        <f>"何传森"</f>
        <v>何传森</v>
      </c>
      <c r="E25" s="9">
        <v>53</v>
      </c>
      <c r="F25" s="9">
        <v>99.8</v>
      </c>
      <c r="G25" s="9">
        <f t="shared" si="8"/>
        <v>10.600000000000001</v>
      </c>
      <c r="H25" s="9">
        <f t="shared" si="9"/>
        <v>49.9</v>
      </c>
      <c r="I25" s="9">
        <f t="shared" si="10"/>
        <v>60.5</v>
      </c>
      <c r="J25" s="11" t="s">
        <v>15</v>
      </c>
      <c r="K25" s="11" t="s">
        <v>15</v>
      </c>
      <c r="L25" s="10">
        <v>60.5</v>
      </c>
      <c r="M25" s="6"/>
    </row>
    <row r="26" spans="1:13" ht="17.25">
      <c r="A26" s="7">
        <v>13</v>
      </c>
      <c r="B26" s="8" t="s">
        <v>16</v>
      </c>
      <c r="C26" s="8" t="str">
        <f>"546720230730213026123767"</f>
        <v>546720230730213026123767</v>
      </c>
      <c r="D26" s="8" t="s">
        <v>19</v>
      </c>
      <c r="E26" s="9">
        <v>48.7</v>
      </c>
      <c r="F26" s="9">
        <v>0</v>
      </c>
      <c r="G26" s="9">
        <f t="shared" si="8"/>
        <v>9.740000000000002</v>
      </c>
      <c r="H26" s="9">
        <f t="shared" si="9"/>
        <v>0</v>
      </c>
      <c r="I26" s="9">
        <v>9.16</v>
      </c>
      <c r="J26" s="11">
        <v>75.67</v>
      </c>
      <c r="K26" s="12">
        <f t="shared" si="3"/>
        <v>22.701</v>
      </c>
      <c r="L26" s="10">
        <f t="shared" si="4"/>
        <v>31.861</v>
      </c>
      <c r="M26" s="6"/>
    </row>
    <row r="27" spans="1:13" ht="17.25">
      <c r="A27" s="7">
        <v>14</v>
      </c>
      <c r="B27" s="8" t="s">
        <v>16</v>
      </c>
      <c r="C27" s="8" t="str">
        <f>"546720230729001557123697"</f>
        <v>546720230729001557123697</v>
      </c>
      <c r="D27" s="8" t="str">
        <f>"王德昌"</f>
        <v>王德昌</v>
      </c>
      <c r="E27" s="9">
        <v>37.8</v>
      </c>
      <c r="F27" s="9">
        <v>91.2</v>
      </c>
      <c r="G27" s="9">
        <f t="shared" si="8"/>
        <v>7.56</v>
      </c>
      <c r="H27" s="9">
        <f t="shared" si="9"/>
        <v>45.6</v>
      </c>
      <c r="I27" s="9">
        <f aca="true" t="shared" si="11" ref="I27:I56">G27+H27</f>
        <v>53.160000000000004</v>
      </c>
      <c r="J27" s="11">
        <v>74</v>
      </c>
      <c r="K27" s="12">
        <f t="shared" si="3"/>
        <v>22.2</v>
      </c>
      <c r="L27" s="10">
        <f t="shared" si="4"/>
        <v>75.36</v>
      </c>
      <c r="M27" s="6"/>
    </row>
    <row r="28" spans="1:13" ht="17.25">
      <c r="A28" s="7">
        <v>15</v>
      </c>
      <c r="B28" s="8" t="s">
        <v>16</v>
      </c>
      <c r="C28" s="8" t="str">
        <f>"546720230731112124123774"</f>
        <v>546720230731112124123774</v>
      </c>
      <c r="D28" s="8" t="str">
        <f>"龙登善"</f>
        <v>龙登善</v>
      </c>
      <c r="E28" s="9">
        <v>45.1</v>
      </c>
      <c r="F28" s="9">
        <v>85.8</v>
      </c>
      <c r="G28" s="9">
        <f t="shared" si="8"/>
        <v>9.020000000000001</v>
      </c>
      <c r="H28" s="9">
        <f t="shared" si="9"/>
        <v>42.9</v>
      </c>
      <c r="I28" s="9">
        <f t="shared" si="11"/>
        <v>51.92</v>
      </c>
      <c r="J28" s="11">
        <v>70.67</v>
      </c>
      <c r="K28" s="12">
        <f t="shared" si="3"/>
        <v>21.201</v>
      </c>
      <c r="L28" s="10">
        <f t="shared" si="4"/>
        <v>73.12100000000001</v>
      </c>
      <c r="M28" s="6"/>
    </row>
    <row r="29" spans="1:13" ht="17.25">
      <c r="A29" s="7">
        <v>16</v>
      </c>
      <c r="B29" s="8" t="s">
        <v>16</v>
      </c>
      <c r="C29" s="8" t="str">
        <f>"546720230801172430123802"</f>
        <v>546720230801172430123802</v>
      </c>
      <c r="D29" s="8" t="str">
        <f>"唐明奇"</f>
        <v>唐明奇</v>
      </c>
      <c r="E29" s="9">
        <v>42.2</v>
      </c>
      <c r="F29" s="9">
        <v>85.2</v>
      </c>
      <c r="G29" s="9">
        <f t="shared" si="8"/>
        <v>8.440000000000001</v>
      </c>
      <c r="H29" s="9">
        <f t="shared" si="9"/>
        <v>42.6</v>
      </c>
      <c r="I29" s="9">
        <f t="shared" si="11"/>
        <v>51.040000000000006</v>
      </c>
      <c r="J29" s="11">
        <v>77.33</v>
      </c>
      <c r="K29" s="12">
        <f t="shared" si="3"/>
        <v>23.198999999999998</v>
      </c>
      <c r="L29" s="10">
        <f t="shared" si="4"/>
        <v>74.239</v>
      </c>
      <c r="M29" s="6"/>
    </row>
    <row r="30" spans="1:13" ht="17.25">
      <c r="A30" s="7">
        <v>17</v>
      </c>
      <c r="B30" s="8" t="s">
        <v>16</v>
      </c>
      <c r="C30" s="8" t="str">
        <f>"546720230729104959123711"</f>
        <v>546720230729104959123711</v>
      </c>
      <c r="D30" s="8" t="str">
        <f>"韩财定"</f>
        <v>韩财定</v>
      </c>
      <c r="E30" s="9">
        <v>33</v>
      </c>
      <c r="F30" s="9">
        <v>87.6</v>
      </c>
      <c r="G30" s="9">
        <f t="shared" si="8"/>
        <v>6.6000000000000005</v>
      </c>
      <c r="H30" s="9">
        <f t="shared" si="9"/>
        <v>43.8</v>
      </c>
      <c r="I30" s="9">
        <f t="shared" si="11"/>
        <v>50.4</v>
      </c>
      <c r="J30" s="11" t="s">
        <v>15</v>
      </c>
      <c r="K30" s="11" t="s">
        <v>15</v>
      </c>
      <c r="L30" s="10">
        <v>50.4</v>
      </c>
      <c r="M30" s="6"/>
    </row>
    <row r="31" spans="1:13" ht="17.25">
      <c r="A31" s="7">
        <v>18</v>
      </c>
      <c r="B31" s="8" t="s">
        <v>16</v>
      </c>
      <c r="C31" s="8" t="str">
        <f>"546720230728132151123651"</f>
        <v>546720230728132151123651</v>
      </c>
      <c r="D31" s="8" t="str">
        <f>"刘晓光"</f>
        <v>刘晓光</v>
      </c>
      <c r="E31" s="9">
        <v>41.7</v>
      </c>
      <c r="F31" s="9">
        <v>82.87</v>
      </c>
      <c r="G31" s="9">
        <f t="shared" si="8"/>
        <v>8.340000000000002</v>
      </c>
      <c r="H31" s="9">
        <f t="shared" si="9"/>
        <v>41.435</v>
      </c>
      <c r="I31" s="9">
        <f t="shared" si="11"/>
        <v>49.775000000000006</v>
      </c>
      <c r="J31" s="11">
        <v>71.67</v>
      </c>
      <c r="K31" s="12">
        <f t="shared" si="3"/>
        <v>21.501</v>
      </c>
      <c r="L31" s="10">
        <f t="shared" si="4"/>
        <v>71.27600000000001</v>
      </c>
      <c r="M31" s="6"/>
    </row>
    <row r="32" spans="1:13" ht="17.25">
      <c r="A32" s="7">
        <v>19</v>
      </c>
      <c r="B32" s="8" t="s">
        <v>16</v>
      </c>
      <c r="C32" s="8" t="str">
        <f>"546720230728105056123622"</f>
        <v>546720230728105056123622</v>
      </c>
      <c r="D32" s="8" t="s">
        <v>20</v>
      </c>
      <c r="E32" s="9">
        <v>25.7</v>
      </c>
      <c r="F32" s="9">
        <v>87.27</v>
      </c>
      <c r="G32" s="9">
        <f t="shared" si="8"/>
        <v>5.140000000000001</v>
      </c>
      <c r="H32" s="9">
        <f t="shared" si="9"/>
        <v>43.635</v>
      </c>
      <c r="I32" s="9">
        <f t="shared" si="11"/>
        <v>48.775</v>
      </c>
      <c r="J32" s="11">
        <v>73.33</v>
      </c>
      <c r="K32" s="12">
        <f t="shared" si="3"/>
        <v>21.999</v>
      </c>
      <c r="L32" s="10">
        <f t="shared" si="4"/>
        <v>70.774</v>
      </c>
      <c r="M32" s="6"/>
    </row>
    <row r="33" spans="1:13" ht="17.25">
      <c r="A33" s="7">
        <v>20</v>
      </c>
      <c r="B33" s="8" t="s">
        <v>16</v>
      </c>
      <c r="C33" s="8" t="str">
        <f>"546720230729145749123730"</f>
        <v>546720230729145749123730</v>
      </c>
      <c r="D33" s="8" t="str">
        <f>"王诗文"</f>
        <v>王诗文</v>
      </c>
      <c r="E33" s="9">
        <v>45.6</v>
      </c>
      <c r="F33" s="9">
        <v>78.37</v>
      </c>
      <c r="G33" s="9">
        <f t="shared" si="8"/>
        <v>9.120000000000001</v>
      </c>
      <c r="H33" s="9">
        <f t="shared" si="9"/>
        <v>39.185</v>
      </c>
      <c r="I33" s="9">
        <f t="shared" si="11"/>
        <v>48.30500000000001</v>
      </c>
      <c r="J33" s="11">
        <v>74</v>
      </c>
      <c r="K33" s="12">
        <f t="shared" si="3"/>
        <v>22.2</v>
      </c>
      <c r="L33" s="10">
        <f t="shared" si="4"/>
        <v>70.50500000000001</v>
      </c>
      <c r="M33" s="6"/>
    </row>
    <row r="34" spans="1:13" ht="17.25">
      <c r="A34" s="7">
        <v>21</v>
      </c>
      <c r="B34" s="8" t="s">
        <v>16</v>
      </c>
      <c r="C34" s="8" t="str">
        <f>"546720230801050247123792"</f>
        <v>546720230801050247123792</v>
      </c>
      <c r="D34" s="8" t="str">
        <f>"李富深"</f>
        <v>李富深</v>
      </c>
      <c r="E34" s="9">
        <v>64.1</v>
      </c>
      <c r="F34" s="9">
        <v>67.6</v>
      </c>
      <c r="G34" s="9">
        <f aca="true" t="shared" si="12" ref="G34:G56">E34*0.2</f>
        <v>12.82</v>
      </c>
      <c r="H34" s="9">
        <f aca="true" t="shared" si="13" ref="H34:H56">F34*0.5</f>
        <v>33.8</v>
      </c>
      <c r="I34" s="9">
        <f t="shared" si="11"/>
        <v>46.62</v>
      </c>
      <c r="J34" s="11">
        <v>82.67</v>
      </c>
      <c r="K34" s="12">
        <f t="shared" si="3"/>
        <v>24.801</v>
      </c>
      <c r="L34" s="10">
        <f t="shared" si="4"/>
        <v>71.42099999999999</v>
      </c>
      <c r="M34" s="6"/>
    </row>
    <row r="35" spans="1:13" ht="17.25">
      <c r="A35" s="7">
        <v>22</v>
      </c>
      <c r="B35" s="8" t="s">
        <v>16</v>
      </c>
      <c r="C35" s="8" t="str">
        <f>"546720230729212010123744"</f>
        <v>546720230729212010123744</v>
      </c>
      <c r="D35" s="8" t="str">
        <f>"肖世壮"</f>
        <v>肖世壮</v>
      </c>
      <c r="E35" s="9">
        <v>44.5</v>
      </c>
      <c r="F35" s="9">
        <v>74.53</v>
      </c>
      <c r="G35" s="9">
        <f t="shared" si="12"/>
        <v>8.9</v>
      </c>
      <c r="H35" s="9">
        <f t="shared" si="13"/>
        <v>37.265</v>
      </c>
      <c r="I35" s="9">
        <f t="shared" si="11"/>
        <v>46.165</v>
      </c>
      <c r="J35" s="11">
        <v>75.33</v>
      </c>
      <c r="K35" s="12">
        <f t="shared" si="3"/>
        <v>22.599</v>
      </c>
      <c r="L35" s="10">
        <f t="shared" si="4"/>
        <v>68.764</v>
      </c>
      <c r="M35" s="6"/>
    </row>
    <row r="36" spans="1:13" ht="17.25">
      <c r="A36" s="7">
        <v>23</v>
      </c>
      <c r="B36" s="8" t="s">
        <v>16</v>
      </c>
      <c r="C36" s="8" t="str">
        <f>"546720230728104549123618"</f>
        <v>546720230728104549123618</v>
      </c>
      <c r="D36" s="8" t="str">
        <f>"黄金云"</f>
        <v>黄金云</v>
      </c>
      <c r="E36" s="9">
        <v>44.3</v>
      </c>
      <c r="F36" s="9">
        <v>70.55</v>
      </c>
      <c r="G36" s="9">
        <f t="shared" si="12"/>
        <v>8.86</v>
      </c>
      <c r="H36" s="9">
        <f t="shared" si="13"/>
        <v>35.275</v>
      </c>
      <c r="I36" s="9">
        <f t="shared" si="11"/>
        <v>44.135</v>
      </c>
      <c r="J36" s="11">
        <v>86.33</v>
      </c>
      <c r="K36" s="12">
        <f t="shared" si="3"/>
        <v>25.898999999999997</v>
      </c>
      <c r="L36" s="10">
        <f t="shared" si="4"/>
        <v>70.03399999999999</v>
      </c>
      <c r="M36" s="6"/>
    </row>
    <row r="37" spans="1:13" ht="17.25">
      <c r="A37" s="7">
        <v>24</v>
      </c>
      <c r="B37" s="8" t="s">
        <v>16</v>
      </c>
      <c r="C37" s="8" t="str">
        <f>"546720230728230855123694"</f>
        <v>546720230728230855123694</v>
      </c>
      <c r="D37" s="8" t="str">
        <f>"李培文"</f>
        <v>李培文</v>
      </c>
      <c r="E37" s="9">
        <v>30.7</v>
      </c>
      <c r="F37" s="9">
        <v>75.25</v>
      </c>
      <c r="G37" s="9">
        <f t="shared" si="12"/>
        <v>6.140000000000001</v>
      </c>
      <c r="H37" s="9">
        <f t="shared" si="13"/>
        <v>37.625</v>
      </c>
      <c r="I37" s="9">
        <f t="shared" si="11"/>
        <v>43.765</v>
      </c>
      <c r="J37" s="11">
        <v>79.67</v>
      </c>
      <c r="K37" s="12">
        <f aca="true" t="shared" si="14" ref="K37:K64">J37*30%</f>
        <v>23.901</v>
      </c>
      <c r="L37" s="10">
        <f t="shared" si="4"/>
        <v>67.666</v>
      </c>
      <c r="M37" s="6"/>
    </row>
    <row r="38" spans="1:13" ht="17.25">
      <c r="A38" s="7">
        <v>25</v>
      </c>
      <c r="B38" s="8" t="s">
        <v>16</v>
      </c>
      <c r="C38" s="8" t="str">
        <f>"546720230728143000123654"</f>
        <v>546720230728143000123654</v>
      </c>
      <c r="D38" s="8" t="str">
        <f>"陈声松"</f>
        <v>陈声松</v>
      </c>
      <c r="E38" s="9">
        <v>58.8</v>
      </c>
      <c r="F38" s="9">
        <v>63.2</v>
      </c>
      <c r="G38" s="9">
        <f t="shared" si="12"/>
        <v>11.76</v>
      </c>
      <c r="H38" s="9">
        <f t="shared" si="13"/>
        <v>31.6</v>
      </c>
      <c r="I38" s="9">
        <f t="shared" si="11"/>
        <v>43.36</v>
      </c>
      <c r="J38" s="11">
        <v>82</v>
      </c>
      <c r="K38" s="12">
        <f t="shared" si="14"/>
        <v>24.599999999999998</v>
      </c>
      <c r="L38" s="10">
        <f t="shared" si="4"/>
        <v>67.96</v>
      </c>
      <c r="M38" s="6"/>
    </row>
    <row r="39" spans="1:13" ht="17.25">
      <c r="A39" s="7">
        <v>26</v>
      </c>
      <c r="B39" s="8" t="s">
        <v>16</v>
      </c>
      <c r="C39" s="8" t="str">
        <f>"546720230729103207123710"</f>
        <v>546720230729103207123710</v>
      </c>
      <c r="D39" s="8" t="str">
        <f>"龙壮壮"</f>
        <v>龙壮壮</v>
      </c>
      <c r="E39" s="9">
        <v>46.2</v>
      </c>
      <c r="F39" s="9">
        <v>68</v>
      </c>
      <c r="G39" s="9">
        <f t="shared" si="12"/>
        <v>9.24</v>
      </c>
      <c r="H39" s="9">
        <f t="shared" si="13"/>
        <v>34</v>
      </c>
      <c r="I39" s="9">
        <f t="shared" si="11"/>
        <v>43.24</v>
      </c>
      <c r="J39" s="11">
        <v>78.67</v>
      </c>
      <c r="K39" s="12">
        <f t="shared" si="14"/>
        <v>23.601</v>
      </c>
      <c r="L39" s="10">
        <f t="shared" si="4"/>
        <v>66.84100000000001</v>
      </c>
      <c r="M39" s="6"/>
    </row>
    <row r="40" spans="1:13" ht="17.25">
      <c r="A40" s="7">
        <v>27</v>
      </c>
      <c r="B40" s="8" t="s">
        <v>16</v>
      </c>
      <c r="C40" s="8" t="str">
        <f>"546720230801211453123807"</f>
        <v>546720230801211453123807</v>
      </c>
      <c r="D40" s="8" t="str">
        <f>"曾繁华"</f>
        <v>曾繁华</v>
      </c>
      <c r="E40" s="9">
        <v>41.7</v>
      </c>
      <c r="F40" s="9">
        <v>69.5</v>
      </c>
      <c r="G40" s="9">
        <f t="shared" si="12"/>
        <v>8.340000000000002</v>
      </c>
      <c r="H40" s="9">
        <f t="shared" si="13"/>
        <v>34.75</v>
      </c>
      <c r="I40" s="9">
        <f t="shared" si="11"/>
        <v>43.09</v>
      </c>
      <c r="J40" s="11">
        <v>83.33</v>
      </c>
      <c r="K40" s="12">
        <f t="shared" si="14"/>
        <v>24.999</v>
      </c>
      <c r="L40" s="10">
        <f t="shared" si="4"/>
        <v>68.089</v>
      </c>
      <c r="M40" s="6"/>
    </row>
    <row r="41" spans="1:13" ht="17.25">
      <c r="A41" s="7">
        <v>28</v>
      </c>
      <c r="B41" s="8" t="s">
        <v>16</v>
      </c>
      <c r="C41" s="8" t="str">
        <f>"546720230801132852123797"</f>
        <v>546720230801132852123797</v>
      </c>
      <c r="D41" s="8" t="str">
        <f>"李锦涛"</f>
        <v>李锦涛</v>
      </c>
      <c r="E41" s="9">
        <v>51.1</v>
      </c>
      <c r="F41" s="9">
        <v>65.7</v>
      </c>
      <c r="G41" s="9">
        <f t="shared" si="12"/>
        <v>10.22</v>
      </c>
      <c r="H41" s="9">
        <f t="shared" si="13"/>
        <v>32.85</v>
      </c>
      <c r="I41" s="9">
        <f t="shared" si="11"/>
        <v>43.07</v>
      </c>
      <c r="J41" s="11">
        <v>0</v>
      </c>
      <c r="K41" s="12">
        <f t="shared" si="14"/>
        <v>0</v>
      </c>
      <c r="L41" s="10">
        <f t="shared" si="4"/>
        <v>43.07</v>
      </c>
      <c r="M41" s="6"/>
    </row>
    <row r="42" spans="1:13" ht="17.25">
      <c r="A42" s="7">
        <v>29</v>
      </c>
      <c r="B42" s="8" t="s">
        <v>16</v>
      </c>
      <c r="C42" s="8" t="str">
        <f>"546720230729101739123709"</f>
        <v>546720230729101739123709</v>
      </c>
      <c r="D42" s="8" t="str">
        <f>"周崇"</f>
        <v>周崇</v>
      </c>
      <c r="E42" s="9">
        <v>50</v>
      </c>
      <c r="F42" s="9">
        <v>64.7</v>
      </c>
      <c r="G42" s="9">
        <f t="shared" si="12"/>
        <v>10</v>
      </c>
      <c r="H42" s="9">
        <f t="shared" si="13"/>
        <v>32.35</v>
      </c>
      <c r="I42" s="9">
        <f t="shared" si="11"/>
        <v>42.35</v>
      </c>
      <c r="J42" s="11">
        <v>63</v>
      </c>
      <c r="K42" s="12">
        <f t="shared" si="14"/>
        <v>18.9</v>
      </c>
      <c r="L42" s="10">
        <f t="shared" si="4"/>
        <v>61.25</v>
      </c>
      <c r="M42" s="6"/>
    </row>
    <row r="43" spans="1:13" ht="17.25">
      <c r="A43" s="7">
        <v>30</v>
      </c>
      <c r="B43" s="8" t="s">
        <v>16</v>
      </c>
      <c r="C43" s="8" t="str">
        <f>"546720230729112559123715"</f>
        <v>546720230729112559123715</v>
      </c>
      <c r="D43" s="8" t="str">
        <f>"蔡声揚"</f>
        <v>蔡声揚</v>
      </c>
      <c r="E43" s="9">
        <v>49</v>
      </c>
      <c r="F43" s="9">
        <v>61.85</v>
      </c>
      <c r="G43" s="9">
        <f t="shared" si="12"/>
        <v>9.8</v>
      </c>
      <c r="H43" s="9">
        <f t="shared" si="13"/>
        <v>30.925</v>
      </c>
      <c r="I43" s="9">
        <f t="shared" si="11"/>
        <v>40.725</v>
      </c>
      <c r="J43" s="11">
        <v>83.67</v>
      </c>
      <c r="K43" s="12">
        <f t="shared" si="14"/>
        <v>25.101</v>
      </c>
      <c r="L43" s="10">
        <f t="shared" si="4"/>
        <v>65.826</v>
      </c>
      <c r="M43" s="6"/>
    </row>
    <row r="44" spans="1:13" ht="17.25">
      <c r="A44" s="7">
        <v>31</v>
      </c>
      <c r="B44" s="8" t="s">
        <v>16</v>
      </c>
      <c r="C44" s="8" t="str">
        <f>"546720230729212421123745"</f>
        <v>546720230729212421123745</v>
      </c>
      <c r="D44" s="8" t="str">
        <f>"蔡扬帆"</f>
        <v>蔡扬帆</v>
      </c>
      <c r="E44" s="9">
        <v>36</v>
      </c>
      <c r="F44" s="9">
        <v>64.4</v>
      </c>
      <c r="G44" s="9">
        <f t="shared" si="12"/>
        <v>7.2</v>
      </c>
      <c r="H44" s="9">
        <f t="shared" si="13"/>
        <v>32.2</v>
      </c>
      <c r="I44" s="9">
        <f t="shared" si="11"/>
        <v>39.400000000000006</v>
      </c>
      <c r="J44" s="11">
        <v>87.67</v>
      </c>
      <c r="K44" s="12">
        <f t="shared" si="14"/>
        <v>26.301</v>
      </c>
      <c r="L44" s="10">
        <f t="shared" si="4"/>
        <v>65.70100000000001</v>
      </c>
      <c r="M44" s="6"/>
    </row>
    <row r="45" spans="1:13" ht="17.25">
      <c r="A45" s="7">
        <v>32</v>
      </c>
      <c r="B45" s="8" t="s">
        <v>16</v>
      </c>
      <c r="C45" s="8" t="str">
        <f>"546720230728105547123623"</f>
        <v>546720230728105547123623</v>
      </c>
      <c r="D45" s="8" t="str">
        <f>"陈刚"</f>
        <v>陈刚</v>
      </c>
      <c r="E45" s="9">
        <v>67.2</v>
      </c>
      <c r="F45" s="9">
        <v>51.5</v>
      </c>
      <c r="G45" s="9">
        <f t="shared" si="12"/>
        <v>13.440000000000001</v>
      </c>
      <c r="H45" s="9">
        <f t="shared" si="13"/>
        <v>25.75</v>
      </c>
      <c r="I45" s="9">
        <f t="shared" si="11"/>
        <v>39.19</v>
      </c>
      <c r="J45" s="11">
        <v>64.33</v>
      </c>
      <c r="K45" s="12">
        <f t="shared" si="14"/>
        <v>19.299</v>
      </c>
      <c r="L45" s="10">
        <f t="shared" si="4"/>
        <v>58.489</v>
      </c>
      <c r="M45" s="6"/>
    </row>
    <row r="46" spans="1:13" ht="17.25">
      <c r="A46" s="7">
        <v>33</v>
      </c>
      <c r="B46" s="8" t="s">
        <v>16</v>
      </c>
      <c r="C46" s="8" t="str">
        <f>"546720230728234748123696"</f>
        <v>546720230728234748123696</v>
      </c>
      <c r="D46" s="8" t="s">
        <v>21</v>
      </c>
      <c r="E46" s="9">
        <v>43.2</v>
      </c>
      <c r="F46" s="9">
        <v>59.65</v>
      </c>
      <c r="G46" s="9">
        <f t="shared" si="12"/>
        <v>8.64</v>
      </c>
      <c r="H46" s="9">
        <f t="shared" si="13"/>
        <v>29.825</v>
      </c>
      <c r="I46" s="9">
        <f t="shared" si="11"/>
        <v>38.465</v>
      </c>
      <c r="J46" s="11">
        <v>69</v>
      </c>
      <c r="K46" s="12">
        <f t="shared" si="14"/>
        <v>20.7</v>
      </c>
      <c r="L46" s="10">
        <f t="shared" si="4"/>
        <v>59.165000000000006</v>
      </c>
      <c r="M46" s="6"/>
    </row>
    <row r="47" spans="1:13" ht="17.25">
      <c r="A47" s="7">
        <v>34</v>
      </c>
      <c r="B47" s="8" t="s">
        <v>16</v>
      </c>
      <c r="C47" s="8" t="str">
        <f>"546720230728150645123656"</f>
        <v>546720230728150645123656</v>
      </c>
      <c r="D47" s="8" t="str">
        <f>"顾时颖"</f>
        <v>顾时颖</v>
      </c>
      <c r="E47" s="9">
        <v>39.5</v>
      </c>
      <c r="F47" s="9">
        <v>58.5</v>
      </c>
      <c r="G47" s="9">
        <f t="shared" si="12"/>
        <v>7.9</v>
      </c>
      <c r="H47" s="9">
        <f t="shared" si="13"/>
        <v>29.25</v>
      </c>
      <c r="I47" s="9">
        <f t="shared" si="11"/>
        <v>37.15</v>
      </c>
      <c r="J47" s="11">
        <v>85.33</v>
      </c>
      <c r="K47" s="12">
        <f t="shared" si="14"/>
        <v>25.599</v>
      </c>
      <c r="L47" s="10">
        <f t="shared" si="4"/>
        <v>62.748999999999995</v>
      </c>
      <c r="M47" s="6"/>
    </row>
    <row r="48" spans="1:13" ht="17.25">
      <c r="A48" s="7">
        <v>35</v>
      </c>
      <c r="B48" s="8" t="s">
        <v>16</v>
      </c>
      <c r="C48" s="8" t="str">
        <f>"546720230728104557123619"</f>
        <v>546720230728104557123619</v>
      </c>
      <c r="D48" s="8" t="str">
        <f>"杨志诚"</f>
        <v>杨志诚</v>
      </c>
      <c r="E48" s="9">
        <v>38.7</v>
      </c>
      <c r="F48" s="9">
        <v>58.5</v>
      </c>
      <c r="G48" s="9">
        <f t="shared" si="12"/>
        <v>7.740000000000001</v>
      </c>
      <c r="H48" s="9">
        <f t="shared" si="13"/>
        <v>29.25</v>
      </c>
      <c r="I48" s="9">
        <f t="shared" si="11"/>
        <v>36.99</v>
      </c>
      <c r="J48" s="11">
        <v>85.33</v>
      </c>
      <c r="K48" s="12">
        <f t="shared" si="14"/>
        <v>25.599</v>
      </c>
      <c r="L48" s="10">
        <f t="shared" si="4"/>
        <v>62.589</v>
      </c>
      <c r="M48" s="6"/>
    </row>
    <row r="49" spans="1:13" ht="17.25">
      <c r="A49" s="7">
        <v>36</v>
      </c>
      <c r="B49" s="8" t="s">
        <v>16</v>
      </c>
      <c r="C49" s="8" t="str">
        <f>"546720230802190926123825"</f>
        <v>546720230802190926123825</v>
      </c>
      <c r="D49" s="8" t="str">
        <f>"钟锐"</f>
        <v>钟锐</v>
      </c>
      <c r="E49" s="9">
        <v>42.4</v>
      </c>
      <c r="F49" s="9">
        <v>55.67</v>
      </c>
      <c r="G49" s="9">
        <f t="shared" si="12"/>
        <v>8.48</v>
      </c>
      <c r="H49" s="9">
        <f t="shared" si="13"/>
        <v>27.835</v>
      </c>
      <c r="I49" s="9">
        <f t="shared" si="11"/>
        <v>36.315</v>
      </c>
      <c r="J49" s="11">
        <v>86.67</v>
      </c>
      <c r="K49" s="12">
        <f t="shared" si="14"/>
        <v>26.001</v>
      </c>
      <c r="L49" s="10">
        <f t="shared" si="4"/>
        <v>62.316</v>
      </c>
      <c r="M49" s="6"/>
    </row>
    <row r="50" spans="1:13" ht="17.25">
      <c r="A50" s="7">
        <v>37</v>
      </c>
      <c r="B50" s="8" t="s">
        <v>16</v>
      </c>
      <c r="C50" s="8" t="str">
        <f>"546720230728121700123641"</f>
        <v>546720230728121700123641</v>
      </c>
      <c r="D50" s="8" t="str">
        <f>"薛尔瑞"</f>
        <v>薛尔瑞</v>
      </c>
      <c r="E50" s="9">
        <v>46.5</v>
      </c>
      <c r="F50" s="9">
        <v>53.5</v>
      </c>
      <c r="G50" s="9">
        <f t="shared" si="12"/>
        <v>9.3</v>
      </c>
      <c r="H50" s="9">
        <f t="shared" si="13"/>
        <v>26.75</v>
      </c>
      <c r="I50" s="9">
        <f t="shared" si="11"/>
        <v>36.05</v>
      </c>
      <c r="J50" s="11">
        <v>66.67</v>
      </c>
      <c r="K50" s="12">
        <f t="shared" si="14"/>
        <v>20.001</v>
      </c>
      <c r="L50" s="10">
        <f t="shared" si="4"/>
        <v>56.051</v>
      </c>
      <c r="M50" s="6"/>
    </row>
    <row r="51" spans="1:13" ht="17.25">
      <c r="A51" s="7">
        <v>38</v>
      </c>
      <c r="B51" s="8" t="s">
        <v>16</v>
      </c>
      <c r="C51" s="8" t="str">
        <f>"546720230728223910123693"</f>
        <v>546720230728223910123693</v>
      </c>
      <c r="D51" s="8" t="str">
        <f>"李明润"</f>
        <v>李明润</v>
      </c>
      <c r="E51" s="9">
        <v>35.6</v>
      </c>
      <c r="F51" s="9">
        <v>57.4</v>
      </c>
      <c r="G51" s="9">
        <f t="shared" si="12"/>
        <v>7.120000000000001</v>
      </c>
      <c r="H51" s="9">
        <f t="shared" si="13"/>
        <v>28.7</v>
      </c>
      <c r="I51" s="9">
        <f t="shared" si="11"/>
        <v>35.82</v>
      </c>
      <c r="J51" s="11">
        <v>78.33</v>
      </c>
      <c r="K51" s="12">
        <f t="shared" si="14"/>
        <v>23.499</v>
      </c>
      <c r="L51" s="10">
        <f t="shared" si="4"/>
        <v>59.319</v>
      </c>
      <c r="M51" s="6"/>
    </row>
    <row r="52" spans="1:13" ht="17.25">
      <c r="A52" s="7">
        <v>39</v>
      </c>
      <c r="B52" s="8" t="s">
        <v>16</v>
      </c>
      <c r="C52" s="8" t="str">
        <f>"546720230729100927123708"</f>
        <v>546720230729100927123708</v>
      </c>
      <c r="D52" s="8" t="str">
        <f>"潘灿铭"</f>
        <v>潘灿铭</v>
      </c>
      <c r="E52" s="9">
        <v>31.8</v>
      </c>
      <c r="F52" s="9">
        <v>55.9</v>
      </c>
      <c r="G52" s="9">
        <f t="shared" si="12"/>
        <v>6.36</v>
      </c>
      <c r="H52" s="9">
        <f t="shared" si="13"/>
        <v>27.95</v>
      </c>
      <c r="I52" s="9">
        <f t="shared" si="11"/>
        <v>34.31</v>
      </c>
      <c r="J52" s="11" t="s">
        <v>15</v>
      </c>
      <c r="K52" s="11" t="s">
        <v>15</v>
      </c>
      <c r="L52" s="10">
        <v>34.31</v>
      </c>
      <c r="M52" s="6"/>
    </row>
    <row r="53" spans="1:13" ht="17.25">
      <c r="A53" s="7">
        <v>40</v>
      </c>
      <c r="B53" s="8" t="s">
        <v>16</v>
      </c>
      <c r="C53" s="8" t="str">
        <f>"546720230802162844123823"</f>
        <v>546720230802162844123823</v>
      </c>
      <c r="D53" s="8" t="str">
        <f>"章家诚"</f>
        <v>章家诚</v>
      </c>
      <c r="E53" s="9">
        <v>38.4</v>
      </c>
      <c r="F53" s="9">
        <v>52.83</v>
      </c>
      <c r="G53" s="9">
        <f t="shared" si="12"/>
        <v>7.68</v>
      </c>
      <c r="H53" s="9">
        <f t="shared" si="13"/>
        <v>26.415</v>
      </c>
      <c r="I53" s="9">
        <f t="shared" si="11"/>
        <v>34.095</v>
      </c>
      <c r="J53" s="11">
        <v>63.67</v>
      </c>
      <c r="K53" s="12">
        <f t="shared" si="14"/>
        <v>19.101</v>
      </c>
      <c r="L53" s="10">
        <f t="shared" si="4"/>
        <v>53.196</v>
      </c>
      <c r="M53" s="6"/>
    </row>
    <row r="54" spans="1:13" ht="17.25">
      <c r="A54" s="7">
        <v>41</v>
      </c>
      <c r="B54" s="8" t="s">
        <v>16</v>
      </c>
      <c r="C54" s="8" t="str">
        <f>"546720230729121841123717"</f>
        <v>546720230729121841123717</v>
      </c>
      <c r="D54" s="8" t="str">
        <f>"蔡笃吉"</f>
        <v>蔡笃吉</v>
      </c>
      <c r="E54" s="9">
        <v>59.5</v>
      </c>
      <c r="F54" s="9">
        <v>41.3</v>
      </c>
      <c r="G54" s="9">
        <f t="shared" si="12"/>
        <v>11.9</v>
      </c>
      <c r="H54" s="9">
        <f t="shared" si="13"/>
        <v>20.65</v>
      </c>
      <c r="I54" s="9">
        <f t="shared" si="11"/>
        <v>32.55</v>
      </c>
      <c r="J54" s="11">
        <v>78.67</v>
      </c>
      <c r="K54" s="12">
        <f t="shared" si="14"/>
        <v>23.601</v>
      </c>
      <c r="L54" s="10">
        <f t="shared" si="4"/>
        <v>56.150999999999996</v>
      </c>
      <c r="M54" s="6"/>
    </row>
    <row r="55" spans="1:13" ht="17.25">
      <c r="A55" s="7">
        <v>42</v>
      </c>
      <c r="B55" s="8" t="s">
        <v>16</v>
      </c>
      <c r="C55" s="8" t="str">
        <f>"546720230728112801123630"</f>
        <v>546720230728112801123630</v>
      </c>
      <c r="D55" s="8" t="str">
        <f>"钟斌"</f>
        <v>钟斌</v>
      </c>
      <c r="E55" s="9">
        <v>43.8</v>
      </c>
      <c r="F55" s="9">
        <v>43.75</v>
      </c>
      <c r="G55" s="9">
        <f t="shared" si="12"/>
        <v>8.76</v>
      </c>
      <c r="H55" s="9">
        <f t="shared" si="13"/>
        <v>21.875</v>
      </c>
      <c r="I55" s="9">
        <f t="shared" si="11"/>
        <v>30.634999999999998</v>
      </c>
      <c r="J55" s="11" t="s">
        <v>15</v>
      </c>
      <c r="K55" s="11" t="s">
        <v>15</v>
      </c>
      <c r="L55" s="10">
        <v>30.64</v>
      </c>
      <c r="M55" s="6"/>
    </row>
    <row r="56" spans="1:13" ht="17.25">
      <c r="A56" s="7">
        <v>43</v>
      </c>
      <c r="B56" s="8" t="s">
        <v>16</v>
      </c>
      <c r="C56" s="8" t="str">
        <f>"546720230728231929123695"</f>
        <v>546720230728231929123695</v>
      </c>
      <c r="D56" s="8" t="s">
        <v>22</v>
      </c>
      <c r="E56" s="9">
        <v>33.4</v>
      </c>
      <c r="F56" s="9">
        <v>9</v>
      </c>
      <c r="G56" s="9">
        <f t="shared" si="12"/>
        <v>6.68</v>
      </c>
      <c r="H56" s="9">
        <f t="shared" si="13"/>
        <v>4.5</v>
      </c>
      <c r="I56" s="9">
        <f t="shared" si="11"/>
        <v>11.18</v>
      </c>
      <c r="J56" s="11">
        <v>63.67</v>
      </c>
      <c r="K56" s="12">
        <f t="shared" si="14"/>
        <v>19.101</v>
      </c>
      <c r="L56" s="10">
        <f t="shared" si="4"/>
        <v>30.281</v>
      </c>
      <c r="M56" s="6"/>
    </row>
    <row r="57" spans="1:13" ht="17.25">
      <c r="A57" s="7">
        <v>44</v>
      </c>
      <c r="B57" s="8" t="s">
        <v>16</v>
      </c>
      <c r="C57" s="8" t="str">
        <f>"546720230730171221123761"</f>
        <v>546720230730171221123761</v>
      </c>
      <c r="D57" s="8" t="str">
        <f>"陈庆彬"</f>
        <v>陈庆彬</v>
      </c>
      <c r="E57" s="9">
        <v>34.7</v>
      </c>
      <c r="F57" s="9">
        <v>38</v>
      </c>
      <c r="G57" s="9">
        <f aca="true" t="shared" si="15" ref="G57:G66">E57*0.2</f>
        <v>6.940000000000001</v>
      </c>
      <c r="H57" s="9">
        <f aca="true" t="shared" si="16" ref="H57:H66">F57*0.5</f>
        <v>19</v>
      </c>
      <c r="I57" s="9">
        <f aca="true" t="shared" si="17" ref="I57:I67">G57+H57</f>
        <v>25.94</v>
      </c>
      <c r="J57" s="11">
        <v>68.67</v>
      </c>
      <c r="K57" s="12">
        <f t="shared" si="14"/>
        <v>20.601</v>
      </c>
      <c r="L57" s="10">
        <f t="shared" si="4"/>
        <v>46.541</v>
      </c>
      <c r="M57" s="6"/>
    </row>
    <row r="58" spans="1:13" ht="17.25">
      <c r="A58" s="7">
        <v>45</v>
      </c>
      <c r="B58" s="8" t="s">
        <v>16</v>
      </c>
      <c r="C58" s="8" t="str">
        <f>"546720230802231846123830"</f>
        <v>546720230802231846123830</v>
      </c>
      <c r="D58" s="8" t="str">
        <f>"符芳梁"</f>
        <v>符芳梁</v>
      </c>
      <c r="E58" s="9">
        <v>33.7</v>
      </c>
      <c r="F58" s="9">
        <v>36.6</v>
      </c>
      <c r="G58" s="9">
        <f t="shared" si="15"/>
        <v>6.740000000000001</v>
      </c>
      <c r="H58" s="9">
        <f t="shared" si="16"/>
        <v>18.3</v>
      </c>
      <c r="I58" s="9">
        <f t="shared" si="17"/>
        <v>25.040000000000003</v>
      </c>
      <c r="J58" s="11">
        <v>62</v>
      </c>
      <c r="K58" s="12">
        <f t="shared" si="14"/>
        <v>18.599999999999998</v>
      </c>
      <c r="L58" s="10">
        <f t="shared" si="4"/>
        <v>43.64</v>
      </c>
      <c r="M58" s="6"/>
    </row>
    <row r="59" spans="1:13" ht="17.25">
      <c r="A59" s="7">
        <v>46</v>
      </c>
      <c r="B59" s="8" t="s">
        <v>16</v>
      </c>
      <c r="C59" s="8" t="str">
        <f>"546720230728123356123644"</f>
        <v>546720230728123356123644</v>
      </c>
      <c r="D59" s="8" t="str">
        <f>"符聪"</f>
        <v>符聪</v>
      </c>
      <c r="E59" s="9">
        <v>43.9</v>
      </c>
      <c r="F59" s="9">
        <v>29</v>
      </c>
      <c r="G59" s="9">
        <f t="shared" si="15"/>
        <v>8.78</v>
      </c>
      <c r="H59" s="9">
        <f t="shared" si="16"/>
        <v>14.5</v>
      </c>
      <c r="I59" s="9">
        <f t="shared" si="17"/>
        <v>23.28</v>
      </c>
      <c r="J59" s="11">
        <v>69</v>
      </c>
      <c r="K59" s="12">
        <f t="shared" si="14"/>
        <v>20.7</v>
      </c>
      <c r="L59" s="10">
        <f t="shared" si="4"/>
        <v>43.980000000000004</v>
      </c>
      <c r="M59" s="6"/>
    </row>
    <row r="60" spans="1:13" ht="17.25">
      <c r="A60" s="7">
        <v>47</v>
      </c>
      <c r="B60" s="8" t="s">
        <v>16</v>
      </c>
      <c r="C60" s="8" t="str">
        <f>"546720230728112239123629"</f>
        <v>546720230728112239123629</v>
      </c>
      <c r="D60" s="8" t="str">
        <f>"吴毓杰"</f>
        <v>吴毓杰</v>
      </c>
      <c r="E60" s="9">
        <v>35.6</v>
      </c>
      <c r="F60" s="9">
        <v>27</v>
      </c>
      <c r="G60" s="9">
        <f t="shared" si="15"/>
        <v>7.120000000000001</v>
      </c>
      <c r="H60" s="9">
        <f t="shared" si="16"/>
        <v>13.5</v>
      </c>
      <c r="I60" s="9">
        <f t="shared" si="17"/>
        <v>20.62</v>
      </c>
      <c r="J60" s="11">
        <v>85.67</v>
      </c>
      <c r="K60" s="12">
        <f t="shared" si="14"/>
        <v>25.701</v>
      </c>
      <c r="L60" s="10">
        <f t="shared" si="4"/>
        <v>46.321</v>
      </c>
      <c r="M60" s="6"/>
    </row>
    <row r="61" spans="1:13" ht="17.25">
      <c r="A61" s="7">
        <v>48</v>
      </c>
      <c r="B61" s="8" t="s">
        <v>16</v>
      </c>
      <c r="C61" s="8" t="str">
        <f>"546720230730160947123759"</f>
        <v>546720230730160947123759</v>
      </c>
      <c r="D61" s="8" t="str">
        <f>"施忠瑞"</f>
        <v>施忠瑞</v>
      </c>
      <c r="E61" s="9">
        <v>22.7</v>
      </c>
      <c r="F61" s="9">
        <v>31.5</v>
      </c>
      <c r="G61" s="9">
        <f t="shared" si="15"/>
        <v>4.54</v>
      </c>
      <c r="H61" s="9">
        <f t="shared" si="16"/>
        <v>15.75</v>
      </c>
      <c r="I61" s="9">
        <f t="shared" si="17"/>
        <v>20.29</v>
      </c>
      <c r="J61" s="11">
        <v>85.33</v>
      </c>
      <c r="K61" s="12">
        <f t="shared" si="14"/>
        <v>25.599</v>
      </c>
      <c r="L61" s="10">
        <f t="shared" si="4"/>
        <v>45.888999999999996</v>
      </c>
      <c r="M61" s="6"/>
    </row>
    <row r="62" spans="1:13" ht="17.25">
      <c r="A62" s="7">
        <v>49</v>
      </c>
      <c r="B62" s="8" t="s">
        <v>16</v>
      </c>
      <c r="C62" s="8" t="str">
        <f>"546720230730151458123756"</f>
        <v>546720230730151458123756</v>
      </c>
      <c r="D62" s="8" t="str">
        <f>"陈小军"</f>
        <v>陈小军</v>
      </c>
      <c r="E62" s="9">
        <v>35.3</v>
      </c>
      <c r="F62" s="9">
        <v>24.5</v>
      </c>
      <c r="G62" s="9">
        <f t="shared" si="15"/>
        <v>7.06</v>
      </c>
      <c r="H62" s="9">
        <f t="shared" si="16"/>
        <v>12.25</v>
      </c>
      <c r="I62" s="9">
        <f t="shared" si="17"/>
        <v>19.31</v>
      </c>
      <c r="J62" s="11" t="s">
        <v>15</v>
      </c>
      <c r="K62" s="11" t="s">
        <v>15</v>
      </c>
      <c r="L62" s="11">
        <v>19.31</v>
      </c>
      <c r="M62" s="6"/>
    </row>
    <row r="63" spans="1:13" ht="17.25">
      <c r="A63" s="7">
        <v>50</v>
      </c>
      <c r="B63" s="8" t="s">
        <v>16</v>
      </c>
      <c r="C63" s="8" t="str">
        <f>"546720230728110654123626"</f>
        <v>546720230728110654123626</v>
      </c>
      <c r="D63" s="8" t="str">
        <f>"吴挺伟"</f>
        <v>吴挺伟</v>
      </c>
      <c r="E63" s="9">
        <v>37.8</v>
      </c>
      <c r="F63" s="9">
        <v>22</v>
      </c>
      <c r="G63" s="9">
        <f t="shared" si="15"/>
        <v>7.56</v>
      </c>
      <c r="H63" s="9">
        <f t="shared" si="16"/>
        <v>11</v>
      </c>
      <c r="I63" s="9">
        <f t="shared" si="17"/>
        <v>18.56</v>
      </c>
      <c r="J63" s="11">
        <v>75.33</v>
      </c>
      <c r="K63" s="12">
        <f t="shared" si="14"/>
        <v>22.599</v>
      </c>
      <c r="L63" s="10">
        <f t="shared" si="4"/>
        <v>41.159</v>
      </c>
      <c r="M63" s="6"/>
    </row>
    <row r="64" spans="1:13" ht="17.25">
      <c r="A64" s="7">
        <v>51</v>
      </c>
      <c r="B64" s="8" t="s">
        <v>16</v>
      </c>
      <c r="C64" s="8" t="str">
        <f>"546720230728160249123659"</f>
        <v>546720230728160249123659</v>
      </c>
      <c r="D64" s="8" t="str">
        <f>"裴日圣"</f>
        <v>裴日圣</v>
      </c>
      <c r="E64" s="9">
        <v>39.1</v>
      </c>
      <c r="F64" s="9">
        <v>20.5</v>
      </c>
      <c r="G64" s="9">
        <f t="shared" si="15"/>
        <v>7.82</v>
      </c>
      <c r="H64" s="9">
        <f t="shared" si="16"/>
        <v>10.25</v>
      </c>
      <c r="I64" s="9">
        <f t="shared" si="17"/>
        <v>18.07</v>
      </c>
      <c r="J64" s="11">
        <v>86</v>
      </c>
      <c r="K64" s="12">
        <f t="shared" si="14"/>
        <v>25.8</v>
      </c>
      <c r="L64" s="10">
        <f>I64+K64</f>
        <v>43.870000000000005</v>
      </c>
      <c r="M64" s="6"/>
    </row>
    <row r="65" spans="1:13" ht="17.25">
      <c r="A65" s="7">
        <v>52</v>
      </c>
      <c r="B65" s="8" t="s">
        <v>16</v>
      </c>
      <c r="C65" s="8" t="str">
        <f>"546720230730144239123755"</f>
        <v>546720230730144239123755</v>
      </c>
      <c r="D65" s="8" t="str">
        <f>"朱子立"</f>
        <v>朱子立</v>
      </c>
      <c r="E65" s="9">
        <v>25.3</v>
      </c>
      <c r="F65" s="9">
        <v>26</v>
      </c>
      <c r="G65" s="9">
        <f t="shared" si="15"/>
        <v>5.0600000000000005</v>
      </c>
      <c r="H65" s="9">
        <f t="shared" si="16"/>
        <v>13</v>
      </c>
      <c r="I65" s="9">
        <f t="shared" si="17"/>
        <v>18.060000000000002</v>
      </c>
      <c r="J65" s="11" t="s">
        <v>15</v>
      </c>
      <c r="K65" s="11" t="s">
        <v>15</v>
      </c>
      <c r="L65" s="10">
        <v>18.06</v>
      </c>
      <c r="M65" s="6"/>
    </row>
    <row r="66" spans="1:13" ht="17.25">
      <c r="A66" s="7">
        <v>53</v>
      </c>
      <c r="B66" s="8" t="s">
        <v>16</v>
      </c>
      <c r="C66" s="8" t="str">
        <f>"546720230801214852123808"</f>
        <v>546720230801214852123808</v>
      </c>
      <c r="D66" s="8" t="str">
        <f>"韩洪衍"</f>
        <v>韩洪衍</v>
      </c>
      <c r="E66" s="9">
        <v>30.8</v>
      </c>
      <c r="F66" s="9">
        <v>22.5</v>
      </c>
      <c r="G66" s="9">
        <f t="shared" si="15"/>
        <v>6.16</v>
      </c>
      <c r="H66" s="9">
        <f t="shared" si="16"/>
        <v>11.25</v>
      </c>
      <c r="I66" s="9">
        <f t="shared" si="17"/>
        <v>17.41</v>
      </c>
      <c r="J66" s="11" t="s">
        <v>15</v>
      </c>
      <c r="K66" s="11" t="s">
        <v>15</v>
      </c>
      <c r="L66" s="10">
        <v>17.41</v>
      </c>
      <c r="M66" s="6"/>
    </row>
    <row r="67" spans="1:13" ht="17.25">
      <c r="A67" s="7">
        <v>54</v>
      </c>
      <c r="B67" s="8" t="s">
        <v>16</v>
      </c>
      <c r="C67" s="8" t="str">
        <f>"546720230801180047123804"</f>
        <v>546720230801180047123804</v>
      </c>
      <c r="D67" s="8" t="s">
        <v>23</v>
      </c>
      <c r="E67" s="9">
        <v>37.1</v>
      </c>
      <c r="F67" s="9">
        <v>11</v>
      </c>
      <c r="G67" s="9">
        <f aca="true" t="shared" si="18" ref="G67">E67*0.2</f>
        <v>7.420000000000001</v>
      </c>
      <c r="H67" s="9">
        <f aca="true" t="shared" si="19" ref="H67">F67*0.5</f>
        <v>5.5</v>
      </c>
      <c r="I67" s="9">
        <f t="shared" si="17"/>
        <v>12.920000000000002</v>
      </c>
      <c r="J67" s="11" t="s">
        <v>15</v>
      </c>
      <c r="K67" s="11" t="s">
        <v>15</v>
      </c>
      <c r="L67" s="10">
        <v>12.92</v>
      </c>
      <c r="M67" s="6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守护者</cp:lastModifiedBy>
  <dcterms:created xsi:type="dcterms:W3CDTF">2015-06-05T18:19:00Z</dcterms:created>
  <dcterms:modified xsi:type="dcterms:W3CDTF">2023-08-24T03:07:45Z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D69594429E294948B482A20B3E519D69_13</vt:lpwstr>
  </property>
  <property fmtid="{D5CDD505-2E9C-101B-9397-08002B2CF9AE}" pid="4" name="KSOProductBuildV">
    <vt:lpwstr>2052-11.1.0.14309</vt:lpwstr>
  </property>
</Properties>
</file>