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教师招聘\面试\综合成绩\资格复审、体检通知\"/>
    </mc:Choice>
  </mc:AlternateContent>
  <bookViews>
    <workbookView xWindow="0" yWindow="0" windowWidth="18345" windowHeight="8055"/>
  </bookViews>
  <sheets>
    <sheet name="5473_64ad552749313" sheetId="1" r:id="rId1"/>
  </sheets>
  <definedNames>
    <definedName name="_xlnm._FilterDatabase" localSheetId="0" hidden="1">'5473_64ad552749313'!$A$2:$J$52</definedName>
    <definedName name="_xlnm.Print_Area" localSheetId="0">'5473_64ad552749313'!$A$1:$K$70</definedName>
    <definedName name="_xlnm.Print_Titles" localSheetId="0">'5473_64ad552749313'!$1:$2</definedName>
  </definedNames>
  <calcPr calcId="152511"/>
</workbook>
</file>

<file path=xl/calcChain.xml><?xml version="1.0" encoding="utf-8"?>
<calcChain xmlns="http://schemas.openxmlformats.org/spreadsheetml/2006/main">
  <c r="J3" i="1" l="1"/>
  <c r="J5" i="1"/>
  <c r="J6" i="1"/>
  <c r="J7" i="1"/>
  <c r="J8" i="1"/>
  <c r="J9" i="1"/>
  <c r="J10" i="1"/>
  <c r="J11" i="1"/>
  <c r="J12" i="1"/>
  <c r="J13" i="1"/>
  <c r="J17" i="1"/>
  <c r="J14" i="1"/>
  <c r="J16" i="1"/>
  <c r="J15" i="1"/>
  <c r="J19" i="1"/>
  <c r="J18" i="1"/>
  <c r="J20" i="1"/>
  <c r="J21" i="1"/>
  <c r="J23" i="1"/>
  <c r="J22" i="1"/>
  <c r="J25" i="1"/>
  <c r="J24" i="1"/>
  <c r="J26" i="1"/>
  <c r="J27" i="1"/>
  <c r="J28" i="1"/>
  <c r="J29" i="1"/>
  <c r="J30" i="1"/>
  <c r="J31" i="1"/>
  <c r="J32" i="1"/>
  <c r="J33" i="1"/>
  <c r="J34" i="1"/>
  <c r="J36" i="1"/>
  <c r="J35" i="1"/>
  <c r="J37" i="1"/>
  <c r="J38" i="1"/>
  <c r="J42" i="1"/>
  <c r="J41" i="1"/>
  <c r="J40" i="1"/>
  <c r="J39" i="1"/>
  <c r="J44" i="1"/>
  <c r="J45" i="1"/>
  <c r="J43" i="1"/>
  <c r="J47" i="1"/>
  <c r="J46" i="1"/>
  <c r="J49" i="1"/>
  <c r="J48" i="1"/>
  <c r="J50" i="1"/>
  <c r="J51" i="1"/>
  <c r="J52" i="1"/>
  <c r="J53" i="1"/>
  <c r="J55" i="1"/>
  <c r="J54" i="1"/>
  <c r="J57" i="1"/>
  <c r="J56" i="1"/>
  <c r="J58" i="1"/>
  <c r="J59" i="1"/>
  <c r="J60" i="1"/>
  <c r="J62" i="1"/>
  <c r="J61" i="1"/>
  <c r="J63" i="1"/>
  <c r="J65" i="1"/>
  <c r="J64" i="1"/>
  <c r="J66" i="1"/>
  <c r="J67" i="1"/>
  <c r="J68" i="1"/>
  <c r="J69" i="1"/>
  <c r="J70" i="1"/>
  <c r="J4" i="1"/>
  <c r="E21" i="1" l="1"/>
  <c r="E15" i="1"/>
  <c r="E34" i="1" l="1"/>
  <c r="D34" i="1"/>
  <c r="B36" i="1"/>
  <c r="C36" i="1"/>
  <c r="E6" i="1"/>
  <c r="D6" i="1"/>
  <c r="C6" i="1"/>
  <c r="B6" i="1"/>
  <c r="E70" i="1" l="1"/>
  <c r="D70" i="1"/>
  <c r="C70" i="1"/>
  <c r="B70" i="1"/>
  <c r="E69" i="1"/>
  <c r="D69" i="1"/>
  <c r="C69" i="1"/>
  <c r="B69" i="1"/>
  <c r="E68" i="1"/>
  <c r="D68" i="1"/>
  <c r="C68" i="1"/>
  <c r="B68" i="1"/>
  <c r="E67" i="1"/>
  <c r="D67" i="1"/>
  <c r="C67" i="1"/>
  <c r="B67" i="1"/>
  <c r="E66" i="1"/>
  <c r="D66" i="1"/>
  <c r="C66" i="1"/>
  <c r="B66" i="1"/>
  <c r="E64" i="1"/>
  <c r="D64" i="1"/>
  <c r="C64" i="1"/>
  <c r="B64" i="1"/>
  <c r="E65" i="1"/>
  <c r="D65" i="1"/>
  <c r="C65" i="1"/>
  <c r="B65" i="1"/>
  <c r="E63" i="1"/>
  <c r="D63" i="1"/>
  <c r="C63" i="1"/>
  <c r="B63" i="1"/>
  <c r="E61" i="1"/>
  <c r="D61" i="1"/>
  <c r="C61" i="1"/>
  <c r="B61" i="1"/>
  <c r="E62" i="1"/>
  <c r="D62" i="1"/>
  <c r="C62" i="1"/>
  <c r="B62" i="1"/>
  <c r="E60" i="1"/>
  <c r="D60" i="1"/>
  <c r="C60" i="1"/>
  <c r="B60" i="1"/>
  <c r="E59" i="1"/>
  <c r="D59" i="1"/>
  <c r="C59" i="1"/>
  <c r="B59" i="1"/>
  <c r="E58" i="1"/>
  <c r="D58" i="1"/>
  <c r="C58" i="1"/>
  <c r="B58" i="1"/>
  <c r="E56" i="1"/>
  <c r="D56" i="1"/>
  <c r="C56" i="1"/>
  <c r="B56" i="1"/>
  <c r="E57" i="1"/>
  <c r="D57" i="1"/>
  <c r="C57" i="1"/>
  <c r="B57" i="1"/>
  <c r="E54" i="1"/>
  <c r="D54" i="1"/>
  <c r="C54" i="1"/>
  <c r="B54" i="1"/>
  <c r="E55" i="1"/>
  <c r="D55" i="1"/>
  <c r="C55" i="1"/>
  <c r="B55" i="1"/>
  <c r="E53" i="1"/>
  <c r="D53" i="1"/>
  <c r="C53" i="1"/>
  <c r="B53" i="1"/>
  <c r="E52" i="1"/>
  <c r="D52" i="1"/>
  <c r="C52" i="1"/>
  <c r="B52" i="1"/>
  <c r="E51" i="1"/>
  <c r="D51" i="1"/>
  <c r="C51" i="1"/>
  <c r="B51" i="1"/>
  <c r="E50" i="1"/>
  <c r="D50" i="1"/>
  <c r="C50" i="1"/>
  <c r="B50" i="1"/>
  <c r="E48" i="1"/>
  <c r="D48" i="1"/>
  <c r="C48" i="1"/>
  <c r="B48" i="1"/>
  <c r="E49" i="1"/>
  <c r="D49" i="1"/>
  <c r="C49" i="1"/>
  <c r="B49" i="1"/>
  <c r="E46" i="1"/>
  <c r="D46" i="1"/>
  <c r="C46" i="1"/>
  <c r="B46" i="1"/>
  <c r="E47" i="1"/>
  <c r="D47" i="1"/>
  <c r="C47" i="1"/>
  <c r="B47" i="1"/>
  <c r="E43" i="1"/>
  <c r="D43" i="1"/>
  <c r="C43" i="1"/>
  <c r="B43" i="1"/>
  <c r="E45" i="1"/>
  <c r="D45" i="1"/>
  <c r="C45" i="1"/>
  <c r="B45" i="1"/>
  <c r="E44" i="1"/>
  <c r="D44" i="1"/>
  <c r="C44" i="1"/>
  <c r="B44" i="1"/>
  <c r="E39" i="1"/>
  <c r="D39" i="1"/>
  <c r="C39" i="1"/>
  <c r="B39" i="1"/>
  <c r="E40" i="1"/>
  <c r="D40" i="1"/>
  <c r="C40" i="1"/>
  <c r="B40" i="1"/>
  <c r="E41" i="1"/>
  <c r="D41" i="1"/>
  <c r="C41" i="1"/>
  <c r="B41" i="1"/>
  <c r="E42" i="1"/>
  <c r="D42" i="1"/>
  <c r="C42" i="1"/>
  <c r="B42" i="1"/>
  <c r="E38" i="1"/>
  <c r="D38" i="1"/>
  <c r="C38" i="1"/>
  <c r="B38" i="1"/>
  <c r="E37" i="1"/>
  <c r="D37" i="1"/>
  <c r="C37" i="1"/>
  <c r="B37" i="1"/>
  <c r="E35" i="1"/>
  <c r="D35" i="1"/>
  <c r="C35" i="1"/>
  <c r="B35" i="1"/>
  <c r="E36" i="1"/>
  <c r="D36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4" i="1"/>
  <c r="D24" i="1"/>
  <c r="C24" i="1"/>
  <c r="B24" i="1"/>
  <c r="E25" i="1"/>
  <c r="D25" i="1"/>
  <c r="C25" i="1"/>
  <c r="B25" i="1"/>
  <c r="E22" i="1"/>
  <c r="D22" i="1"/>
  <c r="C22" i="1"/>
  <c r="B22" i="1"/>
  <c r="E23" i="1"/>
  <c r="D23" i="1"/>
  <c r="C23" i="1"/>
  <c r="B23" i="1"/>
  <c r="E20" i="1"/>
  <c r="D20" i="1"/>
  <c r="C20" i="1"/>
  <c r="B20" i="1"/>
  <c r="E18" i="1"/>
  <c r="D18" i="1"/>
  <c r="C18" i="1"/>
  <c r="B18" i="1"/>
  <c r="E19" i="1"/>
  <c r="D19" i="1"/>
  <c r="C19" i="1"/>
  <c r="B19" i="1"/>
  <c r="E16" i="1"/>
  <c r="D16" i="1"/>
  <c r="C16" i="1"/>
  <c r="B16" i="1"/>
  <c r="E14" i="1"/>
  <c r="D14" i="1"/>
  <c r="C14" i="1"/>
  <c r="B14" i="1"/>
  <c r="E17" i="1"/>
  <c r="D17" i="1"/>
  <c r="C17" i="1"/>
  <c r="B17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5" i="1"/>
  <c r="D5" i="1"/>
  <c r="C5" i="1"/>
  <c r="B5" i="1"/>
  <c r="E3" i="1"/>
  <c r="D3" i="1"/>
  <c r="C3" i="1"/>
  <c r="B3" i="1"/>
  <c r="E4" i="1"/>
  <c r="D4" i="1"/>
  <c r="C4" i="1"/>
  <c r="B4" i="1"/>
</calcChain>
</file>

<file path=xl/sharedStrings.xml><?xml version="1.0" encoding="utf-8"?>
<sst xmlns="http://schemas.openxmlformats.org/spreadsheetml/2006/main" count="156" uniqueCount="35">
  <si>
    <t>序号</t>
  </si>
  <si>
    <t>姓名</t>
  </si>
  <si>
    <t>性别</t>
  </si>
  <si>
    <t>准考证号</t>
  </si>
  <si>
    <t>岗位代码</t>
  </si>
  <si>
    <t>岗位名称</t>
  </si>
  <si>
    <t>招聘单位</t>
  </si>
  <si>
    <t>笔试成绩</t>
  </si>
  <si>
    <t>语文教师</t>
  </si>
  <si>
    <t>高中</t>
  </si>
  <si>
    <t>数学教师</t>
  </si>
  <si>
    <t>英语教师</t>
  </si>
  <si>
    <t>政治教师</t>
  </si>
  <si>
    <t>地理教师</t>
  </si>
  <si>
    <t>物理教师</t>
  </si>
  <si>
    <t>生物教师</t>
  </si>
  <si>
    <t>初中</t>
  </si>
  <si>
    <t>历史教师</t>
  </si>
  <si>
    <t>化学教师</t>
  </si>
  <si>
    <t>音乐教师</t>
  </si>
  <si>
    <t>体育教师</t>
  </si>
  <si>
    <t>美术教师</t>
  </si>
  <si>
    <t>信息技术教师</t>
  </si>
  <si>
    <t>心理健康教育教师</t>
  </si>
  <si>
    <t>小学</t>
  </si>
  <si>
    <t>女</t>
  </si>
  <si>
    <t>刘淑健</t>
  </si>
  <si>
    <t>202301220335</t>
  </si>
  <si>
    <t>屈灵</t>
  </si>
  <si>
    <t>202301220930</t>
  </si>
  <si>
    <t>周珺洁</t>
  </si>
  <si>
    <t>面试成绩</t>
    <phoneticPr fontId="1" type="noConversion"/>
  </si>
  <si>
    <t>综合成绩</t>
    <phoneticPr fontId="1" type="noConversion"/>
  </si>
  <si>
    <t>备注</t>
    <phoneticPr fontId="1" type="noConversion"/>
  </si>
  <si>
    <t xml:space="preserve">    东安县2023年公开招聘教师资格复审、体检人员名单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</si>
</sst>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3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zoomScale="145" zoomScaleNormal="145" workbookViewId="0">
      <selection activeCell="I7" sqref="I7"/>
    </sheetView>
  </sheetViews>
  <sheetFormatPr defaultColWidth="9.5" defaultRowHeight="14.25" customHeight="1" x14ac:dyDescent="0.15"/>
  <cols>
    <col min="1" max="1" width="4.125" style="3" customWidth="1"/>
    <col min="2" max="2" width="8.25" style="3" customWidth="1"/>
    <col min="3" max="3" width="4.75" style="3" customWidth="1"/>
    <col min="4" max="4" width="12.875" style="3" customWidth="1"/>
    <col min="5" max="5" width="4.625" style="3" customWidth="1"/>
    <col min="6" max="6" width="10.375" style="3" customWidth="1"/>
    <col min="7" max="7" width="6.875" style="3" customWidth="1"/>
    <col min="8" max="8" width="8.5" style="3" customWidth="1"/>
    <col min="9" max="9" width="8.625" style="3" customWidth="1"/>
    <col min="10" max="10" width="7.5" style="8" customWidth="1"/>
    <col min="11" max="11" width="8" style="3" customWidth="1"/>
    <col min="12" max="16384" width="9.5" style="3"/>
  </cols>
  <sheetData>
    <row r="1" spans="1:11" ht="27" customHeight="1" x14ac:dyDescent="0.15">
      <c r="A1" s="11" t="s">
        <v>34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s="7" customFormat="1" ht="14.2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 t="s">
        <v>5</v>
      </c>
      <c r="G2" s="1" t="s">
        <v>6</v>
      </c>
      <c r="H2" s="1" t="s">
        <v>7</v>
      </c>
      <c r="I2" s="1" t="s">
        <v>31</v>
      </c>
      <c r="J2" s="9" t="s">
        <v>32</v>
      </c>
      <c r="K2" s="1" t="s">
        <v>33</v>
      </c>
    </row>
    <row r="3" spans="1:11" s="6" customFormat="1" ht="14.25" customHeight="1" x14ac:dyDescent="0.15">
      <c r="A3" s="4">
        <v>1</v>
      </c>
      <c r="B3" s="5" t="str">
        <f>"胡先达"</f>
        <v>胡先达</v>
      </c>
      <c r="C3" s="5" t="str">
        <f>"男"</f>
        <v>男</v>
      </c>
      <c r="D3" s="5" t="str">
        <f>"202301229333"</f>
        <v>202301229333</v>
      </c>
      <c r="E3" s="4" t="str">
        <f>"01"</f>
        <v>01</v>
      </c>
      <c r="F3" s="5" t="s">
        <v>8</v>
      </c>
      <c r="G3" s="5" t="s">
        <v>9</v>
      </c>
      <c r="H3" s="5">
        <v>78.400000000000006</v>
      </c>
      <c r="I3" s="5">
        <v>83.5</v>
      </c>
      <c r="J3" s="10">
        <f t="shared" ref="J3:J8" si="0">H3*0.5+I3*0.5</f>
        <v>80.95</v>
      </c>
      <c r="K3" s="5"/>
    </row>
    <row r="4" spans="1:11" s="6" customFormat="1" ht="14.25" customHeight="1" x14ac:dyDescent="0.15">
      <c r="A4" s="4">
        <v>2</v>
      </c>
      <c r="B4" s="5" t="str">
        <f>"肖言萍"</f>
        <v>肖言萍</v>
      </c>
      <c r="C4" s="5" t="str">
        <f>"女"</f>
        <v>女</v>
      </c>
      <c r="D4" s="5" t="str">
        <f>"202301229323"</f>
        <v>202301229323</v>
      </c>
      <c r="E4" s="4" t="str">
        <f>"01"</f>
        <v>01</v>
      </c>
      <c r="F4" s="5" t="s">
        <v>8</v>
      </c>
      <c r="G4" s="5" t="s">
        <v>9</v>
      </c>
      <c r="H4" s="5">
        <v>80.05</v>
      </c>
      <c r="I4" s="5">
        <v>81.64</v>
      </c>
      <c r="J4" s="10">
        <f t="shared" si="0"/>
        <v>80.844999999999999</v>
      </c>
      <c r="K4" s="4"/>
    </row>
    <row r="5" spans="1:11" s="6" customFormat="1" ht="14.25" customHeight="1" x14ac:dyDescent="0.15">
      <c r="A5" s="4">
        <v>3</v>
      </c>
      <c r="B5" s="4" t="str">
        <f>"谭小康"</f>
        <v>谭小康</v>
      </c>
      <c r="C5" s="4" t="str">
        <f>"男"</f>
        <v>男</v>
      </c>
      <c r="D5" s="4" t="str">
        <f>"202301229405"</f>
        <v>202301229405</v>
      </c>
      <c r="E5" s="5" t="str">
        <f>"02"</f>
        <v>02</v>
      </c>
      <c r="F5" s="4" t="s">
        <v>10</v>
      </c>
      <c r="G5" s="4" t="s">
        <v>9</v>
      </c>
      <c r="H5" s="4">
        <v>73.2</v>
      </c>
      <c r="I5" s="4">
        <v>79.8</v>
      </c>
      <c r="J5" s="10">
        <f t="shared" si="0"/>
        <v>76.5</v>
      </c>
      <c r="K5" s="4"/>
    </row>
    <row r="6" spans="1:11" s="6" customFormat="1" ht="14.25" customHeight="1" x14ac:dyDescent="0.15">
      <c r="A6" s="4">
        <v>4</v>
      </c>
      <c r="B6" s="5" t="str">
        <f>"王辉"</f>
        <v>王辉</v>
      </c>
      <c r="C6" s="5" t="str">
        <f>"男"</f>
        <v>男</v>
      </c>
      <c r="D6" s="5" t="str">
        <f>"202301229416"</f>
        <v>202301229416</v>
      </c>
      <c r="E6" s="5" t="str">
        <f>"02"</f>
        <v>02</v>
      </c>
      <c r="F6" s="5" t="s">
        <v>10</v>
      </c>
      <c r="G6" s="5" t="s">
        <v>9</v>
      </c>
      <c r="H6" s="5">
        <v>63.5</v>
      </c>
      <c r="I6" s="5">
        <v>83.8</v>
      </c>
      <c r="J6" s="10">
        <f t="shared" si="0"/>
        <v>73.650000000000006</v>
      </c>
      <c r="K6" s="5"/>
    </row>
    <row r="7" spans="1:11" ht="14.25" customHeight="1" x14ac:dyDescent="0.15">
      <c r="A7" s="4">
        <v>5</v>
      </c>
      <c r="B7" s="5" t="str">
        <f>"胡宏斌"</f>
        <v>胡宏斌</v>
      </c>
      <c r="C7" s="5" t="str">
        <f>"男"</f>
        <v>男</v>
      </c>
      <c r="D7" s="5" t="str">
        <f>"202301228820"</f>
        <v>202301228820</v>
      </c>
      <c r="E7" s="4" t="str">
        <f>"03"</f>
        <v>03</v>
      </c>
      <c r="F7" s="5" t="s">
        <v>11</v>
      </c>
      <c r="G7" s="5" t="s">
        <v>9</v>
      </c>
      <c r="H7" s="5">
        <v>79.400000000000006</v>
      </c>
      <c r="I7" s="5">
        <v>81.099999999999994</v>
      </c>
      <c r="J7" s="10">
        <f t="shared" si="0"/>
        <v>80.25</v>
      </c>
      <c r="K7" s="5"/>
    </row>
    <row r="8" spans="1:11" ht="14.25" customHeight="1" x14ac:dyDescent="0.15">
      <c r="A8" s="4">
        <v>6</v>
      </c>
      <c r="B8" s="4" t="str">
        <f>"黄诗思"</f>
        <v>黄诗思</v>
      </c>
      <c r="C8" s="4" t="str">
        <f>"女"</f>
        <v>女</v>
      </c>
      <c r="D8" s="4" t="str">
        <f>"202301228822"</f>
        <v>202301228822</v>
      </c>
      <c r="E8" s="4" t="str">
        <f>"03"</f>
        <v>03</v>
      </c>
      <c r="F8" s="4" t="s">
        <v>11</v>
      </c>
      <c r="G8" s="4" t="s">
        <v>9</v>
      </c>
      <c r="H8" s="4">
        <v>79.400000000000006</v>
      </c>
      <c r="I8" s="4">
        <v>80.06</v>
      </c>
      <c r="J8" s="10">
        <f t="shared" si="0"/>
        <v>79.73</v>
      </c>
      <c r="K8" s="5"/>
    </row>
    <row r="9" spans="1:11" s="6" customFormat="1" ht="14.25" customHeight="1" x14ac:dyDescent="0.15">
      <c r="A9" s="4">
        <v>7</v>
      </c>
      <c r="B9" s="4" t="str">
        <f>"贺柳"</f>
        <v>贺柳</v>
      </c>
      <c r="C9" s="4" t="str">
        <f>"女"</f>
        <v>女</v>
      </c>
      <c r="D9" s="4" t="str">
        <f>"202301229123"</f>
        <v>202301229123</v>
      </c>
      <c r="E9" s="5" t="str">
        <f>"05"</f>
        <v>05</v>
      </c>
      <c r="F9" s="4" t="s">
        <v>13</v>
      </c>
      <c r="G9" s="4" t="s">
        <v>9</v>
      </c>
      <c r="H9" s="4">
        <v>78.599999999999994</v>
      </c>
      <c r="I9" s="4">
        <v>81.180000000000007</v>
      </c>
      <c r="J9" s="10">
        <f t="shared" ref="J9:J12" si="1">H9*0.5+I9*0.5</f>
        <v>79.89</v>
      </c>
      <c r="K9" s="4"/>
    </row>
    <row r="10" spans="1:11" s="6" customFormat="1" ht="14.25" customHeight="1" x14ac:dyDescent="0.15">
      <c r="A10" s="4">
        <v>8</v>
      </c>
      <c r="B10" s="4" t="str">
        <f>"王涵"</f>
        <v>王涵</v>
      </c>
      <c r="C10" s="4" t="str">
        <f>"女"</f>
        <v>女</v>
      </c>
      <c r="D10" s="4" t="str">
        <f>"202301229122"</f>
        <v>202301229122</v>
      </c>
      <c r="E10" s="5" t="str">
        <f>"05"</f>
        <v>05</v>
      </c>
      <c r="F10" s="4" t="s">
        <v>13</v>
      </c>
      <c r="G10" s="4" t="s">
        <v>9</v>
      </c>
      <c r="H10" s="4">
        <v>75.849999999999994</v>
      </c>
      <c r="I10" s="4">
        <v>83.66</v>
      </c>
      <c r="J10" s="10">
        <f t="shared" si="1"/>
        <v>79.754999999999995</v>
      </c>
      <c r="K10" s="5"/>
    </row>
    <row r="11" spans="1:11" s="6" customFormat="1" ht="14.25" customHeight="1" x14ac:dyDescent="0.15">
      <c r="A11" s="4">
        <v>9</v>
      </c>
      <c r="B11" s="4" t="str">
        <f>"万之璇"</f>
        <v>万之璇</v>
      </c>
      <c r="C11" s="4" t="str">
        <f>"女"</f>
        <v>女</v>
      </c>
      <c r="D11" s="4" t="str">
        <f>"202301229603"</f>
        <v>202301229603</v>
      </c>
      <c r="E11" s="4" t="str">
        <f>"06"</f>
        <v>06</v>
      </c>
      <c r="F11" s="4" t="s">
        <v>14</v>
      </c>
      <c r="G11" s="4" t="s">
        <v>9</v>
      </c>
      <c r="H11" s="4">
        <v>85.25</v>
      </c>
      <c r="I11" s="4">
        <v>84.3</v>
      </c>
      <c r="J11" s="10">
        <f t="shared" si="1"/>
        <v>84.775000000000006</v>
      </c>
      <c r="K11" s="4"/>
    </row>
    <row r="12" spans="1:11" s="6" customFormat="1" ht="14.25" customHeight="1" x14ac:dyDescent="0.15">
      <c r="A12" s="4">
        <v>10</v>
      </c>
      <c r="B12" s="4" t="str">
        <f>"周文俊"</f>
        <v>周文俊</v>
      </c>
      <c r="C12" s="4" t="str">
        <f>"男"</f>
        <v>男</v>
      </c>
      <c r="D12" s="4" t="str">
        <f>"202301229534"</f>
        <v>202301229534</v>
      </c>
      <c r="E12" s="4" t="str">
        <f>"06"</f>
        <v>06</v>
      </c>
      <c r="F12" s="4" t="s">
        <v>14</v>
      </c>
      <c r="G12" s="4" t="s">
        <v>9</v>
      </c>
      <c r="H12" s="4">
        <v>78.349999999999994</v>
      </c>
      <c r="I12" s="4">
        <v>79.72</v>
      </c>
      <c r="J12" s="10">
        <f t="shared" si="1"/>
        <v>79.034999999999997</v>
      </c>
      <c r="K12" s="4"/>
    </row>
    <row r="13" spans="1:11" s="6" customFormat="1" ht="14.25" customHeight="1" x14ac:dyDescent="0.15">
      <c r="A13" s="4">
        <v>11</v>
      </c>
      <c r="B13" s="4" t="str">
        <f>"王春霖"</f>
        <v>王春霖</v>
      </c>
      <c r="C13" s="4" t="str">
        <f>"女"</f>
        <v>女</v>
      </c>
      <c r="D13" s="4" t="str">
        <f>"202301228624"</f>
        <v>202301228624</v>
      </c>
      <c r="E13" s="5" t="str">
        <f>"07"</f>
        <v>07</v>
      </c>
      <c r="F13" s="4" t="s">
        <v>15</v>
      </c>
      <c r="G13" s="4" t="s">
        <v>9</v>
      </c>
      <c r="H13" s="4">
        <v>73.900000000000006</v>
      </c>
      <c r="I13" s="4">
        <v>80.02</v>
      </c>
      <c r="J13" s="10">
        <f t="shared" ref="J13:J17" si="2">H13*0.5+I13*0.5</f>
        <v>76.960000000000008</v>
      </c>
      <c r="K13" s="4"/>
    </row>
    <row r="14" spans="1:11" ht="14.25" customHeight="1" x14ac:dyDescent="0.15">
      <c r="A14" s="4">
        <v>12</v>
      </c>
      <c r="B14" s="4" t="str">
        <f>"欧婷凤"</f>
        <v>欧婷凤</v>
      </c>
      <c r="C14" s="4" t="str">
        <f>"女"</f>
        <v>女</v>
      </c>
      <c r="D14" s="4" t="str">
        <f>"202301220434"</f>
        <v>202301220434</v>
      </c>
      <c r="E14" s="4" t="str">
        <f t="shared" ref="E14:E17" si="3">"08"</f>
        <v>08</v>
      </c>
      <c r="F14" s="4" t="s">
        <v>8</v>
      </c>
      <c r="G14" s="4" t="s">
        <v>16</v>
      </c>
      <c r="H14" s="4">
        <v>83.75</v>
      </c>
      <c r="I14" s="4">
        <v>83.92</v>
      </c>
      <c r="J14" s="10">
        <f t="shared" si="2"/>
        <v>83.835000000000008</v>
      </c>
      <c r="K14" s="4"/>
    </row>
    <row r="15" spans="1:11" s="6" customFormat="1" ht="14.25" customHeight="1" x14ac:dyDescent="0.15">
      <c r="A15" s="4">
        <v>13</v>
      </c>
      <c r="B15" s="4" t="s">
        <v>26</v>
      </c>
      <c r="C15" s="4" t="s">
        <v>25</v>
      </c>
      <c r="D15" s="4" t="s">
        <v>27</v>
      </c>
      <c r="E15" s="4" t="str">
        <f t="shared" si="3"/>
        <v>08</v>
      </c>
      <c r="F15" s="4" t="s">
        <v>8</v>
      </c>
      <c r="G15" s="4" t="s">
        <v>16</v>
      </c>
      <c r="H15" s="4">
        <v>82.5</v>
      </c>
      <c r="I15" s="4">
        <v>84.26</v>
      </c>
      <c r="J15" s="10">
        <f t="shared" si="2"/>
        <v>83.38</v>
      </c>
      <c r="K15" s="4"/>
    </row>
    <row r="16" spans="1:11" ht="14.25" customHeight="1" x14ac:dyDescent="0.15">
      <c r="A16" s="4">
        <v>14</v>
      </c>
      <c r="B16" s="4" t="str">
        <f>"伍玲玲"</f>
        <v>伍玲玲</v>
      </c>
      <c r="C16" s="4" t="str">
        <f>"女"</f>
        <v>女</v>
      </c>
      <c r="D16" s="4" t="str">
        <f>"202301220427"</f>
        <v>202301220427</v>
      </c>
      <c r="E16" s="4" t="str">
        <f t="shared" si="3"/>
        <v>08</v>
      </c>
      <c r="F16" s="4" t="s">
        <v>8</v>
      </c>
      <c r="G16" s="4" t="s">
        <v>16</v>
      </c>
      <c r="H16" s="4">
        <v>83.65</v>
      </c>
      <c r="I16" s="4">
        <v>79.92</v>
      </c>
      <c r="J16" s="10">
        <f t="shared" si="2"/>
        <v>81.784999999999997</v>
      </c>
      <c r="K16" s="4"/>
    </row>
    <row r="17" spans="1:11" s="6" customFormat="1" ht="14.25" customHeight="1" x14ac:dyDescent="0.15">
      <c r="A17" s="4">
        <v>15</v>
      </c>
      <c r="B17" s="4" t="str">
        <f>"李妮妮"</f>
        <v>李妮妮</v>
      </c>
      <c r="C17" s="4" t="str">
        <f>"女"</f>
        <v>女</v>
      </c>
      <c r="D17" s="4" t="str">
        <f>"202301220413"</f>
        <v>202301220413</v>
      </c>
      <c r="E17" s="4" t="str">
        <f t="shared" si="3"/>
        <v>08</v>
      </c>
      <c r="F17" s="4" t="s">
        <v>8</v>
      </c>
      <c r="G17" s="4" t="s">
        <v>16</v>
      </c>
      <c r="H17" s="4">
        <v>84.25</v>
      </c>
      <c r="I17" s="4">
        <v>78.28</v>
      </c>
      <c r="J17" s="10">
        <f t="shared" si="2"/>
        <v>81.265000000000001</v>
      </c>
      <c r="K17" s="5"/>
    </row>
    <row r="18" spans="1:11" ht="14.25" customHeight="1" x14ac:dyDescent="0.15">
      <c r="A18" s="4">
        <v>16</v>
      </c>
      <c r="B18" s="4" t="str">
        <f>"彭唐妮"</f>
        <v>彭唐妮</v>
      </c>
      <c r="C18" s="4" t="str">
        <f>"女"</f>
        <v>女</v>
      </c>
      <c r="D18" s="4" t="str">
        <f>"202301220922"</f>
        <v>202301220922</v>
      </c>
      <c r="E18" s="4" t="str">
        <f t="shared" ref="E18:E21" si="4">"09"</f>
        <v>09</v>
      </c>
      <c r="F18" s="4" t="s">
        <v>10</v>
      </c>
      <c r="G18" s="4" t="s">
        <v>16</v>
      </c>
      <c r="H18" s="4">
        <v>82.95</v>
      </c>
      <c r="I18" s="4">
        <v>83.8</v>
      </c>
      <c r="J18" s="10">
        <f>H18*0.5+I18*0.5</f>
        <v>83.375</v>
      </c>
      <c r="K18" s="4"/>
    </row>
    <row r="19" spans="1:11" ht="14.25" customHeight="1" x14ac:dyDescent="0.15">
      <c r="A19" s="4">
        <v>17</v>
      </c>
      <c r="B19" s="4" t="str">
        <f>"于志芳"</f>
        <v>于志芳</v>
      </c>
      <c r="C19" s="4" t="str">
        <f>"女"</f>
        <v>女</v>
      </c>
      <c r="D19" s="4" t="str">
        <f>"202301220709"</f>
        <v>202301220709</v>
      </c>
      <c r="E19" s="4" t="str">
        <f t="shared" si="4"/>
        <v>09</v>
      </c>
      <c r="F19" s="4" t="s">
        <v>10</v>
      </c>
      <c r="G19" s="4" t="s">
        <v>16</v>
      </c>
      <c r="H19" s="4">
        <v>85.45</v>
      </c>
      <c r="I19" s="4">
        <v>79.099999999999994</v>
      </c>
      <c r="J19" s="10">
        <f>H19*0.5+I19*0.5</f>
        <v>82.275000000000006</v>
      </c>
      <c r="K19" s="5"/>
    </row>
    <row r="20" spans="1:11" s="6" customFormat="1" ht="14.25" customHeight="1" x14ac:dyDescent="0.15">
      <c r="A20" s="4">
        <v>18</v>
      </c>
      <c r="B20" s="4" t="str">
        <f>"周紫艳"</f>
        <v>周紫艳</v>
      </c>
      <c r="C20" s="4" t="str">
        <f>"女"</f>
        <v>女</v>
      </c>
      <c r="D20" s="4" t="str">
        <f>"202301220929"</f>
        <v>202301220929</v>
      </c>
      <c r="E20" s="4" t="str">
        <f t="shared" si="4"/>
        <v>09</v>
      </c>
      <c r="F20" s="4" t="s">
        <v>10</v>
      </c>
      <c r="G20" s="4" t="s">
        <v>16</v>
      </c>
      <c r="H20" s="4">
        <v>78.900000000000006</v>
      </c>
      <c r="I20" s="4">
        <v>78.7</v>
      </c>
      <c r="J20" s="10">
        <f>H20*0.5+I20*0.5</f>
        <v>78.800000000000011</v>
      </c>
      <c r="K20" s="5"/>
    </row>
    <row r="21" spans="1:11" s="6" customFormat="1" ht="14.25" customHeight="1" x14ac:dyDescent="0.15">
      <c r="A21" s="4">
        <v>19</v>
      </c>
      <c r="B21" s="4" t="s">
        <v>28</v>
      </c>
      <c r="C21" s="4" t="s">
        <v>25</v>
      </c>
      <c r="D21" s="4" t="s">
        <v>29</v>
      </c>
      <c r="E21" s="4" t="str">
        <f t="shared" si="4"/>
        <v>09</v>
      </c>
      <c r="F21" s="4" t="s">
        <v>10</v>
      </c>
      <c r="G21" s="4" t="s">
        <v>16</v>
      </c>
      <c r="H21" s="4">
        <v>76.45</v>
      </c>
      <c r="I21" s="4">
        <v>77.599999999999994</v>
      </c>
      <c r="J21" s="10">
        <f>H21*0.5+I21*0.5</f>
        <v>77.025000000000006</v>
      </c>
      <c r="K21" s="5"/>
    </row>
    <row r="22" spans="1:11" s="6" customFormat="1" ht="14.25" customHeight="1" x14ac:dyDescent="0.15">
      <c r="A22" s="4">
        <v>20</v>
      </c>
      <c r="B22" s="4" t="str">
        <f>"唐妍"</f>
        <v>唐妍</v>
      </c>
      <c r="C22" s="4" t="str">
        <f t="shared" ref="C22:C29" si="5">"女"</f>
        <v>女</v>
      </c>
      <c r="D22" s="4" t="str">
        <f>"202301222134"</f>
        <v>202301222134</v>
      </c>
      <c r="E22" s="4" t="str">
        <f t="shared" ref="E22:E25" si="6">"10"</f>
        <v>10</v>
      </c>
      <c r="F22" s="4" t="s">
        <v>11</v>
      </c>
      <c r="G22" s="4" t="s">
        <v>16</v>
      </c>
      <c r="H22" s="4">
        <v>87</v>
      </c>
      <c r="I22" s="4">
        <v>84.5</v>
      </c>
      <c r="J22" s="10">
        <f t="shared" ref="J22:J27" si="7">H22*0.5+I22*0.5</f>
        <v>85.75</v>
      </c>
      <c r="K22" s="4"/>
    </row>
    <row r="23" spans="1:11" s="6" customFormat="1" ht="14.25" customHeight="1" x14ac:dyDescent="0.15">
      <c r="A23" s="4">
        <v>21</v>
      </c>
      <c r="B23" s="4" t="str">
        <f>"朱怡"</f>
        <v>朱怡</v>
      </c>
      <c r="C23" s="4" t="str">
        <f t="shared" si="5"/>
        <v>女</v>
      </c>
      <c r="D23" s="4" t="str">
        <f>"202301221608"</f>
        <v>202301221608</v>
      </c>
      <c r="E23" s="4" t="str">
        <f t="shared" si="6"/>
        <v>10</v>
      </c>
      <c r="F23" s="4" t="s">
        <v>11</v>
      </c>
      <c r="G23" s="4" t="s">
        <v>16</v>
      </c>
      <c r="H23" s="4">
        <v>87.95</v>
      </c>
      <c r="I23" s="4">
        <v>78.86</v>
      </c>
      <c r="J23" s="10">
        <f t="shared" si="7"/>
        <v>83.405000000000001</v>
      </c>
      <c r="K23" s="4"/>
    </row>
    <row r="24" spans="1:11" ht="14.25" customHeight="1" x14ac:dyDescent="0.15">
      <c r="A24" s="4">
        <v>22</v>
      </c>
      <c r="B24" s="4" t="str">
        <f>"邱佳夷"</f>
        <v>邱佳夷</v>
      </c>
      <c r="C24" s="4" t="str">
        <f t="shared" si="5"/>
        <v>女</v>
      </c>
      <c r="D24" s="4" t="str">
        <f>"202301221126"</f>
        <v>202301221126</v>
      </c>
      <c r="E24" s="4" t="str">
        <f t="shared" si="6"/>
        <v>10</v>
      </c>
      <c r="F24" s="4" t="s">
        <v>11</v>
      </c>
      <c r="G24" s="4" t="s">
        <v>16</v>
      </c>
      <c r="H24" s="4">
        <v>85.4</v>
      </c>
      <c r="I24" s="4">
        <v>80.58</v>
      </c>
      <c r="J24" s="10">
        <f t="shared" si="7"/>
        <v>82.990000000000009</v>
      </c>
      <c r="K24" s="4"/>
    </row>
    <row r="25" spans="1:11" ht="14.25" customHeight="1" x14ac:dyDescent="0.15">
      <c r="A25" s="4">
        <v>23</v>
      </c>
      <c r="B25" s="4" t="str">
        <f>"唐小丽"</f>
        <v>唐小丽</v>
      </c>
      <c r="C25" s="4" t="str">
        <f t="shared" si="5"/>
        <v>女</v>
      </c>
      <c r="D25" s="4" t="str">
        <f>"202301221513"</f>
        <v>202301221513</v>
      </c>
      <c r="E25" s="4" t="str">
        <f t="shared" si="6"/>
        <v>10</v>
      </c>
      <c r="F25" s="4" t="s">
        <v>11</v>
      </c>
      <c r="G25" s="4" t="s">
        <v>16</v>
      </c>
      <c r="H25" s="4">
        <v>85.55</v>
      </c>
      <c r="I25" s="4">
        <v>80.42</v>
      </c>
      <c r="J25" s="10">
        <f t="shared" si="7"/>
        <v>82.984999999999999</v>
      </c>
      <c r="K25" s="5"/>
    </row>
    <row r="26" spans="1:11" ht="14.25" customHeight="1" x14ac:dyDescent="0.15">
      <c r="A26" s="4">
        <v>24</v>
      </c>
      <c r="B26" s="4" t="str">
        <f>"赵欢"</f>
        <v>赵欢</v>
      </c>
      <c r="C26" s="4" t="str">
        <f t="shared" si="5"/>
        <v>女</v>
      </c>
      <c r="D26" s="4" t="str">
        <f>"202301224933"</f>
        <v>202301224933</v>
      </c>
      <c r="E26" s="4" t="str">
        <f>"11"</f>
        <v>11</v>
      </c>
      <c r="F26" s="4" t="s">
        <v>12</v>
      </c>
      <c r="G26" s="4" t="s">
        <v>16</v>
      </c>
      <c r="H26" s="4">
        <v>83.2</v>
      </c>
      <c r="I26" s="4">
        <v>83.58</v>
      </c>
      <c r="J26" s="10">
        <f t="shared" si="7"/>
        <v>83.39</v>
      </c>
      <c r="K26" s="5"/>
    </row>
    <row r="27" spans="1:11" s="6" customFormat="1" ht="14.25" customHeight="1" x14ac:dyDescent="0.15">
      <c r="A27" s="4">
        <v>25</v>
      </c>
      <c r="B27" s="5" t="str">
        <f>"唐萍"</f>
        <v>唐萍</v>
      </c>
      <c r="C27" s="5" t="str">
        <f t="shared" si="5"/>
        <v>女</v>
      </c>
      <c r="D27" s="5" t="str">
        <f>"202301224928"</f>
        <v>202301224928</v>
      </c>
      <c r="E27" s="5" t="str">
        <f>"11"</f>
        <v>11</v>
      </c>
      <c r="F27" s="5" t="s">
        <v>12</v>
      </c>
      <c r="G27" s="5" t="s">
        <v>16</v>
      </c>
      <c r="H27" s="5">
        <v>80.7</v>
      </c>
      <c r="I27" s="5">
        <v>80.44</v>
      </c>
      <c r="J27" s="10">
        <f t="shared" si="7"/>
        <v>80.569999999999993</v>
      </c>
      <c r="K27" s="4"/>
    </row>
    <row r="28" spans="1:11" s="6" customFormat="1" ht="14.25" customHeight="1" x14ac:dyDescent="0.15">
      <c r="A28" s="4">
        <v>26</v>
      </c>
      <c r="B28" s="4" t="str">
        <f>"刘依萍"</f>
        <v>刘依萍</v>
      </c>
      <c r="C28" s="4" t="str">
        <f t="shared" si="5"/>
        <v>女</v>
      </c>
      <c r="D28" s="4" t="str">
        <f>"202301224132"</f>
        <v>202301224132</v>
      </c>
      <c r="E28" s="4" t="str">
        <f>"12"</f>
        <v>12</v>
      </c>
      <c r="F28" s="4" t="s">
        <v>17</v>
      </c>
      <c r="G28" s="4" t="s">
        <v>16</v>
      </c>
      <c r="H28" s="4">
        <v>72.55</v>
      </c>
      <c r="I28" s="4">
        <v>78.3</v>
      </c>
      <c r="J28" s="10">
        <f t="shared" ref="J28:J34" si="8">H28*0.5+I28*0.5</f>
        <v>75.424999999999997</v>
      </c>
      <c r="K28" s="4"/>
    </row>
    <row r="29" spans="1:11" s="6" customFormat="1" ht="14.25" customHeight="1" x14ac:dyDescent="0.15">
      <c r="A29" s="4">
        <v>27</v>
      </c>
      <c r="B29" s="4" t="str">
        <f>"周富洁"</f>
        <v>周富洁</v>
      </c>
      <c r="C29" s="4" t="str">
        <f t="shared" si="5"/>
        <v>女</v>
      </c>
      <c r="D29" s="4" t="str">
        <f>"202301224024"</f>
        <v>202301224024</v>
      </c>
      <c r="E29" s="4" t="str">
        <f>"13"</f>
        <v>13</v>
      </c>
      <c r="F29" s="4" t="s">
        <v>13</v>
      </c>
      <c r="G29" s="4" t="s">
        <v>16</v>
      </c>
      <c r="H29" s="4">
        <v>83.2</v>
      </c>
      <c r="I29" s="4">
        <v>79.400000000000006</v>
      </c>
      <c r="J29" s="10">
        <f t="shared" si="8"/>
        <v>81.300000000000011</v>
      </c>
      <c r="K29" s="4"/>
    </row>
    <row r="30" spans="1:11" s="6" customFormat="1" ht="14.25" customHeight="1" x14ac:dyDescent="0.15">
      <c r="A30" s="4">
        <v>28</v>
      </c>
      <c r="B30" s="4" t="str">
        <f>"彭毅"</f>
        <v>彭毅</v>
      </c>
      <c r="C30" s="4" t="str">
        <f>"男"</f>
        <v>男</v>
      </c>
      <c r="D30" s="4" t="str">
        <f>"202301224030"</f>
        <v>202301224030</v>
      </c>
      <c r="E30" s="4" t="str">
        <f>"13"</f>
        <v>13</v>
      </c>
      <c r="F30" s="4" t="s">
        <v>13</v>
      </c>
      <c r="G30" s="4" t="s">
        <v>16</v>
      </c>
      <c r="H30" s="4">
        <v>81.400000000000006</v>
      </c>
      <c r="I30" s="4">
        <v>80.819999999999993</v>
      </c>
      <c r="J30" s="10">
        <f t="shared" si="8"/>
        <v>81.11</v>
      </c>
      <c r="K30" s="4"/>
    </row>
    <row r="31" spans="1:11" ht="14.25" customHeight="1" x14ac:dyDescent="0.15">
      <c r="A31" s="4">
        <v>29</v>
      </c>
      <c r="B31" s="4" t="str">
        <f>"吴秀青"</f>
        <v>吴秀青</v>
      </c>
      <c r="C31" s="4" t="str">
        <f>"女"</f>
        <v>女</v>
      </c>
      <c r="D31" s="4" t="str">
        <f>"202301224911"</f>
        <v>202301224911</v>
      </c>
      <c r="E31" s="4" t="str">
        <f t="shared" ref="E31:E34" si="9">"14"</f>
        <v>14</v>
      </c>
      <c r="F31" s="4" t="s">
        <v>14</v>
      </c>
      <c r="G31" s="4" t="s">
        <v>16</v>
      </c>
      <c r="H31" s="4">
        <v>82.1</v>
      </c>
      <c r="I31" s="4">
        <v>79.86</v>
      </c>
      <c r="J31" s="10">
        <f t="shared" si="8"/>
        <v>80.97999999999999</v>
      </c>
      <c r="K31" s="4"/>
    </row>
    <row r="32" spans="1:11" s="6" customFormat="1" ht="14.25" customHeight="1" x14ac:dyDescent="0.15">
      <c r="A32" s="4">
        <v>30</v>
      </c>
      <c r="B32" s="5" t="str">
        <f>"马继良"</f>
        <v>马继良</v>
      </c>
      <c r="C32" s="5" t="str">
        <f>"男"</f>
        <v>男</v>
      </c>
      <c r="D32" s="5" t="str">
        <f>"202301224908"</f>
        <v>202301224908</v>
      </c>
      <c r="E32" s="5" t="str">
        <f t="shared" si="9"/>
        <v>14</v>
      </c>
      <c r="F32" s="5" t="s">
        <v>14</v>
      </c>
      <c r="G32" s="5" t="s">
        <v>16</v>
      </c>
      <c r="H32" s="5">
        <v>74.599999999999994</v>
      </c>
      <c r="I32" s="5">
        <v>77.98</v>
      </c>
      <c r="J32" s="10">
        <f t="shared" si="8"/>
        <v>76.289999999999992</v>
      </c>
      <c r="K32" s="4"/>
    </row>
    <row r="33" spans="1:11" s="6" customFormat="1" ht="14.25" customHeight="1" x14ac:dyDescent="0.15">
      <c r="A33" s="4">
        <v>31</v>
      </c>
      <c r="B33" s="4" t="str">
        <f>"唐滔"</f>
        <v>唐滔</v>
      </c>
      <c r="C33" s="4" t="str">
        <f>"男"</f>
        <v>男</v>
      </c>
      <c r="D33" s="4" t="str">
        <f>"202301224910"</f>
        <v>202301224910</v>
      </c>
      <c r="E33" s="4" t="str">
        <f t="shared" si="9"/>
        <v>14</v>
      </c>
      <c r="F33" s="4" t="s">
        <v>14</v>
      </c>
      <c r="G33" s="4" t="s">
        <v>16</v>
      </c>
      <c r="H33" s="4">
        <v>62.85</v>
      </c>
      <c r="I33" s="4">
        <v>77.64</v>
      </c>
      <c r="J33" s="10">
        <f t="shared" si="8"/>
        <v>70.245000000000005</v>
      </c>
      <c r="K33" s="4"/>
    </row>
    <row r="34" spans="1:11" s="6" customFormat="1" ht="14.25" customHeight="1" x14ac:dyDescent="0.15">
      <c r="A34" s="4">
        <v>32</v>
      </c>
      <c r="B34" s="4" t="s">
        <v>30</v>
      </c>
      <c r="C34" s="4" t="s">
        <v>25</v>
      </c>
      <c r="D34" s="4" t="str">
        <f>"202301224917"</f>
        <v>202301224917</v>
      </c>
      <c r="E34" s="4" t="str">
        <f t="shared" si="9"/>
        <v>14</v>
      </c>
      <c r="F34" s="4" t="s">
        <v>14</v>
      </c>
      <c r="G34" s="4" t="s">
        <v>16</v>
      </c>
      <c r="H34" s="4">
        <v>57.35</v>
      </c>
      <c r="I34" s="4">
        <v>80.62</v>
      </c>
      <c r="J34" s="10">
        <f t="shared" si="8"/>
        <v>68.984999999999999</v>
      </c>
      <c r="K34" s="4"/>
    </row>
    <row r="35" spans="1:11" ht="14.25" customHeight="1" x14ac:dyDescent="0.15">
      <c r="A35" s="4">
        <v>33</v>
      </c>
      <c r="B35" s="5" t="str">
        <f>"唐纯"</f>
        <v>唐纯</v>
      </c>
      <c r="C35" s="5" t="str">
        <f>"女"</f>
        <v>女</v>
      </c>
      <c r="D35" s="5" t="str">
        <f>"202301223917"</f>
        <v>202301223917</v>
      </c>
      <c r="E35" s="5" t="str">
        <f>"15"</f>
        <v>15</v>
      </c>
      <c r="F35" s="5" t="s">
        <v>18</v>
      </c>
      <c r="G35" s="5" t="s">
        <v>16</v>
      </c>
      <c r="H35" s="5">
        <v>82.25</v>
      </c>
      <c r="I35" s="5">
        <v>84.06</v>
      </c>
      <c r="J35" s="10">
        <f t="shared" ref="J35:J42" si="10">H35*0.5+I35*0.5</f>
        <v>83.155000000000001</v>
      </c>
      <c r="K35" s="4"/>
    </row>
    <row r="36" spans="1:11" s="6" customFormat="1" ht="14.25" customHeight="1" x14ac:dyDescent="0.15">
      <c r="A36" s="4">
        <v>34</v>
      </c>
      <c r="B36" s="4" t="str">
        <f>"曹琪"</f>
        <v>曹琪</v>
      </c>
      <c r="C36" s="4" t="str">
        <f>"女"</f>
        <v>女</v>
      </c>
      <c r="D36" s="4" t="str">
        <f>"202301223811"</f>
        <v>202301223811</v>
      </c>
      <c r="E36" s="4" t="str">
        <f>"15"</f>
        <v>15</v>
      </c>
      <c r="F36" s="4" t="s">
        <v>18</v>
      </c>
      <c r="G36" s="4" t="s">
        <v>16</v>
      </c>
      <c r="H36" s="4">
        <v>84.8</v>
      </c>
      <c r="I36" s="4">
        <v>81.36</v>
      </c>
      <c r="J36" s="10">
        <f t="shared" si="10"/>
        <v>83.08</v>
      </c>
      <c r="K36" s="5"/>
    </row>
    <row r="37" spans="1:11" s="6" customFormat="1" ht="14.25" customHeight="1" x14ac:dyDescent="0.15">
      <c r="A37" s="4">
        <v>35</v>
      </c>
      <c r="B37" s="4" t="str">
        <f>"李燕灵"</f>
        <v>李燕灵</v>
      </c>
      <c r="C37" s="4" t="str">
        <f>"女"</f>
        <v>女</v>
      </c>
      <c r="D37" s="4" t="str">
        <f>"202301224819"</f>
        <v>202301224819</v>
      </c>
      <c r="E37" s="4" t="str">
        <f>"16"</f>
        <v>16</v>
      </c>
      <c r="F37" s="4" t="s">
        <v>15</v>
      </c>
      <c r="G37" s="4" t="s">
        <v>16</v>
      </c>
      <c r="H37" s="4">
        <v>91.25</v>
      </c>
      <c r="I37" s="4">
        <v>79.66</v>
      </c>
      <c r="J37" s="10">
        <f t="shared" si="10"/>
        <v>85.454999999999998</v>
      </c>
      <c r="K37" s="4"/>
    </row>
    <row r="38" spans="1:11" s="6" customFormat="1" ht="14.25" customHeight="1" x14ac:dyDescent="0.15">
      <c r="A38" s="4">
        <v>36</v>
      </c>
      <c r="B38" s="4" t="str">
        <f>"唐宝平"</f>
        <v>唐宝平</v>
      </c>
      <c r="C38" s="4" t="str">
        <f>"女"</f>
        <v>女</v>
      </c>
      <c r="D38" s="4" t="str">
        <f>"202301224818"</f>
        <v>202301224818</v>
      </c>
      <c r="E38" s="4" t="str">
        <f>"16"</f>
        <v>16</v>
      </c>
      <c r="F38" s="4" t="s">
        <v>15</v>
      </c>
      <c r="G38" s="4" t="s">
        <v>16</v>
      </c>
      <c r="H38" s="4">
        <v>88.5</v>
      </c>
      <c r="I38" s="4">
        <v>80.28</v>
      </c>
      <c r="J38" s="10">
        <f t="shared" si="10"/>
        <v>84.39</v>
      </c>
      <c r="K38" s="4"/>
    </row>
    <row r="39" spans="1:11" s="6" customFormat="1" ht="14.25" customHeight="1" x14ac:dyDescent="0.15">
      <c r="A39" s="4">
        <v>37</v>
      </c>
      <c r="B39" s="5" t="str">
        <f>"肖惠中"</f>
        <v>肖惠中</v>
      </c>
      <c r="C39" s="4" t="str">
        <f t="shared" ref="C39:C42" si="11">"女"</f>
        <v>女</v>
      </c>
      <c r="D39" s="4" t="str">
        <f>"202301224318"</f>
        <v>202301224318</v>
      </c>
      <c r="E39" s="4" t="str">
        <f t="shared" ref="E39:E42" si="12">"17"</f>
        <v>17</v>
      </c>
      <c r="F39" s="4" t="s">
        <v>19</v>
      </c>
      <c r="G39" s="4" t="s">
        <v>16</v>
      </c>
      <c r="H39" s="4">
        <v>71.45</v>
      </c>
      <c r="I39" s="4">
        <v>85.2</v>
      </c>
      <c r="J39" s="10">
        <f t="shared" si="10"/>
        <v>78.325000000000003</v>
      </c>
      <c r="K39" s="5"/>
    </row>
    <row r="40" spans="1:11" ht="14.25" customHeight="1" x14ac:dyDescent="0.15">
      <c r="A40" s="4">
        <v>38</v>
      </c>
      <c r="B40" s="4" t="str">
        <f>"谭琼"</f>
        <v>谭琼</v>
      </c>
      <c r="C40" s="4" t="str">
        <f t="shared" si="11"/>
        <v>女</v>
      </c>
      <c r="D40" s="4" t="str">
        <f>"202301224622"</f>
        <v>202301224622</v>
      </c>
      <c r="E40" s="4" t="str">
        <f t="shared" si="12"/>
        <v>17</v>
      </c>
      <c r="F40" s="4" t="s">
        <v>19</v>
      </c>
      <c r="G40" s="4" t="s">
        <v>16</v>
      </c>
      <c r="H40" s="4">
        <v>71.7</v>
      </c>
      <c r="I40" s="4">
        <v>80.78</v>
      </c>
      <c r="J40" s="10">
        <f t="shared" si="10"/>
        <v>76.240000000000009</v>
      </c>
      <c r="K40" s="5"/>
    </row>
    <row r="41" spans="1:11" ht="14.25" customHeight="1" x14ac:dyDescent="0.15">
      <c r="A41" s="4">
        <v>39</v>
      </c>
      <c r="B41" s="5" t="str">
        <f>"龚薇"</f>
        <v>龚薇</v>
      </c>
      <c r="C41" s="5" t="str">
        <f t="shared" si="11"/>
        <v>女</v>
      </c>
      <c r="D41" s="5" t="str">
        <f>"202301224503"</f>
        <v>202301224503</v>
      </c>
      <c r="E41" s="5" t="str">
        <f t="shared" si="12"/>
        <v>17</v>
      </c>
      <c r="F41" s="5" t="s">
        <v>19</v>
      </c>
      <c r="G41" s="5" t="s">
        <v>16</v>
      </c>
      <c r="H41" s="5">
        <v>72.55</v>
      </c>
      <c r="I41" s="5">
        <v>79.84</v>
      </c>
      <c r="J41" s="10">
        <f t="shared" si="10"/>
        <v>76.194999999999993</v>
      </c>
      <c r="K41" s="5"/>
    </row>
    <row r="42" spans="1:11" s="6" customFormat="1" ht="14.25" customHeight="1" x14ac:dyDescent="0.15">
      <c r="A42" s="4">
        <v>40</v>
      </c>
      <c r="B42" s="4" t="str">
        <f>"黄也"</f>
        <v>黄也</v>
      </c>
      <c r="C42" s="4" t="str">
        <f t="shared" si="11"/>
        <v>女</v>
      </c>
      <c r="D42" s="4" t="str">
        <f>"202301224727"</f>
        <v>202301224727</v>
      </c>
      <c r="E42" s="4" t="str">
        <f t="shared" si="12"/>
        <v>17</v>
      </c>
      <c r="F42" s="4" t="s">
        <v>19</v>
      </c>
      <c r="G42" s="4" t="s">
        <v>16</v>
      </c>
      <c r="H42" s="4">
        <v>73.150000000000006</v>
      </c>
      <c r="I42" s="4">
        <v>79</v>
      </c>
      <c r="J42" s="10">
        <f t="shared" si="10"/>
        <v>76.075000000000003</v>
      </c>
      <c r="K42" s="4"/>
    </row>
    <row r="43" spans="1:11" s="6" customFormat="1" ht="14.25" customHeight="1" x14ac:dyDescent="0.15">
      <c r="A43" s="4">
        <v>41</v>
      </c>
      <c r="B43" s="4" t="str">
        <f>"吕淑颖"</f>
        <v>吕淑颖</v>
      </c>
      <c r="C43" s="4" t="str">
        <f>"女"</f>
        <v>女</v>
      </c>
      <c r="D43" s="4" t="str">
        <f>"202301222705"</f>
        <v>202301222705</v>
      </c>
      <c r="E43" s="4" t="str">
        <f t="shared" ref="E43:E47" si="13">"18"</f>
        <v>18</v>
      </c>
      <c r="F43" s="4" t="s">
        <v>20</v>
      </c>
      <c r="G43" s="4" t="s">
        <v>16</v>
      </c>
      <c r="H43" s="4">
        <v>67.45</v>
      </c>
      <c r="I43" s="4">
        <v>83.42</v>
      </c>
      <c r="J43" s="10">
        <f t="shared" ref="J43:J47" si="14">H43*0.5+I43*0.5</f>
        <v>75.435000000000002</v>
      </c>
      <c r="K43" s="4"/>
    </row>
    <row r="44" spans="1:11" ht="14.25" customHeight="1" x14ac:dyDescent="0.15">
      <c r="A44" s="4">
        <v>42</v>
      </c>
      <c r="B44" s="5" t="str">
        <f>"曾依依"</f>
        <v>曾依依</v>
      </c>
      <c r="C44" s="5" t="str">
        <f>"女"</f>
        <v>女</v>
      </c>
      <c r="D44" s="5" t="str">
        <f>"202301222821"</f>
        <v>202301222821</v>
      </c>
      <c r="E44" s="5" t="str">
        <f t="shared" si="13"/>
        <v>18</v>
      </c>
      <c r="F44" s="5" t="s">
        <v>20</v>
      </c>
      <c r="G44" s="5" t="s">
        <v>16</v>
      </c>
      <c r="H44" s="5">
        <v>68.849999999999994</v>
      </c>
      <c r="I44" s="5">
        <v>79.040000000000006</v>
      </c>
      <c r="J44" s="10">
        <f t="shared" si="14"/>
        <v>73.944999999999993</v>
      </c>
      <c r="K44" s="4"/>
    </row>
    <row r="45" spans="1:11" s="6" customFormat="1" ht="14.25" customHeight="1" x14ac:dyDescent="0.15">
      <c r="A45" s="4">
        <v>43</v>
      </c>
      <c r="B45" s="5" t="str">
        <f>"罗志豪"</f>
        <v>罗志豪</v>
      </c>
      <c r="C45" s="5" t="str">
        <f>"男"</f>
        <v>男</v>
      </c>
      <c r="D45" s="5" t="str">
        <f>"202301222605"</f>
        <v>202301222605</v>
      </c>
      <c r="E45" s="5" t="str">
        <f t="shared" si="13"/>
        <v>18</v>
      </c>
      <c r="F45" s="5" t="s">
        <v>20</v>
      </c>
      <c r="G45" s="5" t="s">
        <v>16</v>
      </c>
      <c r="H45" s="5">
        <v>68.099999999999994</v>
      </c>
      <c r="I45" s="5">
        <v>79.489999999999995</v>
      </c>
      <c r="J45" s="10">
        <f t="shared" si="14"/>
        <v>73.794999999999987</v>
      </c>
      <c r="K45" s="5"/>
    </row>
    <row r="46" spans="1:11" s="6" customFormat="1" ht="14.25" customHeight="1" x14ac:dyDescent="0.15">
      <c r="A46" s="4">
        <v>44</v>
      </c>
      <c r="B46" s="4" t="str">
        <f>"吴连成"</f>
        <v>吴连成</v>
      </c>
      <c r="C46" s="4" t="str">
        <f>"男"</f>
        <v>男</v>
      </c>
      <c r="D46" s="4" t="str">
        <f>"202301222613"</f>
        <v>202301222613</v>
      </c>
      <c r="E46" s="4" t="str">
        <f t="shared" si="13"/>
        <v>18</v>
      </c>
      <c r="F46" s="4" t="s">
        <v>20</v>
      </c>
      <c r="G46" s="4" t="s">
        <v>16</v>
      </c>
      <c r="H46" s="4">
        <v>65.849999999999994</v>
      </c>
      <c r="I46" s="4">
        <v>80.819999999999993</v>
      </c>
      <c r="J46" s="10">
        <f t="shared" si="14"/>
        <v>73.334999999999994</v>
      </c>
      <c r="K46" s="5"/>
    </row>
    <row r="47" spans="1:11" ht="14.25" customHeight="1" x14ac:dyDescent="0.15">
      <c r="A47" s="4">
        <v>45</v>
      </c>
      <c r="B47" s="4" t="str">
        <f>"唐盈"</f>
        <v>唐盈</v>
      </c>
      <c r="C47" s="4" t="str">
        <f>"女"</f>
        <v>女</v>
      </c>
      <c r="D47" s="4" t="str">
        <f>"202301222623"</f>
        <v>202301222623</v>
      </c>
      <c r="E47" s="4" t="str">
        <f t="shared" si="13"/>
        <v>18</v>
      </c>
      <c r="F47" s="4" t="s">
        <v>20</v>
      </c>
      <c r="G47" s="4" t="s">
        <v>16</v>
      </c>
      <c r="H47" s="4">
        <v>66.099999999999994</v>
      </c>
      <c r="I47" s="4">
        <v>80.02</v>
      </c>
      <c r="J47" s="10">
        <f t="shared" si="14"/>
        <v>73.06</v>
      </c>
      <c r="K47" s="5"/>
    </row>
    <row r="48" spans="1:11" ht="14.25" customHeight="1" x14ac:dyDescent="0.15">
      <c r="A48" s="4">
        <v>46</v>
      </c>
      <c r="B48" s="4" t="str">
        <f>"李硕"</f>
        <v>李硕</v>
      </c>
      <c r="C48" s="4" t="str">
        <f>"男"</f>
        <v>男</v>
      </c>
      <c r="D48" s="4" t="str">
        <f>"202301223715"</f>
        <v>202301223715</v>
      </c>
      <c r="E48" s="4" t="str">
        <f>"19"</f>
        <v>19</v>
      </c>
      <c r="F48" s="4" t="s">
        <v>21</v>
      </c>
      <c r="G48" s="4" t="s">
        <v>16</v>
      </c>
      <c r="H48" s="4">
        <v>85.6</v>
      </c>
      <c r="I48" s="4">
        <v>84.66</v>
      </c>
      <c r="J48" s="10">
        <f>H48*0.5+I48*0.5</f>
        <v>85.13</v>
      </c>
      <c r="K48" s="4"/>
    </row>
    <row r="49" spans="1:11" ht="14.25" customHeight="1" x14ac:dyDescent="0.15">
      <c r="A49" s="4">
        <v>47</v>
      </c>
      <c r="B49" s="4" t="str">
        <f>"秦嘉斐"</f>
        <v>秦嘉斐</v>
      </c>
      <c r="C49" s="4" t="str">
        <f t="shared" ref="C49:C57" si="15">"女"</f>
        <v>女</v>
      </c>
      <c r="D49" s="4" t="str">
        <f>"202301223020"</f>
        <v>202301223020</v>
      </c>
      <c r="E49" s="4" t="str">
        <f>"19"</f>
        <v>19</v>
      </c>
      <c r="F49" s="4" t="s">
        <v>21</v>
      </c>
      <c r="G49" s="4" t="s">
        <v>16</v>
      </c>
      <c r="H49" s="4">
        <v>87.3</v>
      </c>
      <c r="I49" s="4">
        <v>81.260000000000005</v>
      </c>
      <c r="J49" s="10">
        <f>H49*0.5+I49*0.5</f>
        <v>84.28</v>
      </c>
      <c r="K49" s="5"/>
    </row>
    <row r="50" spans="1:11" s="6" customFormat="1" ht="14.25" customHeight="1" x14ac:dyDescent="0.15">
      <c r="A50" s="4">
        <v>48</v>
      </c>
      <c r="B50" s="5" t="str">
        <f>"文霞"</f>
        <v>文霞</v>
      </c>
      <c r="C50" s="5" t="str">
        <f t="shared" si="15"/>
        <v>女</v>
      </c>
      <c r="D50" s="5" t="str">
        <f>"202301224104"</f>
        <v>202301224104</v>
      </c>
      <c r="E50" s="5" t="str">
        <f>"20"</f>
        <v>20</v>
      </c>
      <c r="F50" s="5" t="s">
        <v>22</v>
      </c>
      <c r="G50" s="5" t="s">
        <v>16</v>
      </c>
      <c r="H50" s="5">
        <v>76.650000000000006</v>
      </c>
      <c r="I50" s="5">
        <v>78.78</v>
      </c>
      <c r="J50" s="10">
        <f>H50*0.5+I50*0.5</f>
        <v>77.715000000000003</v>
      </c>
      <c r="K50" s="4"/>
    </row>
    <row r="51" spans="1:11" s="6" customFormat="1" ht="14.25" customHeight="1" x14ac:dyDescent="0.15">
      <c r="A51" s="4">
        <v>49</v>
      </c>
      <c r="B51" s="4" t="str">
        <f>"庄珺"</f>
        <v>庄珺</v>
      </c>
      <c r="C51" s="4" t="str">
        <f t="shared" si="15"/>
        <v>女</v>
      </c>
      <c r="D51" s="4" t="str">
        <f>"202301224835"</f>
        <v>202301224835</v>
      </c>
      <c r="E51" s="4" t="str">
        <f>"21"</f>
        <v>21</v>
      </c>
      <c r="F51" s="4" t="s">
        <v>23</v>
      </c>
      <c r="G51" s="4" t="s">
        <v>16</v>
      </c>
      <c r="H51" s="4">
        <v>77.400000000000006</v>
      </c>
      <c r="I51" s="4">
        <v>78.599999999999994</v>
      </c>
      <c r="J51" s="10">
        <f t="shared" ref="J51:J62" si="16">H51*0.5+I51*0.5</f>
        <v>78</v>
      </c>
      <c r="K51" s="4"/>
    </row>
    <row r="52" spans="1:11" s="6" customFormat="1" ht="14.25" customHeight="1" x14ac:dyDescent="0.15">
      <c r="A52" s="4">
        <v>50</v>
      </c>
      <c r="B52" s="4" t="str">
        <f>"杨文丽"</f>
        <v>杨文丽</v>
      </c>
      <c r="C52" s="4" t="str">
        <f t="shared" si="15"/>
        <v>女</v>
      </c>
      <c r="D52" s="4" t="str">
        <f>"202301224901"</f>
        <v>202301224901</v>
      </c>
      <c r="E52" s="4" t="str">
        <f>"21"</f>
        <v>21</v>
      </c>
      <c r="F52" s="4" t="s">
        <v>23</v>
      </c>
      <c r="G52" s="4" t="s">
        <v>16</v>
      </c>
      <c r="H52" s="4">
        <v>75.400000000000006</v>
      </c>
      <c r="I52" s="4">
        <v>78.739999999999995</v>
      </c>
      <c r="J52" s="10">
        <f t="shared" si="16"/>
        <v>77.069999999999993</v>
      </c>
      <c r="K52" s="4"/>
    </row>
    <row r="53" spans="1:11" s="6" customFormat="1" ht="14.25" customHeight="1" x14ac:dyDescent="0.15">
      <c r="A53" s="4">
        <v>51</v>
      </c>
      <c r="B53" s="5" t="str">
        <f>"陈涵"</f>
        <v>陈涵</v>
      </c>
      <c r="C53" s="4" t="str">
        <f t="shared" si="15"/>
        <v>女</v>
      </c>
      <c r="D53" s="4" t="str">
        <f>"202301237020"</f>
        <v>202301237020</v>
      </c>
      <c r="E53" s="4" t="str">
        <f t="shared" ref="E53:E55" si="17">"22"</f>
        <v>22</v>
      </c>
      <c r="F53" s="4" t="s">
        <v>8</v>
      </c>
      <c r="G53" s="4" t="s">
        <v>24</v>
      </c>
      <c r="H53" s="4">
        <v>82.95</v>
      </c>
      <c r="I53" s="4">
        <v>83.76</v>
      </c>
      <c r="J53" s="10">
        <f t="shared" si="16"/>
        <v>83.355000000000004</v>
      </c>
      <c r="K53" s="5"/>
    </row>
    <row r="54" spans="1:11" ht="14.25" customHeight="1" x14ac:dyDescent="0.15">
      <c r="A54" s="4">
        <v>52</v>
      </c>
      <c r="B54" s="5" t="str">
        <f>"龙紫嫣"</f>
        <v>龙紫嫣</v>
      </c>
      <c r="C54" s="5" t="str">
        <f t="shared" si="15"/>
        <v>女</v>
      </c>
      <c r="D54" s="5" t="str">
        <f>"202301239008"</f>
        <v>202301239008</v>
      </c>
      <c r="E54" s="5" t="str">
        <f t="shared" si="17"/>
        <v>22</v>
      </c>
      <c r="F54" s="5" t="s">
        <v>8</v>
      </c>
      <c r="G54" s="5" t="s">
        <v>24</v>
      </c>
      <c r="H54" s="5">
        <v>82.2</v>
      </c>
      <c r="I54" s="5">
        <v>83.56</v>
      </c>
      <c r="J54" s="10">
        <f t="shared" si="16"/>
        <v>82.88</v>
      </c>
      <c r="K54" s="4"/>
    </row>
    <row r="55" spans="1:11" ht="14.25" customHeight="1" x14ac:dyDescent="0.15">
      <c r="A55" s="4">
        <v>53</v>
      </c>
      <c r="B55" s="4" t="str">
        <f>"唐瑶"</f>
        <v>唐瑶</v>
      </c>
      <c r="C55" s="4" t="str">
        <f t="shared" si="15"/>
        <v>女</v>
      </c>
      <c r="D55" s="4" t="str">
        <f>"202301237531"</f>
        <v>202301237531</v>
      </c>
      <c r="E55" s="4" t="str">
        <f t="shared" si="17"/>
        <v>22</v>
      </c>
      <c r="F55" s="4" t="s">
        <v>8</v>
      </c>
      <c r="G55" s="4" t="s">
        <v>24</v>
      </c>
      <c r="H55" s="4">
        <v>82.45</v>
      </c>
      <c r="I55" s="4">
        <v>80.78</v>
      </c>
      <c r="J55" s="10">
        <f t="shared" si="16"/>
        <v>81.615000000000009</v>
      </c>
      <c r="K55" s="4"/>
    </row>
    <row r="56" spans="1:11" s="6" customFormat="1" ht="14.25" customHeight="1" x14ac:dyDescent="0.15">
      <c r="A56" s="4">
        <v>54</v>
      </c>
      <c r="B56" s="5" t="str">
        <f>"胡康凤"</f>
        <v>胡康凤</v>
      </c>
      <c r="C56" s="5" t="str">
        <f t="shared" si="15"/>
        <v>女</v>
      </c>
      <c r="D56" s="5" t="str">
        <f>"202301234431"</f>
        <v>202301234431</v>
      </c>
      <c r="E56" s="5" t="str">
        <f>"23"</f>
        <v>23</v>
      </c>
      <c r="F56" s="5" t="s">
        <v>10</v>
      </c>
      <c r="G56" s="5" t="s">
        <v>24</v>
      </c>
      <c r="H56" s="5">
        <v>92</v>
      </c>
      <c r="I56" s="5">
        <v>81.099999999999994</v>
      </c>
      <c r="J56" s="10">
        <f t="shared" si="16"/>
        <v>86.55</v>
      </c>
      <c r="K56" s="4"/>
    </row>
    <row r="57" spans="1:11" s="6" customFormat="1" ht="14.25" customHeight="1" x14ac:dyDescent="0.15">
      <c r="A57" s="4">
        <v>55</v>
      </c>
      <c r="B57" s="4" t="str">
        <f>"刘荣"</f>
        <v>刘荣</v>
      </c>
      <c r="C57" s="4" t="str">
        <f t="shared" si="15"/>
        <v>女</v>
      </c>
      <c r="D57" s="4" t="str">
        <f>"202301231615"</f>
        <v>202301231615</v>
      </c>
      <c r="E57" s="4" t="str">
        <f>"23"</f>
        <v>23</v>
      </c>
      <c r="F57" s="4" t="s">
        <v>10</v>
      </c>
      <c r="G57" s="4" t="s">
        <v>24</v>
      </c>
      <c r="H57" s="4">
        <v>92.45</v>
      </c>
      <c r="I57" s="4">
        <v>80.5</v>
      </c>
      <c r="J57" s="10">
        <f t="shared" si="16"/>
        <v>86.474999999999994</v>
      </c>
      <c r="K57" s="4"/>
    </row>
    <row r="58" spans="1:11" s="6" customFormat="1" ht="14.25" customHeight="1" x14ac:dyDescent="0.15">
      <c r="A58" s="4">
        <v>56</v>
      </c>
      <c r="B58" s="4" t="str">
        <f>"肖雯倩"</f>
        <v>肖雯倩</v>
      </c>
      <c r="C58" s="4" t="str">
        <f>"女"</f>
        <v>女</v>
      </c>
      <c r="D58" s="4" t="str">
        <f>"202301227114"</f>
        <v>202301227114</v>
      </c>
      <c r="E58" s="4" t="str">
        <f>"24"</f>
        <v>24</v>
      </c>
      <c r="F58" s="4" t="s">
        <v>11</v>
      </c>
      <c r="G58" s="4" t="s">
        <v>24</v>
      </c>
      <c r="H58" s="4">
        <v>86.2</v>
      </c>
      <c r="I58" s="4">
        <v>83.64</v>
      </c>
      <c r="J58" s="10">
        <f t="shared" si="16"/>
        <v>84.92</v>
      </c>
      <c r="K58" s="4"/>
    </row>
    <row r="59" spans="1:11" s="6" customFormat="1" ht="14.25" customHeight="1" x14ac:dyDescent="0.15">
      <c r="A59" s="4">
        <v>57</v>
      </c>
      <c r="B59" s="5" t="str">
        <f>"纪玲星"</f>
        <v>纪玲星</v>
      </c>
      <c r="C59" s="4" t="str">
        <f>"女"</f>
        <v>女</v>
      </c>
      <c r="D59" s="4" t="str">
        <f>"202301227412"</f>
        <v>202301227412</v>
      </c>
      <c r="E59" s="4" t="str">
        <f>"24"</f>
        <v>24</v>
      </c>
      <c r="F59" s="4" t="s">
        <v>11</v>
      </c>
      <c r="G59" s="4" t="s">
        <v>24</v>
      </c>
      <c r="H59" s="4">
        <v>85.35</v>
      </c>
      <c r="I59" s="4">
        <v>83</v>
      </c>
      <c r="J59" s="10">
        <f t="shared" si="16"/>
        <v>84.174999999999997</v>
      </c>
      <c r="K59" s="4"/>
    </row>
    <row r="60" spans="1:11" s="6" customFormat="1" ht="14.25" customHeight="1" x14ac:dyDescent="0.15">
      <c r="A60" s="4">
        <v>58</v>
      </c>
      <c r="B60" s="4" t="str">
        <f>"周艳彬"</f>
        <v>周艳彬</v>
      </c>
      <c r="C60" s="4" t="str">
        <f t="shared" ref="C60:C62" si="18">"女"</f>
        <v>女</v>
      </c>
      <c r="D60" s="4" t="str">
        <f>"202301228210"</f>
        <v>202301228210</v>
      </c>
      <c r="E60" s="4" t="str">
        <f t="shared" ref="E60:E62" si="19">"25"</f>
        <v>25</v>
      </c>
      <c r="F60" s="4" t="s">
        <v>19</v>
      </c>
      <c r="G60" s="4" t="s">
        <v>24</v>
      </c>
      <c r="H60" s="4">
        <v>72.5</v>
      </c>
      <c r="I60" s="4">
        <v>81.02</v>
      </c>
      <c r="J60" s="10">
        <f t="shared" si="16"/>
        <v>76.759999999999991</v>
      </c>
      <c r="K60" s="4"/>
    </row>
    <row r="61" spans="1:11" s="6" customFormat="1" ht="14.25" customHeight="1" x14ac:dyDescent="0.15">
      <c r="A61" s="4">
        <v>59</v>
      </c>
      <c r="B61" s="5" t="str">
        <f>"魏倩英"</f>
        <v>魏倩英</v>
      </c>
      <c r="C61" s="4" t="str">
        <f t="shared" si="18"/>
        <v>女</v>
      </c>
      <c r="D61" s="4" t="str">
        <f>"202301228505"</f>
        <v>202301228505</v>
      </c>
      <c r="E61" s="4" t="str">
        <f t="shared" si="19"/>
        <v>25</v>
      </c>
      <c r="F61" s="4" t="s">
        <v>19</v>
      </c>
      <c r="G61" s="4" t="s">
        <v>24</v>
      </c>
      <c r="H61" s="4">
        <v>68.400000000000006</v>
      </c>
      <c r="I61" s="5">
        <v>84.38</v>
      </c>
      <c r="J61" s="10">
        <f t="shared" si="16"/>
        <v>76.39</v>
      </c>
      <c r="K61" s="4"/>
    </row>
    <row r="62" spans="1:11" s="6" customFormat="1" ht="14.25" customHeight="1" x14ac:dyDescent="0.15">
      <c r="A62" s="4">
        <v>60</v>
      </c>
      <c r="B62" s="4" t="str">
        <f>"张筱柔"</f>
        <v>张筱柔</v>
      </c>
      <c r="C62" s="4" t="str">
        <f t="shared" si="18"/>
        <v>女</v>
      </c>
      <c r="D62" s="4" t="str">
        <f>"202301228207"</f>
        <v>202301228207</v>
      </c>
      <c r="E62" s="4" t="str">
        <f t="shared" si="19"/>
        <v>25</v>
      </c>
      <c r="F62" s="4" t="s">
        <v>19</v>
      </c>
      <c r="G62" s="4" t="s">
        <v>24</v>
      </c>
      <c r="H62" s="4">
        <v>70.3</v>
      </c>
      <c r="I62" s="4">
        <v>80.86</v>
      </c>
      <c r="J62" s="10">
        <f t="shared" si="16"/>
        <v>75.58</v>
      </c>
      <c r="K62" s="4"/>
    </row>
    <row r="63" spans="1:11" ht="14.25" customHeight="1" x14ac:dyDescent="0.15">
      <c r="A63" s="4">
        <v>61</v>
      </c>
      <c r="B63" s="4" t="str">
        <f>"黎佳丽"</f>
        <v>黎佳丽</v>
      </c>
      <c r="C63" s="4" t="str">
        <f>"女"</f>
        <v>女</v>
      </c>
      <c r="D63" s="4" t="str">
        <f>"202301225319"</f>
        <v>202301225319</v>
      </c>
      <c r="E63" s="4" t="str">
        <f t="shared" ref="E63:E66" si="20">"26"</f>
        <v>26</v>
      </c>
      <c r="F63" s="4" t="s">
        <v>20</v>
      </c>
      <c r="G63" s="4" t="s">
        <v>24</v>
      </c>
      <c r="H63" s="4">
        <v>69.650000000000006</v>
      </c>
      <c r="I63" s="4">
        <v>78.7</v>
      </c>
      <c r="J63" s="10">
        <f t="shared" ref="J63:J70" si="21">H63*0.5+I63*0.5</f>
        <v>74.175000000000011</v>
      </c>
      <c r="K63" s="5"/>
    </row>
    <row r="64" spans="1:11" s="6" customFormat="1" ht="14.25" customHeight="1" x14ac:dyDescent="0.15">
      <c r="A64" s="4">
        <v>62</v>
      </c>
      <c r="B64" s="4" t="str">
        <f>"文叠"</f>
        <v>文叠</v>
      </c>
      <c r="C64" s="4" t="str">
        <f>"女"</f>
        <v>女</v>
      </c>
      <c r="D64" s="4" t="str">
        <f>"202301225402"</f>
        <v>202301225402</v>
      </c>
      <c r="E64" s="4" t="str">
        <f t="shared" si="20"/>
        <v>26</v>
      </c>
      <c r="F64" s="4" t="s">
        <v>20</v>
      </c>
      <c r="G64" s="4" t="s">
        <v>24</v>
      </c>
      <c r="H64" s="4">
        <v>61.05</v>
      </c>
      <c r="I64" s="4">
        <v>83.74</v>
      </c>
      <c r="J64" s="10">
        <f t="shared" si="21"/>
        <v>72.394999999999996</v>
      </c>
      <c r="K64" s="4"/>
    </row>
    <row r="65" spans="1:11" s="6" customFormat="1" ht="14.25" customHeight="1" x14ac:dyDescent="0.15">
      <c r="A65" s="4">
        <v>63</v>
      </c>
      <c r="B65" s="4" t="str">
        <f>"陈丽娜"</f>
        <v>陈丽娜</v>
      </c>
      <c r="C65" s="4" t="str">
        <f>"女"</f>
        <v>女</v>
      </c>
      <c r="D65" s="4" t="str">
        <f>"202301225333"</f>
        <v>202301225333</v>
      </c>
      <c r="E65" s="4" t="str">
        <f t="shared" si="20"/>
        <v>26</v>
      </c>
      <c r="F65" s="4" t="s">
        <v>20</v>
      </c>
      <c r="G65" s="4" t="s">
        <v>24</v>
      </c>
      <c r="H65" s="4">
        <v>62.3</v>
      </c>
      <c r="I65" s="4">
        <v>80.28</v>
      </c>
      <c r="J65" s="10">
        <f t="shared" si="21"/>
        <v>71.289999999999992</v>
      </c>
      <c r="K65" s="4"/>
    </row>
    <row r="66" spans="1:11" ht="14.25" customHeight="1" x14ac:dyDescent="0.15">
      <c r="A66" s="4">
        <v>64</v>
      </c>
      <c r="B66" s="4" t="str">
        <f>"刘中正"</f>
        <v>刘中正</v>
      </c>
      <c r="C66" s="4" t="str">
        <f>"男"</f>
        <v>男</v>
      </c>
      <c r="D66" s="4" t="str">
        <f>"202301225133"</f>
        <v>202301225133</v>
      </c>
      <c r="E66" s="4" t="str">
        <f t="shared" si="20"/>
        <v>26</v>
      </c>
      <c r="F66" s="4" t="s">
        <v>20</v>
      </c>
      <c r="G66" s="4" t="s">
        <v>24</v>
      </c>
      <c r="H66" s="4">
        <v>60.75</v>
      </c>
      <c r="I66" s="4">
        <v>80.739999999999995</v>
      </c>
      <c r="J66" s="10">
        <f t="shared" si="21"/>
        <v>70.745000000000005</v>
      </c>
      <c r="K66" s="5"/>
    </row>
    <row r="67" spans="1:11" s="6" customFormat="1" ht="14.25" customHeight="1" x14ac:dyDescent="0.15">
      <c r="A67" s="4">
        <v>65</v>
      </c>
      <c r="B67" s="4" t="str">
        <f>"杨雪儿"</f>
        <v>杨雪儿</v>
      </c>
      <c r="C67" s="4" t="str">
        <f>"女"</f>
        <v>女</v>
      </c>
      <c r="D67" s="4" t="str">
        <f>"202301226010"</f>
        <v>202301226010</v>
      </c>
      <c r="E67" s="4" t="str">
        <f>"27"</f>
        <v>27</v>
      </c>
      <c r="F67" s="4" t="s">
        <v>21</v>
      </c>
      <c r="G67" s="4" t="s">
        <v>24</v>
      </c>
      <c r="H67" s="4">
        <v>85.7</v>
      </c>
      <c r="I67" s="4">
        <v>81.78</v>
      </c>
      <c r="J67" s="10">
        <f t="shared" si="21"/>
        <v>83.740000000000009</v>
      </c>
      <c r="K67" s="4"/>
    </row>
    <row r="68" spans="1:11" s="6" customFormat="1" ht="14.25" customHeight="1" x14ac:dyDescent="0.15">
      <c r="A68" s="4">
        <v>66</v>
      </c>
      <c r="B68" s="4" t="str">
        <f>"雷菲"</f>
        <v>雷菲</v>
      </c>
      <c r="C68" s="4" t="str">
        <f>"女"</f>
        <v>女</v>
      </c>
      <c r="D68" s="4" t="str">
        <f>"202301226406"</f>
        <v>202301226406</v>
      </c>
      <c r="E68" s="4" t="str">
        <f>"27"</f>
        <v>27</v>
      </c>
      <c r="F68" s="4" t="s">
        <v>21</v>
      </c>
      <c r="G68" s="4" t="s">
        <v>24</v>
      </c>
      <c r="H68" s="4">
        <v>83.55</v>
      </c>
      <c r="I68" s="4">
        <v>82.83</v>
      </c>
      <c r="J68" s="10">
        <f t="shared" si="21"/>
        <v>83.19</v>
      </c>
      <c r="K68" s="4"/>
    </row>
    <row r="69" spans="1:11" s="6" customFormat="1" ht="14.25" customHeight="1" x14ac:dyDescent="0.15">
      <c r="A69" s="4">
        <v>67</v>
      </c>
      <c r="B69" s="4" t="str">
        <f>"陈丽兰"</f>
        <v>陈丽兰</v>
      </c>
      <c r="C69" s="4" t="str">
        <f>"女"</f>
        <v>女</v>
      </c>
      <c r="D69" s="4" t="str">
        <f>"202301225910"</f>
        <v>202301225910</v>
      </c>
      <c r="E69" s="4" t="str">
        <f>"28"</f>
        <v>28</v>
      </c>
      <c r="F69" s="4" t="s">
        <v>23</v>
      </c>
      <c r="G69" s="4" t="s">
        <v>24</v>
      </c>
      <c r="H69" s="4">
        <v>82.65</v>
      </c>
      <c r="I69" s="4">
        <v>78.06</v>
      </c>
      <c r="J69" s="10">
        <f t="shared" si="21"/>
        <v>80.355000000000004</v>
      </c>
      <c r="K69" s="4"/>
    </row>
    <row r="70" spans="1:11" s="6" customFormat="1" ht="14.25" customHeight="1" x14ac:dyDescent="0.15">
      <c r="A70" s="4">
        <v>68</v>
      </c>
      <c r="B70" s="4" t="str">
        <f>"刘小敏"</f>
        <v>刘小敏</v>
      </c>
      <c r="C70" s="4" t="str">
        <f>"女"</f>
        <v>女</v>
      </c>
      <c r="D70" s="4" t="str">
        <f>"202301225731"</f>
        <v>202301225731</v>
      </c>
      <c r="E70" s="4" t="str">
        <f>"28"</f>
        <v>28</v>
      </c>
      <c r="F70" s="4" t="s">
        <v>23</v>
      </c>
      <c r="G70" s="4" t="s">
        <v>24</v>
      </c>
      <c r="H70" s="4">
        <v>77.75</v>
      </c>
      <c r="I70" s="4">
        <v>80.400000000000006</v>
      </c>
      <c r="J70" s="10">
        <f t="shared" si="21"/>
        <v>79.075000000000003</v>
      </c>
      <c r="K70" s="4"/>
    </row>
  </sheetData>
  <sortState ref="A3:K140">
    <sortCondition ref="E3:E140"/>
    <sortCondition descending="1" ref="J3:J140"/>
  </sortState>
  <mergeCells count="1">
    <mergeCell ref="A1:K1"/>
  </mergeCells>
  <phoneticPr fontId="1" type="noConversion"/>
  <pageMargins left="0.47244094488188981" right="7.874015748031496E-2" top="0.31496062992125984" bottom="0.27559055118110237" header="0.19685039370078741" footer="0.11811023622047245"/>
  <pageSetup paperSize="9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5473_64ad552749313</vt:lpstr>
      <vt:lpstr>'5473_64ad552749313'!Print_Area</vt:lpstr>
      <vt:lpstr>'5473_64ad552749313'!Print_Titles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2023-08-21T08:39:32Z</cp:lastPrinted>
  <dcterms:created xsi:type="dcterms:W3CDTF">2023-07-11T13:36:00Z</dcterms:created>
  <dcterms:modified xsi:type="dcterms:W3CDTF">2023-08-21T08:39:44Z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73D93132B86B42F6A0D0908909C7C772_13</vt:lpwstr>
  </property>
  <property fmtid="{D5CDD505-2E9C-101B-9397-08002B2CF9AE}" pid="3" name="KSOProductBuildVer">
    <vt:lpwstr>2052-12.1.0.15120</vt:lpwstr>
  </property>
</Properties>
</file>