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校招签约考生信息" sheetId="1" r:id="rId1"/>
    <sheet name="Sheet1" sheetId="2" r:id="rId2"/>
  </sheets>
  <definedNames>
    <definedName name="_xlnm._FilterDatabase" localSheetId="0" hidden="1">'2023年校招签约考生信息'!$A$3:$Q$130</definedName>
    <definedName name="_xlnm._FilterDatabase" localSheetId="1" hidden="1">Sheet1!$A$2:$N$135</definedName>
    <definedName name="_xlnm.Print_Titles" localSheetId="0">'2023年校招签约考生信息'!$2:$3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<sst xmlns="http://schemas.openxmlformats.org/spreadsheetml/2006/main" count="1879" uniqueCount="443">
  <si>
    <t>附件</t>
  </si>
  <si>
    <t>海口市龙华区面向省内外高校2023年本科及以上学历应届毕业生校园公开招聘教师拟录人员名单</t>
  </si>
  <si>
    <t>序号</t>
  </si>
  <si>
    <t>报考岗位</t>
  </si>
  <si>
    <t>姓名</t>
  </si>
  <si>
    <t>性别</t>
  </si>
  <si>
    <t>籍贯</t>
  </si>
  <si>
    <t>最高学历</t>
  </si>
  <si>
    <t>最高学位</t>
  </si>
  <si>
    <t>本科毕业院校</t>
  </si>
  <si>
    <t>本科专业</t>
  </si>
  <si>
    <t>研究生毕业院校</t>
  </si>
  <si>
    <t>研究生专业</t>
  </si>
  <si>
    <t>择岗学校</t>
  </si>
  <si>
    <t>0401_小学语文</t>
  </si>
  <si>
    <t>海口市城西小学</t>
  </si>
  <si>
    <t>0101_小学语文</t>
  </si>
  <si>
    <t>0406_中学语文</t>
  </si>
  <si>
    <t>海口市城西中学</t>
  </si>
  <si>
    <t>0410_中学历史</t>
  </si>
  <si>
    <t>0412_中学生物</t>
  </si>
  <si>
    <t>0308_中学政治</t>
  </si>
  <si>
    <t>0309_中学历史</t>
  </si>
  <si>
    <t>0305_中学语文</t>
  </si>
  <si>
    <t>海口市第二十六小学</t>
  </si>
  <si>
    <t>0402_小学数学1</t>
  </si>
  <si>
    <t>0404_小学英语</t>
  </si>
  <si>
    <t>0301_小学语文</t>
  </si>
  <si>
    <t>0302_小学数学</t>
  </si>
  <si>
    <t>海口市第十一小学</t>
  </si>
  <si>
    <t>0405_小学体育</t>
  </si>
  <si>
    <t>0304_小学体育</t>
  </si>
  <si>
    <t>海口市海瑞学校</t>
  </si>
  <si>
    <t>0403_小学数学2</t>
  </si>
  <si>
    <t>0407_中学数学</t>
  </si>
  <si>
    <t>0408_中学英语</t>
  </si>
  <si>
    <t>0201_小学语文</t>
  </si>
  <si>
    <t>0202_小学数学</t>
  </si>
  <si>
    <t>0105_中学数学</t>
  </si>
  <si>
    <t>0106_中学英语</t>
  </si>
  <si>
    <t>海口市海燕小学</t>
  </si>
  <si>
    <t>0103_小学英语</t>
  </si>
  <si>
    <t>海口市金盘实验学校</t>
  </si>
  <si>
    <t>0409_中学政治</t>
  </si>
  <si>
    <t>0411_中学地理</t>
  </si>
  <si>
    <t>0102_小学数学</t>
  </si>
  <si>
    <t>0108_中学历史</t>
  </si>
  <si>
    <t>0110_中学化学</t>
  </si>
  <si>
    <t>海口市金宇学校</t>
  </si>
  <si>
    <t>0413_中学物理</t>
  </si>
  <si>
    <t>海口市龙华小学</t>
  </si>
  <si>
    <t>海口市西湖实验学校</t>
  </si>
  <si>
    <t>0204_小学体育</t>
  </si>
  <si>
    <t>0207_中学英语</t>
  </si>
  <si>
    <t>0208_中学政治</t>
  </si>
  <si>
    <t>0209_中学历史</t>
  </si>
  <si>
    <t>海口市秀峰实验学校</t>
  </si>
  <si>
    <t>0205_中学语文</t>
  </si>
  <si>
    <t>0210_中学生物</t>
  </si>
  <si>
    <t>0206_中学数学</t>
  </si>
  <si>
    <t>海口市义龙中学</t>
  </si>
  <si>
    <t>海口市玉沙实验学校</t>
  </si>
  <si>
    <t>0306_中学数学</t>
  </si>
  <si>
    <t>0310_中学生物</t>
  </si>
  <si>
    <t>海南省农垦直属第二小学</t>
  </si>
  <si>
    <t>海南省农垦直属第三小学</t>
  </si>
  <si>
    <t>0104_小学体育</t>
  </si>
  <si>
    <t>2023年校园招聘签约学生名单</t>
  </si>
  <si>
    <t>教资证</t>
  </si>
  <si>
    <t>专四证书（英语学科）</t>
  </si>
  <si>
    <t>档案审查情况</t>
  </si>
  <si>
    <t>体检结果</t>
  </si>
  <si>
    <t>袁媛</t>
  </si>
  <si>
    <t>女</t>
  </si>
  <si>
    <t>海南三亚</t>
  </si>
  <si>
    <t>南昌大学</t>
  </si>
  <si>
    <t>旅游管理专业</t>
  </si>
  <si>
    <t>华南师范大学</t>
  </si>
  <si>
    <t>职业技术教育</t>
  </si>
  <si>
    <t>已取得</t>
  </si>
  <si>
    <t>合格</t>
  </si>
  <si>
    <t>李敏</t>
  </si>
  <si>
    <t>海南万宁</t>
  </si>
  <si>
    <t>海南师范大学</t>
  </si>
  <si>
    <t>汉语言文学</t>
  </si>
  <si>
    <t>无</t>
  </si>
  <si>
    <t>赵娣</t>
  </si>
  <si>
    <t>吉林四平</t>
  </si>
  <si>
    <t>汉语言文学（师范）</t>
  </si>
  <si>
    <t>吴丽君</t>
  </si>
  <si>
    <t>海南海口</t>
  </si>
  <si>
    <t>江西师范大学</t>
  </si>
  <si>
    <t>生物科学（师范）</t>
  </si>
  <si>
    <t>王桂梅</t>
  </si>
  <si>
    <t>海南儋州</t>
  </si>
  <si>
    <t>南京邮电大学</t>
  </si>
  <si>
    <t>信息管理与信息系统</t>
  </si>
  <si>
    <t>苏州大学</t>
  </si>
  <si>
    <t>学科教学（思政）</t>
  </si>
  <si>
    <t>谭书仪</t>
  </si>
  <si>
    <t>成都大学</t>
  </si>
  <si>
    <t>会展经济与管理</t>
  </si>
  <si>
    <t>黎木代</t>
  </si>
  <si>
    <t>太原师范学院</t>
  </si>
  <si>
    <t>樊宇航</t>
  </si>
  <si>
    <t>山东工商学院</t>
  </si>
  <si>
    <t>人力资源管理</t>
  </si>
  <si>
    <t>心理健康教育</t>
  </si>
  <si>
    <t>彭明春</t>
  </si>
  <si>
    <t>重庆云阳</t>
  </si>
  <si>
    <t>旅游管理</t>
  </si>
  <si>
    <t>邵可爱</t>
  </si>
  <si>
    <t>河南商丘</t>
  </si>
  <si>
    <t>小学教育(数学与科学方向)</t>
  </si>
  <si>
    <t>田泽雨</t>
  </si>
  <si>
    <t>山西长治</t>
  </si>
  <si>
    <t>海南大学</t>
  </si>
  <si>
    <t>英语专业</t>
  </si>
  <si>
    <t>程荃晓</t>
  </si>
  <si>
    <t>河南新野</t>
  </si>
  <si>
    <t>新疆工程学院</t>
  </si>
  <si>
    <t>通信工程</t>
  </si>
  <si>
    <t>林盈玥</t>
  </si>
  <si>
    <t>西安外事学院</t>
  </si>
  <si>
    <t>小学教育</t>
  </si>
  <si>
    <t>陈瑾</t>
  </si>
  <si>
    <t>云南师范大学商学院</t>
  </si>
  <si>
    <t>邱春引</t>
  </si>
  <si>
    <t>小学教育（数学与科学方向）</t>
  </si>
  <si>
    <t>刘丰</t>
  </si>
  <si>
    <t>男</t>
  </si>
  <si>
    <t>山东东平</t>
  </si>
  <si>
    <t>琼台师范学院</t>
  </si>
  <si>
    <t>体育教育</t>
  </si>
  <si>
    <t>梁静婷</t>
  </si>
  <si>
    <t>山西晋中</t>
  </si>
  <si>
    <t>山西应用科技学院</t>
  </si>
  <si>
    <t>交通工程</t>
  </si>
  <si>
    <t>洪妍</t>
  </si>
  <si>
    <t>山东泰安</t>
  </si>
  <si>
    <t>济南大学</t>
  </si>
  <si>
    <t>陕西师范大学</t>
  </si>
  <si>
    <t>体育教学</t>
  </si>
  <si>
    <t>桂少敏</t>
  </si>
  <si>
    <t>海南临高</t>
  </si>
  <si>
    <t>财务管理</t>
  </si>
  <si>
    <t>苏越</t>
  </si>
  <si>
    <t>海南文昌</t>
  </si>
  <si>
    <t>南宁师范大学师园学院</t>
  </si>
  <si>
    <t>徐静</t>
  </si>
  <si>
    <t>江苏南京</t>
  </si>
  <si>
    <t>南京大学</t>
  </si>
  <si>
    <t>工商管理</t>
  </si>
  <si>
    <t>教育管理</t>
  </si>
  <si>
    <t>郑郝</t>
  </si>
  <si>
    <t>黑龙江省七台河市勃利县</t>
  </si>
  <si>
    <t>大庆师范学院</t>
  </si>
  <si>
    <t>数学与应用数学</t>
  </si>
  <si>
    <t>付文荔</t>
  </si>
  <si>
    <t>湖南邵阳</t>
  </si>
  <si>
    <t>湖南工学院</t>
  </si>
  <si>
    <t>商务英语</t>
  </si>
  <si>
    <t>翻译</t>
  </si>
  <si>
    <t>曾冉</t>
  </si>
  <si>
    <t>安徽师范大学</t>
  </si>
  <si>
    <t>历史学（师范）</t>
  </si>
  <si>
    <t>学科教学（历史）</t>
  </si>
  <si>
    <t>王雅婷</t>
  </si>
  <si>
    <t>生物科学</t>
  </si>
  <si>
    <t>彭歆</t>
  </si>
  <si>
    <t>重庆人文科技学院</t>
  </si>
  <si>
    <t>张丽波</t>
  </si>
  <si>
    <t>海南澄迈</t>
  </si>
  <si>
    <t>云南大学旅游文化学院</t>
  </si>
  <si>
    <t>学前教育专业</t>
  </si>
  <si>
    <t>刘颖</t>
  </si>
  <si>
    <t>安徽阜阳</t>
  </si>
  <si>
    <t>黄山学院</t>
  </si>
  <si>
    <t>乔雨欣</t>
  </si>
  <si>
    <t>湖北襄阳</t>
  </si>
  <si>
    <t>武汉东湖学院</t>
  </si>
  <si>
    <t>英语</t>
  </si>
  <si>
    <t>符小慧</t>
  </si>
  <si>
    <t>卢沿遐</t>
  </si>
  <si>
    <t>海南琼海</t>
  </si>
  <si>
    <t>东北师范大学人文学院</t>
  </si>
  <si>
    <t>邢有海</t>
  </si>
  <si>
    <t>海南乐东黎族自治县黄流一队二组70号</t>
  </si>
  <si>
    <t>英语师范</t>
  </si>
  <si>
    <t>陈晓芬</t>
  </si>
  <si>
    <t>海南省定安县</t>
  </si>
  <si>
    <t>温州大学</t>
  </si>
  <si>
    <t>葛烔言</t>
  </si>
  <si>
    <t>天津河西</t>
  </si>
  <si>
    <t>数学与应用数学（师范）</t>
  </si>
  <si>
    <t>尹蝴蝶</t>
  </si>
  <si>
    <t>贵州省水城县</t>
  </si>
  <si>
    <t>孙旭阳</t>
  </si>
  <si>
    <t>四川自贡</t>
  </si>
  <si>
    <t>英语（师范）</t>
  </si>
  <si>
    <t>张子怡</t>
  </si>
  <si>
    <t>湖南岳阳</t>
  </si>
  <si>
    <t>李昌谊</t>
  </si>
  <si>
    <t>思想政治教育（师范）</t>
  </si>
  <si>
    <t>杨科书</t>
  </si>
  <si>
    <t>历史师范</t>
  </si>
  <si>
    <t>陈言</t>
  </si>
  <si>
    <t>地理科学</t>
  </si>
  <si>
    <t>林资倩</t>
  </si>
  <si>
    <t>海南昌江</t>
  </si>
  <si>
    <t>学科教学（生物）</t>
  </si>
  <si>
    <t>蔡雨彤</t>
  </si>
  <si>
    <t>上饶师范学院</t>
  </si>
  <si>
    <t>音乐学</t>
  </si>
  <si>
    <t>叶滢</t>
  </si>
  <si>
    <t>湖南师范大学</t>
  </si>
  <si>
    <t>电子信息科学与技术</t>
  </si>
  <si>
    <t>王刘结</t>
  </si>
  <si>
    <t>安徽安庆</t>
  </si>
  <si>
    <t>谢佳玲</t>
  </si>
  <si>
    <t>湖南长沙</t>
  </si>
  <si>
    <t>湖南城市学院</t>
  </si>
  <si>
    <t>陈颖</t>
  </si>
  <si>
    <t>海南屯昌</t>
  </si>
  <si>
    <t>河南大学</t>
  </si>
  <si>
    <t>历史学</t>
  </si>
  <si>
    <t>梁家晖</t>
  </si>
  <si>
    <t>广西横县</t>
  </si>
  <si>
    <t>天津师范大学</t>
  </si>
  <si>
    <t>化学（师范）</t>
  </si>
  <si>
    <t>陈仪</t>
  </si>
  <si>
    <t>思想政治教育</t>
  </si>
  <si>
    <t>王涛</t>
  </si>
  <si>
    <t>青海师范大学</t>
  </si>
  <si>
    <t>物理学</t>
  </si>
  <si>
    <t>薛丹妮</t>
  </si>
  <si>
    <t>宁夏银川</t>
  </si>
  <si>
    <t>中原工学院经管学院</t>
  </si>
  <si>
    <t>宁夏大学教育学院</t>
  </si>
  <si>
    <t>姜思源</t>
  </si>
  <si>
    <t>黑龙江省哈尔滨市</t>
  </si>
  <si>
    <t>运城学院</t>
  </si>
  <si>
    <t>卢培珊</t>
  </si>
  <si>
    <t>广东中山</t>
  </si>
  <si>
    <t>刘瑜</t>
  </si>
  <si>
    <t>江西吉安</t>
  </si>
  <si>
    <t>周曼珍</t>
  </si>
  <si>
    <t>扬州大学</t>
  </si>
  <si>
    <t>李心怡</t>
  </si>
  <si>
    <t>程梦童</t>
  </si>
  <si>
    <t>海南陵水</t>
  </si>
  <si>
    <t>宜春学院</t>
  </si>
  <si>
    <t>运动训练学（双学位：财务管理）</t>
  </si>
  <si>
    <t>刘冠红</t>
  </si>
  <si>
    <t>海南省万宁市</t>
  </si>
  <si>
    <t>长春师范大学</t>
  </si>
  <si>
    <t>外国语言文学</t>
  </si>
  <si>
    <t>陈柳妃</t>
  </si>
  <si>
    <t>黄冈师范学院</t>
  </si>
  <si>
    <t>谢名彬</t>
  </si>
  <si>
    <t>海南定安</t>
  </si>
  <si>
    <t>湘潭大学</t>
  </si>
  <si>
    <t>市场营销</t>
  </si>
  <si>
    <t>湖南科技大学</t>
  </si>
  <si>
    <t>中国史</t>
  </si>
  <si>
    <t>卢国瑞</t>
  </si>
  <si>
    <t>海南东方</t>
  </si>
  <si>
    <t>黎情情</t>
  </si>
  <si>
    <t>重庆开州</t>
  </si>
  <si>
    <t>重庆外语外事学院</t>
  </si>
  <si>
    <t>英语（教育）</t>
  </si>
  <si>
    <t>方淇</t>
  </si>
  <si>
    <t>广西师范大学</t>
  </si>
  <si>
    <t>思想政治教育专业</t>
  </si>
  <si>
    <t>李泽斌</t>
  </si>
  <si>
    <t>武术与民族传统体育专业</t>
  </si>
  <si>
    <t>叶晓敏</t>
  </si>
  <si>
    <t>海南昌江黎族自治县</t>
  </si>
  <si>
    <t>翁诗雨</t>
  </si>
  <si>
    <t>梁晓宇</t>
  </si>
  <si>
    <t>广州大学</t>
  </si>
  <si>
    <t>广播电视学</t>
  </si>
  <si>
    <t>陈邦盈</t>
  </si>
  <si>
    <t>统计学</t>
  </si>
  <si>
    <t>陈钟永</t>
  </si>
  <si>
    <t>广东第二师范学院</t>
  </si>
  <si>
    <t>王杨</t>
  </si>
  <si>
    <t>海南省海口市</t>
  </si>
  <si>
    <t>武江红</t>
  </si>
  <si>
    <t>山西大同</t>
  </si>
  <si>
    <t>忻州师范学院</t>
  </si>
  <si>
    <t>东北师范大学</t>
  </si>
  <si>
    <t>汉语国际教育</t>
  </si>
  <si>
    <t>周艺博</t>
  </si>
  <si>
    <t>河南洛阳</t>
  </si>
  <si>
    <t>杨来泽</t>
  </si>
  <si>
    <t>河北师范大学</t>
  </si>
  <si>
    <t>吴多第</t>
  </si>
  <si>
    <t>四川农业大学</t>
  </si>
  <si>
    <t>道路桥梁与渡河工程</t>
  </si>
  <si>
    <t>海蓝</t>
  </si>
  <si>
    <t>海南乐东</t>
  </si>
  <si>
    <t>江苏师范大学</t>
  </si>
  <si>
    <t>符馨尹</t>
  </si>
  <si>
    <t>思想政治教育专业（师范类）</t>
  </si>
  <si>
    <t>张怡</t>
  </si>
  <si>
    <t>戴辰曦</t>
  </si>
  <si>
    <t>重庆师范大学</t>
  </si>
  <si>
    <t>新闻学</t>
  </si>
  <si>
    <t>叶铃芳</t>
  </si>
  <si>
    <t>广东紫金</t>
  </si>
  <si>
    <t>成都师范学院</t>
  </si>
  <si>
    <t>林云宇</t>
  </si>
  <si>
    <t>四川师范大学</t>
  </si>
  <si>
    <t>戚靖旎</t>
  </si>
  <si>
    <t>南昌师范学院</t>
  </si>
  <si>
    <t>莫雷宇</t>
  </si>
  <si>
    <t>历史</t>
  </si>
  <si>
    <t>潘文畅</t>
  </si>
  <si>
    <t>西南大学</t>
  </si>
  <si>
    <t>生物技术</t>
  </si>
  <si>
    <t>郏溢琦</t>
  </si>
  <si>
    <t>河南驻马店</t>
  </si>
  <si>
    <t>化学</t>
  </si>
  <si>
    <t>许仁捷</t>
  </si>
  <si>
    <t>四川大学</t>
  </si>
  <si>
    <t>黄成爱</t>
  </si>
  <si>
    <t>刘凯雯</t>
  </si>
  <si>
    <t>湖南株洲</t>
  </si>
  <si>
    <t>学科教学（数学）</t>
  </si>
  <si>
    <t>申泽武</t>
  </si>
  <si>
    <t>河北石家庄</t>
  </si>
  <si>
    <t>吴春梅</t>
  </si>
  <si>
    <t>王常州</t>
  </si>
  <si>
    <t>江苏连云港</t>
  </si>
  <si>
    <t>南京工程学院</t>
  </si>
  <si>
    <t>自动化</t>
  </si>
  <si>
    <t>公共管理</t>
  </si>
  <si>
    <t>冯金梅</t>
  </si>
  <si>
    <t>金融数学</t>
  </si>
  <si>
    <t>别利婷</t>
  </si>
  <si>
    <t>重庆市</t>
  </si>
  <si>
    <t>重庆理工大学</t>
  </si>
  <si>
    <t>电子商务及法律</t>
  </si>
  <si>
    <t>李晓倩</t>
  </si>
  <si>
    <t>沈阳工业大学</t>
  </si>
  <si>
    <t>机械设计制造及其自动化</t>
  </si>
  <si>
    <t>小学教育（数学）</t>
  </si>
  <si>
    <t>马文宣</t>
  </si>
  <si>
    <t>山东济宁</t>
  </si>
  <si>
    <t>德州学院</t>
  </si>
  <si>
    <t>园艺</t>
  </si>
  <si>
    <t>教育学原理</t>
  </si>
  <si>
    <t>李云逸</t>
  </si>
  <si>
    <t>黄宝琳</t>
  </si>
  <si>
    <t>汉语国际教育专业</t>
  </si>
  <si>
    <t>学科教学（语文）</t>
  </si>
  <si>
    <t>周芯怡</t>
  </si>
  <si>
    <t>侯安宁</t>
  </si>
  <si>
    <t>山西省陵川县</t>
  </si>
  <si>
    <t>曾倩</t>
  </si>
  <si>
    <t>湖南衡东</t>
  </si>
  <si>
    <t>焦艺田</t>
  </si>
  <si>
    <t>湖北枣阳</t>
  </si>
  <si>
    <t>吴雨桐</t>
  </si>
  <si>
    <t>福建龙岩</t>
  </si>
  <si>
    <t>王星</t>
  </si>
  <si>
    <t>湖南张家界</t>
  </si>
  <si>
    <t>黎小妹</t>
  </si>
  <si>
    <t>山东师范大学</t>
  </si>
  <si>
    <t>学科教学（地理）</t>
  </si>
  <si>
    <t>陈小婷</t>
  </si>
  <si>
    <t>符雨静</t>
  </si>
  <si>
    <t>生物科学（师范类）</t>
  </si>
  <si>
    <t>陈月</t>
  </si>
  <si>
    <t>张静瑜</t>
  </si>
  <si>
    <t>张子莹</t>
  </si>
  <si>
    <t>北京体育大学</t>
  </si>
  <si>
    <t>高歌昱晨</t>
  </si>
  <si>
    <t>河南郑州</t>
  </si>
  <si>
    <t>赣南师范大学</t>
  </si>
  <si>
    <t>教育学</t>
  </si>
  <si>
    <t>伍一</t>
  </si>
  <si>
    <t>湖南省安仁县</t>
  </si>
  <si>
    <t>吕村洋</t>
  </si>
  <si>
    <t>河南南阳</t>
  </si>
  <si>
    <t>淮北师范大学</t>
  </si>
  <si>
    <t>黄小芳</t>
  </si>
  <si>
    <t>林欣叶</t>
  </si>
  <si>
    <t>王馨悦</t>
  </si>
  <si>
    <t>吉林师范大学博达学院</t>
  </si>
  <si>
    <t>小学教育专业</t>
  </si>
  <si>
    <t>汪旋</t>
  </si>
  <si>
    <t>安徽滁州</t>
  </si>
  <si>
    <t>安徽工业大学</t>
  </si>
  <si>
    <t>英语笔译</t>
  </si>
  <si>
    <t>王梦颖</t>
  </si>
  <si>
    <t>南宁师范大学</t>
  </si>
  <si>
    <t>龚嘉怡</t>
  </si>
  <si>
    <t>江西南昌</t>
  </si>
  <si>
    <t>潘丁洁</t>
  </si>
  <si>
    <t>小学教育（数学方向）</t>
  </si>
  <si>
    <t>王琳轲</t>
  </si>
  <si>
    <t>刘佳思</t>
  </si>
  <si>
    <t>成都文理学院</t>
  </si>
  <si>
    <t>杨心雨</t>
  </si>
  <si>
    <t>湖北宜昌</t>
  </si>
  <si>
    <t>湖北师范大学文理学院</t>
  </si>
  <si>
    <t>英语教育</t>
  </si>
  <si>
    <t>三峡大学</t>
  </si>
  <si>
    <t>学科教学（英语）</t>
  </si>
  <si>
    <t>卢鹏</t>
  </si>
  <si>
    <t>黑龙江哈尔滨</t>
  </si>
  <si>
    <t>武汉体育学院</t>
  </si>
  <si>
    <t>体育经济与管理</t>
  </si>
  <si>
    <t>吕心灵</t>
  </si>
  <si>
    <t>新疆巴州</t>
  </si>
  <si>
    <t>认定中</t>
  </si>
  <si>
    <t>王欣</t>
  </si>
  <si>
    <t>中南财经政法大学</t>
  </si>
  <si>
    <t>认定通过，未发证书</t>
  </si>
  <si>
    <t>庞贻英</t>
  </si>
  <si>
    <t>广西玉林</t>
  </si>
  <si>
    <t>网络与新媒体</t>
  </si>
  <si>
    <t>吴文雅</t>
  </si>
  <si>
    <t>山东大学</t>
  </si>
  <si>
    <t>成绩合格，已出证书编号，未取得证书</t>
  </si>
  <si>
    <t>0303_小学英语</t>
  </si>
  <si>
    <t>郑惠香</t>
  </si>
  <si>
    <t>等成绩，预计10月取得</t>
  </si>
  <si>
    <t>陈阳娇</t>
  </si>
  <si>
    <t>英语师范专业</t>
  </si>
  <si>
    <t>0203_小学英语</t>
  </si>
  <si>
    <t>庄雅婷</t>
  </si>
  <si>
    <t>宜宾学院</t>
  </si>
  <si>
    <t>孙铭苑</t>
  </si>
  <si>
    <t>师范英语</t>
  </si>
  <si>
    <t>许欢欢</t>
  </si>
  <si>
    <t>行政管理(辅修英语)</t>
  </si>
  <si>
    <t>郑淑颖</t>
  </si>
  <si>
    <t>南京特殊教育师范学院</t>
  </si>
  <si>
    <t>苏梦婷</t>
  </si>
  <si>
    <t>江西景德镇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</si>
</sst>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黑体"/>
      <charset val="134"/>
    </font>
    <font>
      <sz val="2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2"/>
  <sheetViews>
    <sheetView tabSelected="1" zoomScale="80" zoomScaleNormal="80" workbookViewId="0">
      <pane ySplit="3" topLeftCell="A4" activePane="bottomLeft" state="frozen"/>
      <selection/>
      <selection pane="bottomLeft" activeCell="C4" sqref="C4"/>
    </sheetView>
  </sheetViews>
  <sheetFormatPr defaultColWidth="9" defaultRowHeight="35.1" customHeight="1"/>
  <cols>
    <col min="1" max="1" width="9.12962962962963" style="29" customWidth="1"/>
    <col min="2" max="2" width="16.2962962962963" style="29" customWidth="1"/>
    <col min="3" max="4" width="7.5" style="29" customWidth="1"/>
    <col min="5" max="5" width="9.44444444444444" style="29" customWidth="1"/>
    <col min="6" max="7" width="7.5" style="29" customWidth="1"/>
    <col min="8" max="8" width="13.75" style="29" customWidth="1"/>
    <col min="9" max="9" width="14.8611111111111" style="29" customWidth="1"/>
    <col min="10" max="10" width="11.3888888888889" style="29" customWidth="1"/>
    <col min="11" max="11" width="10.4166666666667" style="29" customWidth="1"/>
    <col min="12" max="12" width="23.4722222222222" style="29" customWidth="1"/>
    <col min="13" max="16384" width="9" style="29"/>
  </cols>
  <sheetData>
    <row r="1" customHeight="1" spans="1:1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customHeight="1" spans="1:1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3"/>
    </row>
    <row r="3" s="26" customFormat="1" customHeight="1" spans="1:13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4"/>
    </row>
    <row r="4" customHeight="1" spans="1:13">
      <c r="A4" s="10">
        <v>1</v>
      </c>
      <c r="B4" s="10" t="s">
        <v>14</v>
      </c>
      <c r="C4" s="10" t="str">
        <f>"袁媛"</f>
        <v>袁媛</v>
      </c>
      <c r="D4" s="10" t="str">
        <f t="shared" ref="D4:D20" si="0">"女"</f>
        <v>女</v>
      </c>
      <c r="E4" s="10" t="str">
        <f>"海南三亚"</f>
        <v>海南三亚</v>
      </c>
      <c r="F4" s="10" t="str">
        <f>"研究生"</f>
        <v>研究生</v>
      </c>
      <c r="G4" s="10" t="str">
        <f>"硕士"</f>
        <v>硕士</v>
      </c>
      <c r="H4" s="10" t="str">
        <f>"南昌大学"</f>
        <v>南昌大学</v>
      </c>
      <c r="I4" s="10" t="str">
        <f>"旅游管理专业"</f>
        <v>旅游管理专业</v>
      </c>
      <c r="J4" s="10" t="str">
        <f>"华南师范大学"</f>
        <v>华南师范大学</v>
      </c>
      <c r="K4" s="10" t="str">
        <f>"职业技术教育"</f>
        <v>职业技术教育</v>
      </c>
      <c r="L4" s="10" t="s">
        <v>15</v>
      </c>
      <c r="M4" s="35"/>
    </row>
    <row r="5" customHeight="1" spans="1:13">
      <c r="A5" s="10">
        <v>2</v>
      </c>
      <c r="B5" s="10" t="s">
        <v>16</v>
      </c>
      <c r="C5" s="10" t="str">
        <f>"李敏"</f>
        <v>李敏</v>
      </c>
      <c r="D5" s="10" t="str">
        <f t="shared" si="0"/>
        <v>女</v>
      </c>
      <c r="E5" s="10" t="str">
        <f>"海南万宁"</f>
        <v>海南万宁</v>
      </c>
      <c r="F5" s="10" t="str">
        <f>"本科"</f>
        <v>本科</v>
      </c>
      <c r="G5" s="10" t="str">
        <f>"学士"</f>
        <v>学士</v>
      </c>
      <c r="H5" s="10" t="str">
        <f>"海南师范大学"</f>
        <v>海南师范大学</v>
      </c>
      <c r="I5" s="10" t="str">
        <f>"汉语言文学"</f>
        <v>汉语言文学</v>
      </c>
      <c r="J5" s="10" t="str">
        <f t="shared" ref="J5:K8" si="1">"无"</f>
        <v>无</v>
      </c>
      <c r="K5" s="10" t="str">
        <f t="shared" si="1"/>
        <v>无</v>
      </c>
      <c r="L5" s="10" t="s">
        <v>15</v>
      </c>
      <c r="M5" s="35"/>
    </row>
    <row r="6" customHeight="1" spans="1:13">
      <c r="A6" s="10">
        <v>3</v>
      </c>
      <c r="B6" s="10" t="s">
        <v>17</v>
      </c>
      <c r="C6" s="10" t="str">
        <f>"赵娣"</f>
        <v>赵娣</v>
      </c>
      <c r="D6" s="10" t="str">
        <f t="shared" si="0"/>
        <v>女</v>
      </c>
      <c r="E6" s="10" t="str">
        <f>"吉林四平"</f>
        <v>吉林四平</v>
      </c>
      <c r="F6" s="10" t="str">
        <f>"本科"</f>
        <v>本科</v>
      </c>
      <c r="G6" s="10" t="str">
        <f>"学士"</f>
        <v>学士</v>
      </c>
      <c r="H6" s="10" t="str">
        <f>"海南师范大学"</f>
        <v>海南师范大学</v>
      </c>
      <c r="I6" s="10" t="str">
        <f>"汉语言文学（师范）"</f>
        <v>汉语言文学（师范）</v>
      </c>
      <c r="J6" s="10" t="str">
        <f t="shared" si="1"/>
        <v>无</v>
      </c>
      <c r="K6" s="10" t="str">
        <f t="shared" si="1"/>
        <v>无</v>
      </c>
      <c r="L6" s="10" t="s">
        <v>18</v>
      </c>
      <c r="M6" s="35"/>
    </row>
    <row r="7" customHeight="1" spans="1:13">
      <c r="A7" s="10">
        <v>4</v>
      </c>
      <c r="B7" s="10" t="s">
        <v>19</v>
      </c>
      <c r="C7" s="10" t="str">
        <f>"吕心灵"</f>
        <v>吕心灵</v>
      </c>
      <c r="D7" s="10" t="str">
        <f t="shared" si="0"/>
        <v>女</v>
      </c>
      <c r="E7" s="10" t="str">
        <f>"新疆巴州"</f>
        <v>新疆巴州</v>
      </c>
      <c r="F7" s="10" t="str">
        <f>"本科"</f>
        <v>本科</v>
      </c>
      <c r="G7" s="10" t="str">
        <f>"学士"</f>
        <v>学士</v>
      </c>
      <c r="H7" s="10" t="str">
        <f>"海南师范大学"</f>
        <v>海南师范大学</v>
      </c>
      <c r="I7" s="10" t="str">
        <f>"历史学"</f>
        <v>历史学</v>
      </c>
      <c r="J7" s="10" t="str">
        <f t="shared" si="1"/>
        <v>无</v>
      </c>
      <c r="K7" s="10" t="str">
        <f t="shared" si="1"/>
        <v>无</v>
      </c>
      <c r="L7" s="10" t="s">
        <v>18</v>
      </c>
      <c r="M7" s="35"/>
    </row>
    <row r="8" customHeight="1" spans="1:13">
      <c r="A8" s="10">
        <v>5</v>
      </c>
      <c r="B8" s="10" t="s">
        <v>20</v>
      </c>
      <c r="C8" s="10" t="str">
        <f>"吴丽君"</f>
        <v>吴丽君</v>
      </c>
      <c r="D8" s="10" t="str">
        <f t="shared" si="0"/>
        <v>女</v>
      </c>
      <c r="E8" s="10" t="str">
        <f>"海南海口"</f>
        <v>海南海口</v>
      </c>
      <c r="F8" s="10" t="str">
        <f>"本科"</f>
        <v>本科</v>
      </c>
      <c r="G8" s="10" t="str">
        <f>"学士"</f>
        <v>学士</v>
      </c>
      <c r="H8" s="10" t="str">
        <f>"江西师范大学"</f>
        <v>江西师范大学</v>
      </c>
      <c r="I8" s="10" t="str">
        <f>"生物科学（师范）"</f>
        <v>生物科学（师范）</v>
      </c>
      <c r="J8" s="10" t="str">
        <f t="shared" si="1"/>
        <v>无</v>
      </c>
      <c r="K8" s="10" t="str">
        <f t="shared" si="1"/>
        <v>无</v>
      </c>
      <c r="L8" s="10" t="s">
        <v>18</v>
      </c>
      <c r="M8" s="35"/>
    </row>
    <row r="9" customHeight="1" spans="1:13">
      <c r="A9" s="10">
        <v>6</v>
      </c>
      <c r="B9" s="10" t="s">
        <v>21</v>
      </c>
      <c r="C9" s="10" t="str">
        <f>"王桂梅"</f>
        <v>王桂梅</v>
      </c>
      <c r="D9" s="10" t="str">
        <f t="shared" si="0"/>
        <v>女</v>
      </c>
      <c r="E9" s="10" t="str">
        <f>"海南儋州"</f>
        <v>海南儋州</v>
      </c>
      <c r="F9" s="10" t="str">
        <f>"研究生"</f>
        <v>研究生</v>
      </c>
      <c r="G9" s="10" t="str">
        <f>"硕士"</f>
        <v>硕士</v>
      </c>
      <c r="H9" s="10" t="str">
        <f>"南京邮电大学"</f>
        <v>南京邮电大学</v>
      </c>
      <c r="I9" s="10" t="str">
        <f>"信息管理与信息系统"</f>
        <v>信息管理与信息系统</v>
      </c>
      <c r="J9" s="10" t="str">
        <f>"苏州大学"</f>
        <v>苏州大学</v>
      </c>
      <c r="K9" s="10" t="str">
        <f>"学科教学（思政）"</f>
        <v>学科教学（思政）</v>
      </c>
      <c r="L9" s="10" t="s">
        <v>18</v>
      </c>
      <c r="M9" s="35"/>
    </row>
    <row r="10" customHeight="1" spans="1:13">
      <c r="A10" s="10">
        <v>7</v>
      </c>
      <c r="B10" s="10" t="s">
        <v>22</v>
      </c>
      <c r="C10" s="10" t="str">
        <f>"谭书仪"</f>
        <v>谭书仪</v>
      </c>
      <c r="D10" s="10" t="str">
        <f t="shared" si="0"/>
        <v>女</v>
      </c>
      <c r="E10" s="10" t="str">
        <f>"海南海口"</f>
        <v>海南海口</v>
      </c>
      <c r="F10" s="10" t="str">
        <f>"本科"</f>
        <v>本科</v>
      </c>
      <c r="G10" s="10" t="str">
        <f>"学士"</f>
        <v>学士</v>
      </c>
      <c r="H10" s="10" t="str">
        <f>"成都大学"</f>
        <v>成都大学</v>
      </c>
      <c r="I10" s="10" t="str">
        <f>"会展经济与管理"</f>
        <v>会展经济与管理</v>
      </c>
      <c r="J10" s="10" t="str">
        <f>"无"</f>
        <v>无</v>
      </c>
      <c r="K10" s="10" t="str">
        <f>"无"</f>
        <v>无</v>
      </c>
      <c r="L10" s="10" t="s">
        <v>18</v>
      </c>
      <c r="M10" s="35"/>
    </row>
    <row r="11" customHeight="1" spans="1:13">
      <c r="A11" s="10">
        <v>8</v>
      </c>
      <c r="B11" s="10" t="s">
        <v>23</v>
      </c>
      <c r="C11" s="10" t="str">
        <f>"黎木代"</f>
        <v>黎木代</v>
      </c>
      <c r="D11" s="10" t="str">
        <f t="shared" si="0"/>
        <v>女</v>
      </c>
      <c r="E11" s="10" t="str">
        <f>"海南儋州"</f>
        <v>海南儋州</v>
      </c>
      <c r="F11" s="10" t="str">
        <f>"本科"</f>
        <v>本科</v>
      </c>
      <c r="G11" s="10" t="str">
        <f>"学士"</f>
        <v>学士</v>
      </c>
      <c r="H11" s="10" t="str">
        <f>"太原师范学院"</f>
        <v>太原师范学院</v>
      </c>
      <c r="I11" s="10" t="str">
        <f>"汉语言文学"</f>
        <v>汉语言文学</v>
      </c>
      <c r="J11" s="10" t="str">
        <f>"无"</f>
        <v>无</v>
      </c>
      <c r="K11" s="10" t="str">
        <f>"无"</f>
        <v>无</v>
      </c>
      <c r="L11" s="10" t="s">
        <v>18</v>
      </c>
      <c r="M11" s="35"/>
    </row>
    <row r="12" customHeight="1" spans="1:13">
      <c r="A12" s="10">
        <v>9</v>
      </c>
      <c r="B12" s="10" t="s">
        <v>14</v>
      </c>
      <c r="C12" s="10" t="str">
        <f>"樊宇航"</f>
        <v>樊宇航</v>
      </c>
      <c r="D12" s="10" t="str">
        <f t="shared" si="0"/>
        <v>女</v>
      </c>
      <c r="E12" s="10" t="str">
        <f>"海南儋州"</f>
        <v>海南儋州</v>
      </c>
      <c r="F12" s="10" t="str">
        <f>"研究生"</f>
        <v>研究生</v>
      </c>
      <c r="G12" s="10" t="str">
        <f>"硕士"</f>
        <v>硕士</v>
      </c>
      <c r="H12" s="10" t="str">
        <f>"山东工商学院"</f>
        <v>山东工商学院</v>
      </c>
      <c r="I12" s="10" t="str">
        <f>"人力资源管理"</f>
        <v>人力资源管理</v>
      </c>
      <c r="J12" s="10" t="str">
        <f>"海南师范大学"</f>
        <v>海南师范大学</v>
      </c>
      <c r="K12" s="10" t="str">
        <f>"心理健康教育"</f>
        <v>心理健康教育</v>
      </c>
      <c r="L12" s="10" t="s">
        <v>24</v>
      </c>
      <c r="M12" s="35"/>
    </row>
    <row r="13" customHeight="1" spans="1:13">
      <c r="A13" s="10">
        <v>10</v>
      </c>
      <c r="B13" s="10" t="s">
        <v>14</v>
      </c>
      <c r="C13" s="10" t="str">
        <f>"彭明春"</f>
        <v>彭明春</v>
      </c>
      <c r="D13" s="10" t="str">
        <f t="shared" si="0"/>
        <v>女</v>
      </c>
      <c r="E13" s="10" t="str">
        <f>"重庆云阳"</f>
        <v>重庆云阳</v>
      </c>
      <c r="F13" s="10" t="str">
        <f t="shared" ref="F13:F21" si="2">"本科"</f>
        <v>本科</v>
      </c>
      <c r="G13" s="10" t="str">
        <f t="shared" ref="G13:G21" si="3">"学士"</f>
        <v>学士</v>
      </c>
      <c r="H13" s="10" t="str">
        <f>"海南师范大学"</f>
        <v>海南师范大学</v>
      </c>
      <c r="I13" s="10" t="str">
        <f>"旅游管理"</f>
        <v>旅游管理</v>
      </c>
      <c r="J13" s="10" t="str">
        <f t="shared" ref="J13:J21" si="4">"无"</f>
        <v>无</v>
      </c>
      <c r="K13" s="10" t="str">
        <f t="shared" ref="K13:K21" si="5">"无"</f>
        <v>无</v>
      </c>
      <c r="L13" s="10" t="s">
        <v>24</v>
      </c>
      <c r="M13" s="35"/>
    </row>
    <row r="14" customHeight="1" spans="1:13">
      <c r="A14" s="10">
        <v>11</v>
      </c>
      <c r="B14" s="10" t="s">
        <v>25</v>
      </c>
      <c r="C14" s="10" t="str">
        <f>"邵可爱"</f>
        <v>邵可爱</v>
      </c>
      <c r="D14" s="10" t="str">
        <f t="shared" si="0"/>
        <v>女</v>
      </c>
      <c r="E14" s="10" t="str">
        <f>"河南商丘"</f>
        <v>河南商丘</v>
      </c>
      <c r="F14" s="10" t="str">
        <f t="shared" si="2"/>
        <v>本科</v>
      </c>
      <c r="G14" s="10" t="str">
        <f t="shared" si="3"/>
        <v>学士</v>
      </c>
      <c r="H14" s="10" t="str">
        <f>"海南师范大学"</f>
        <v>海南师范大学</v>
      </c>
      <c r="I14" s="10" t="str">
        <f>"小学教育(数学与科学方向)"</f>
        <v>小学教育(数学与科学方向)</v>
      </c>
      <c r="J14" s="10" t="str">
        <f t="shared" si="4"/>
        <v>无</v>
      </c>
      <c r="K14" s="10" t="str">
        <f t="shared" si="5"/>
        <v>无</v>
      </c>
      <c r="L14" s="10" t="s">
        <v>24</v>
      </c>
      <c r="M14" s="35"/>
    </row>
    <row r="15" customHeight="1" spans="1:13">
      <c r="A15" s="10">
        <v>12</v>
      </c>
      <c r="B15" s="10" t="s">
        <v>26</v>
      </c>
      <c r="C15" s="10" t="str">
        <f>"田泽雨"</f>
        <v>田泽雨</v>
      </c>
      <c r="D15" s="10" t="str">
        <f t="shared" si="0"/>
        <v>女</v>
      </c>
      <c r="E15" s="10" t="str">
        <f>"山西长治"</f>
        <v>山西长治</v>
      </c>
      <c r="F15" s="10" t="str">
        <f t="shared" si="2"/>
        <v>本科</v>
      </c>
      <c r="G15" s="10" t="str">
        <f t="shared" si="3"/>
        <v>学士</v>
      </c>
      <c r="H15" s="10" t="str">
        <f>"海南大学"</f>
        <v>海南大学</v>
      </c>
      <c r="I15" s="10" t="str">
        <f>"英语专业"</f>
        <v>英语专业</v>
      </c>
      <c r="J15" s="10" t="str">
        <f t="shared" si="4"/>
        <v>无</v>
      </c>
      <c r="K15" s="10" t="str">
        <f t="shared" si="5"/>
        <v>无</v>
      </c>
      <c r="L15" s="10" t="s">
        <v>24</v>
      </c>
      <c r="M15" s="35"/>
    </row>
    <row r="16" customHeight="1" spans="1:13">
      <c r="A16" s="10">
        <v>13</v>
      </c>
      <c r="B16" s="10" t="s">
        <v>27</v>
      </c>
      <c r="C16" s="10" t="str">
        <f>"程荃晓"</f>
        <v>程荃晓</v>
      </c>
      <c r="D16" s="10" t="str">
        <f t="shared" si="0"/>
        <v>女</v>
      </c>
      <c r="E16" s="10" t="str">
        <f>"河南新野"</f>
        <v>河南新野</v>
      </c>
      <c r="F16" s="10" t="str">
        <f t="shared" si="2"/>
        <v>本科</v>
      </c>
      <c r="G16" s="10" t="str">
        <f t="shared" si="3"/>
        <v>学士</v>
      </c>
      <c r="H16" s="10" t="str">
        <f>"新疆工程学院"</f>
        <v>新疆工程学院</v>
      </c>
      <c r="I16" s="10" t="str">
        <f>"通信工程"</f>
        <v>通信工程</v>
      </c>
      <c r="J16" s="10" t="str">
        <f t="shared" si="4"/>
        <v>无</v>
      </c>
      <c r="K16" s="10" t="str">
        <f t="shared" si="5"/>
        <v>无</v>
      </c>
      <c r="L16" s="10" t="s">
        <v>24</v>
      </c>
      <c r="M16" s="35"/>
    </row>
    <row r="17" customHeight="1" spans="1:13">
      <c r="A17" s="10">
        <v>14</v>
      </c>
      <c r="B17" s="10" t="s">
        <v>28</v>
      </c>
      <c r="C17" s="10" t="str">
        <f>"林盈玥"</f>
        <v>林盈玥</v>
      </c>
      <c r="D17" s="10" t="str">
        <f t="shared" si="0"/>
        <v>女</v>
      </c>
      <c r="E17" s="10" t="str">
        <f>"海南海口"</f>
        <v>海南海口</v>
      </c>
      <c r="F17" s="10" t="str">
        <f t="shared" si="2"/>
        <v>本科</v>
      </c>
      <c r="G17" s="10" t="str">
        <f t="shared" si="3"/>
        <v>学士</v>
      </c>
      <c r="H17" s="10" t="str">
        <f>"西安外事学院"</f>
        <v>西安外事学院</v>
      </c>
      <c r="I17" s="10" t="str">
        <f>"小学教育"</f>
        <v>小学教育</v>
      </c>
      <c r="J17" s="10" t="str">
        <f t="shared" si="4"/>
        <v>无</v>
      </c>
      <c r="K17" s="10" t="str">
        <f t="shared" si="5"/>
        <v>无</v>
      </c>
      <c r="L17" s="10" t="s">
        <v>24</v>
      </c>
      <c r="M17" s="35"/>
    </row>
    <row r="18" customHeight="1" spans="1:13">
      <c r="A18" s="10">
        <v>15</v>
      </c>
      <c r="B18" s="10" t="s">
        <v>25</v>
      </c>
      <c r="C18" s="10" t="str">
        <f>"陈瑾"</f>
        <v>陈瑾</v>
      </c>
      <c r="D18" s="10" t="str">
        <f t="shared" si="0"/>
        <v>女</v>
      </c>
      <c r="E18" s="10" t="str">
        <f>"海南海口"</f>
        <v>海南海口</v>
      </c>
      <c r="F18" s="10" t="str">
        <f t="shared" si="2"/>
        <v>本科</v>
      </c>
      <c r="G18" s="10" t="str">
        <f t="shared" si="3"/>
        <v>学士</v>
      </c>
      <c r="H18" s="10" t="str">
        <f>"云南师范大学商学院"</f>
        <v>云南师范大学商学院</v>
      </c>
      <c r="I18" s="10" t="str">
        <f>"小学教育"</f>
        <v>小学教育</v>
      </c>
      <c r="J18" s="10" t="str">
        <f t="shared" si="4"/>
        <v>无</v>
      </c>
      <c r="K18" s="10" t="str">
        <f t="shared" si="5"/>
        <v>无</v>
      </c>
      <c r="L18" s="10" t="s">
        <v>29</v>
      </c>
      <c r="M18" s="35"/>
    </row>
    <row r="19" customHeight="1" spans="1:13">
      <c r="A19" s="10">
        <v>16</v>
      </c>
      <c r="B19" s="10" t="s">
        <v>25</v>
      </c>
      <c r="C19" s="10" t="str">
        <f>"邱春引"</f>
        <v>邱春引</v>
      </c>
      <c r="D19" s="10" t="str">
        <f t="shared" si="0"/>
        <v>女</v>
      </c>
      <c r="E19" s="10" t="str">
        <f>"海南海口"</f>
        <v>海南海口</v>
      </c>
      <c r="F19" s="10" t="str">
        <f t="shared" si="2"/>
        <v>本科</v>
      </c>
      <c r="G19" s="10" t="str">
        <f t="shared" si="3"/>
        <v>学士</v>
      </c>
      <c r="H19" s="10" t="str">
        <f>"海南师范大学"</f>
        <v>海南师范大学</v>
      </c>
      <c r="I19" s="10" t="str">
        <f>"小学教育（数学与科学方向）"</f>
        <v>小学教育（数学与科学方向）</v>
      </c>
      <c r="J19" s="10" t="str">
        <f t="shared" si="4"/>
        <v>无</v>
      </c>
      <c r="K19" s="10" t="str">
        <f t="shared" si="5"/>
        <v>无</v>
      </c>
      <c r="L19" s="10" t="s">
        <v>29</v>
      </c>
      <c r="M19" s="35"/>
    </row>
    <row r="20" customHeight="1" spans="1:13">
      <c r="A20" s="10">
        <v>17</v>
      </c>
      <c r="B20" s="10" t="s">
        <v>30</v>
      </c>
      <c r="C20" s="10" t="str">
        <f>"刘丰"</f>
        <v>刘丰</v>
      </c>
      <c r="D20" s="10" t="str">
        <f>"男"</f>
        <v>男</v>
      </c>
      <c r="E20" s="10" t="str">
        <f>"山东东平"</f>
        <v>山东东平</v>
      </c>
      <c r="F20" s="10" t="str">
        <f t="shared" si="2"/>
        <v>本科</v>
      </c>
      <c r="G20" s="10" t="str">
        <f t="shared" si="3"/>
        <v>学士</v>
      </c>
      <c r="H20" s="10" t="str">
        <f>"琼台师范学院"</f>
        <v>琼台师范学院</v>
      </c>
      <c r="I20" s="10" t="str">
        <f>"体育教育"</f>
        <v>体育教育</v>
      </c>
      <c r="J20" s="10" t="str">
        <f t="shared" si="4"/>
        <v>无</v>
      </c>
      <c r="K20" s="10" t="str">
        <f t="shared" si="5"/>
        <v>无</v>
      </c>
      <c r="L20" s="10" t="s">
        <v>29</v>
      </c>
      <c r="M20" s="35"/>
    </row>
    <row r="21" customHeight="1" spans="1:13">
      <c r="A21" s="10">
        <v>18</v>
      </c>
      <c r="B21" s="10" t="s">
        <v>28</v>
      </c>
      <c r="C21" s="10" t="str">
        <f>"梁静婷"</f>
        <v>梁静婷</v>
      </c>
      <c r="D21" s="10" t="str">
        <f t="shared" ref="D21:D42" si="6">"女"</f>
        <v>女</v>
      </c>
      <c r="E21" s="10" t="str">
        <f>"山西晋中"</f>
        <v>山西晋中</v>
      </c>
      <c r="F21" s="10" t="str">
        <f t="shared" si="2"/>
        <v>本科</v>
      </c>
      <c r="G21" s="10" t="str">
        <f t="shared" si="3"/>
        <v>学士</v>
      </c>
      <c r="H21" s="10" t="str">
        <f>"山西应用科技学院"</f>
        <v>山西应用科技学院</v>
      </c>
      <c r="I21" s="10" t="str">
        <f>"交通工程"</f>
        <v>交通工程</v>
      </c>
      <c r="J21" s="10" t="str">
        <f t="shared" si="4"/>
        <v>无</v>
      </c>
      <c r="K21" s="10" t="str">
        <f t="shared" si="5"/>
        <v>无</v>
      </c>
      <c r="L21" s="10" t="s">
        <v>29</v>
      </c>
      <c r="M21" s="35"/>
    </row>
    <row r="22" customHeight="1" spans="1:13">
      <c r="A22" s="10">
        <v>19</v>
      </c>
      <c r="B22" s="10" t="s">
        <v>31</v>
      </c>
      <c r="C22" s="10" t="str">
        <f>"洪妍"</f>
        <v>洪妍</v>
      </c>
      <c r="D22" s="10" t="str">
        <f t="shared" si="6"/>
        <v>女</v>
      </c>
      <c r="E22" s="10" t="str">
        <f>"山东泰安"</f>
        <v>山东泰安</v>
      </c>
      <c r="F22" s="10" t="str">
        <f>"研究生"</f>
        <v>研究生</v>
      </c>
      <c r="G22" s="10" t="str">
        <f>"硕士"</f>
        <v>硕士</v>
      </c>
      <c r="H22" s="10" t="str">
        <f>"济南大学"</f>
        <v>济南大学</v>
      </c>
      <c r="I22" s="10" t="str">
        <f>"体育教育"</f>
        <v>体育教育</v>
      </c>
      <c r="J22" s="10" t="str">
        <f>"陕西师范大学"</f>
        <v>陕西师范大学</v>
      </c>
      <c r="K22" s="10" t="str">
        <f>"体育教学"</f>
        <v>体育教学</v>
      </c>
      <c r="L22" s="10" t="s">
        <v>29</v>
      </c>
      <c r="M22" s="35"/>
    </row>
    <row r="23" customHeight="1" spans="1:13">
      <c r="A23" s="10">
        <v>20</v>
      </c>
      <c r="B23" s="10" t="s">
        <v>14</v>
      </c>
      <c r="C23" s="10" t="str">
        <f>"桂少敏"</f>
        <v>桂少敏</v>
      </c>
      <c r="D23" s="10" t="str">
        <f t="shared" si="6"/>
        <v>女</v>
      </c>
      <c r="E23" s="10" t="str">
        <f>"海南临高"</f>
        <v>海南临高</v>
      </c>
      <c r="F23" s="10" t="str">
        <f>"本科"</f>
        <v>本科</v>
      </c>
      <c r="G23" s="10" t="str">
        <f>"学士"</f>
        <v>学士</v>
      </c>
      <c r="H23" s="10" t="str">
        <f>"海南大学"</f>
        <v>海南大学</v>
      </c>
      <c r="I23" s="10" t="str">
        <f>"财务管理"</f>
        <v>财务管理</v>
      </c>
      <c r="J23" s="10" t="str">
        <f t="shared" ref="J23:K25" si="7">"无"</f>
        <v>无</v>
      </c>
      <c r="K23" s="10" t="str">
        <f t="shared" si="7"/>
        <v>无</v>
      </c>
      <c r="L23" s="10" t="s">
        <v>32</v>
      </c>
      <c r="M23" s="35"/>
    </row>
    <row r="24" customHeight="1" spans="1:13">
      <c r="A24" s="10">
        <v>21</v>
      </c>
      <c r="B24" s="10" t="s">
        <v>33</v>
      </c>
      <c r="C24" s="10" t="str">
        <f>"苏越"</f>
        <v>苏越</v>
      </c>
      <c r="D24" s="10" t="str">
        <f t="shared" si="6"/>
        <v>女</v>
      </c>
      <c r="E24" s="10" t="str">
        <f>"海南文昌"</f>
        <v>海南文昌</v>
      </c>
      <c r="F24" s="10" t="str">
        <f>"本科"</f>
        <v>本科</v>
      </c>
      <c r="G24" s="10" t="str">
        <f>"学士"</f>
        <v>学士</v>
      </c>
      <c r="H24" s="10" t="str">
        <f>"南宁师范大学师园学院"</f>
        <v>南宁师范大学师园学院</v>
      </c>
      <c r="I24" s="10" t="str">
        <f>"小学教育"</f>
        <v>小学教育</v>
      </c>
      <c r="J24" s="10" t="str">
        <f t="shared" si="7"/>
        <v>无</v>
      </c>
      <c r="K24" s="10" t="str">
        <f t="shared" si="7"/>
        <v>无</v>
      </c>
      <c r="L24" s="10" t="s">
        <v>32</v>
      </c>
      <c r="M24" s="35"/>
    </row>
    <row r="25" customHeight="1" spans="1:13">
      <c r="A25" s="10">
        <v>22</v>
      </c>
      <c r="B25" s="10" t="s">
        <v>26</v>
      </c>
      <c r="C25" s="10" t="str">
        <f>"陈阳娇"</f>
        <v>陈阳娇</v>
      </c>
      <c r="D25" s="10" t="str">
        <f t="shared" si="6"/>
        <v>女</v>
      </c>
      <c r="E25" s="10" t="str">
        <f>"海南乐东"</f>
        <v>海南乐东</v>
      </c>
      <c r="F25" s="10" t="str">
        <f>"本科"</f>
        <v>本科</v>
      </c>
      <c r="G25" s="10" t="str">
        <f>"学士"</f>
        <v>学士</v>
      </c>
      <c r="H25" s="10" t="str">
        <f>"海南师范大学"</f>
        <v>海南师范大学</v>
      </c>
      <c r="I25" s="10" t="str">
        <f>"英语师范专业"</f>
        <v>英语师范专业</v>
      </c>
      <c r="J25" s="10" t="str">
        <f t="shared" si="7"/>
        <v>无</v>
      </c>
      <c r="K25" s="10" t="str">
        <f t="shared" si="7"/>
        <v>无</v>
      </c>
      <c r="L25" s="10" t="s">
        <v>32</v>
      </c>
      <c r="M25" s="35"/>
    </row>
    <row r="26" customHeight="1" spans="1:13">
      <c r="A26" s="10">
        <v>23</v>
      </c>
      <c r="B26" s="10" t="s">
        <v>34</v>
      </c>
      <c r="C26" s="10" t="str">
        <f>"徐静"</f>
        <v>徐静</v>
      </c>
      <c r="D26" s="10" t="str">
        <f t="shared" si="6"/>
        <v>女</v>
      </c>
      <c r="E26" s="10" t="str">
        <f>"江苏南京"</f>
        <v>江苏南京</v>
      </c>
      <c r="F26" s="10" t="str">
        <f>"研究生"</f>
        <v>研究生</v>
      </c>
      <c r="G26" s="10" t="str">
        <f>"硕士"</f>
        <v>硕士</v>
      </c>
      <c r="H26" s="10" t="str">
        <f>"南京大学"</f>
        <v>南京大学</v>
      </c>
      <c r="I26" s="10" t="str">
        <f>"工商管理"</f>
        <v>工商管理</v>
      </c>
      <c r="J26" s="10" t="str">
        <f>"海南师范大学"</f>
        <v>海南师范大学</v>
      </c>
      <c r="K26" s="10" t="str">
        <f>"教育管理"</f>
        <v>教育管理</v>
      </c>
      <c r="L26" s="10" t="s">
        <v>32</v>
      </c>
      <c r="M26" s="35"/>
    </row>
    <row r="27" customHeight="1" spans="1:13">
      <c r="A27" s="10">
        <v>24</v>
      </c>
      <c r="B27" s="10" t="s">
        <v>34</v>
      </c>
      <c r="C27" s="10" t="str">
        <f>"郑郝"</f>
        <v>郑郝</v>
      </c>
      <c r="D27" s="10" t="str">
        <f t="shared" si="6"/>
        <v>女</v>
      </c>
      <c r="E27" s="10" t="str">
        <f>"黑龙江省七台河市勃利县"</f>
        <v>黑龙江省七台河市勃利县</v>
      </c>
      <c r="F27" s="10" t="str">
        <f>"本科"</f>
        <v>本科</v>
      </c>
      <c r="G27" s="10" t="str">
        <f>"学士"</f>
        <v>学士</v>
      </c>
      <c r="H27" s="10" t="str">
        <f>"大庆师范学院"</f>
        <v>大庆师范学院</v>
      </c>
      <c r="I27" s="10" t="str">
        <f>"数学与应用数学"</f>
        <v>数学与应用数学</v>
      </c>
      <c r="J27" s="10" t="str">
        <f>"无"</f>
        <v>无</v>
      </c>
      <c r="K27" s="10" t="str">
        <f>"无"</f>
        <v>无</v>
      </c>
      <c r="L27" s="10" t="s">
        <v>32</v>
      </c>
      <c r="M27" s="35"/>
    </row>
    <row r="28" customHeight="1" spans="1:13">
      <c r="A28" s="10">
        <v>25</v>
      </c>
      <c r="B28" s="10" t="s">
        <v>35</v>
      </c>
      <c r="C28" s="10" t="str">
        <f>"付文荔"</f>
        <v>付文荔</v>
      </c>
      <c r="D28" s="10" t="str">
        <f t="shared" si="6"/>
        <v>女</v>
      </c>
      <c r="E28" s="10" t="str">
        <f>"湖南邵阳"</f>
        <v>湖南邵阳</v>
      </c>
      <c r="F28" s="10" t="str">
        <f>"研究生"</f>
        <v>研究生</v>
      </c>
      <c r="G28" s="10" t="str">
        <f>"硕士"</f>
        <v>硕士</v>
      </c>
      <c r="H28" s="10" t="str">
        <f>"湖南工学院"</f>
        <v>湖南工学院</v>
      </c>
      <c r="I28" s="10" t="str">
        <f>"商务英语"</f>
        <v>商务英语</v>
      </c>
      <c r="J28" s="10" t="str">
        <f>"海南大学"</f>
        <v>海南大学</v>
      </c>
      <c r="K28" s="10" t="str">
        <f>"翻译"</f>
        <v>翻译</v>
      </c>
      <c r="L28" s="10" t="s">
        <v>32</v>
      </c>
      <c r="M28" s="35"/>
    </row>
    <row r="29" customHeight="1" spans="1:13">
      <c r="A29" s="10">
        <v>26</v>
      </c>
      <c r="B29" s="10" t="s">
        <v>19</v>
      </c>
      <c r="C29" s="10" t="str">
        <f>"曾冉"</f>
        <v>曾冉</v>
      </c>
      <c r="D29" s="10" t="str">
        <f t="shared" si="6"/>
        <v>女</v>
      </c>
      <c r="E29" s="10" t="str">
        <f>"海南文昌"</f>
        <v>海南文昌</v>
      </c>
      <c r="F29" s="10" t="str">
        <f>"研究生"</f>
        <v>研究生</v>
      </c>
      <c r="G29" s="10" t="str">
        <f>"硕士"</f>
        <v>硕士</v>
      </c>
      <c r="H29" s="10" t="str">
        <f>"安徽师范大学"</f>
        <v>安徽师范大学</v>
      </c>
      <c r="I29" s="10" t="str">
        <f>"历史学（师范）"</f>
        <v>历史学（师范）</v>
      </c>
      <c r="J29" s="10" t="str">
        <f>"安徽师范大学"</f>
        <v>安徽师范大学</v>
      </c>
      <c r="K29" s="10" t="str">
        <f>"学科教学（历史）"</f>
        <v>学科教学（历史）</v>
      </c>
      <c r="L29" s="10" t="s">
        <v>32</v>
      </c>
      <c r="M29" s="35"/>
    </row>
    <row r="30" customHeight="1" spans="1:13">
      <c r="A30" s="10">
        <v>27</v>
      </c>
      <c r="B30" s="10" t="s">
        <v>20</v>
      </c>
      <c r="C30" s="10" t="str">
        <f>"王雅婷"</f>
        <v>王雅婷</v>
      </c>
      <c r="D30" s="10" t="str">
        <f t="shared" si="6"/>
        <v>女</v>
      </c>
      <c r="E30" s="10" t="str">
        <f>"海南海口"</f>
        <v>海南海口</v>
      </c>
      <c r="F30" s="10" t="str">
        <f>"本科"</f>
        <v>本科</v>
      </c>
      <c r="G30" s="10" t="str">
        <f>"学士"</f>
        <v>学士</v>
      </c>
      <c r="H30" s="10" t="str">
        <f>"海南师范大学"</f>
        <v>海南师范大学</v>
      </c>
      <c r="I30" s="10" t="str">
        <f>"生物科学"</f>
        <v>生物科学</v>
      </c>
      <c r="J30" s="10" t="str">
        <f>"无"</f>
        <v>无</v>
      </c>
      <c r="K30" s="10" t="str">
        <f>"无"</f>
        <v>无</v>
      </c>
      <c r="L30" s="10" t="s">
        <v>32</v>
      </c>
      <c r="M30" s="35"/>
    </row>
    <row r="31" customHeight="1" spans="1:13">
      <c r="A31" s="10">
        <v>28</v>
      </c>
      <c r="B31" s="10" t="s">
        <v>36</v>
      </c>
      <c r="C31" s="10" t="str">
        <f>"彭歆"</f>
        <v>彭歆</v>
      </c>
      <c r="D31" s="10" t="str">
        <f t="shared" si="6"/>
        <v>女</v>
      </c>
      <c r="E31" s="10" t="str">
        <f>"海南儋州"</f>
        <v>海南儋州</v>
      </c>
      <c r="F31" s="10" t="str">
        <f>"本科"</f>
        <v>本科</v>
      </c>
      <c r="G31" s="10" t="str">
        <f>"学士"</f>
        <v>学士</v>
      </c>
      <c r="H31" s="10" t="str">
        <f>"重庆人文科技学院"</f>
        <v>重庆人文科技学院</v>
      </c>
      <c r="I31" s="10" t="str">
        <f>"汉语言文学"</f>
        <v>汉语言文学</v>
      </c>
      <c r="J31" s="10" t="str">
        <f>"无"</f>
        <v>无</v>
      </c>
      <c r="K31" s="10" t="str">
        <f>"无"</f>
        <v>无</v>
      </c>
      <c r="L31" s="10" t="s">
        <v>32</v>
      </c>
      <c r="M31" s="35"/>
    </row>
    <row r="32" customHeight="1" spans="1:13">
      <c r="A32" s="10">
        <v>29</v>
      </c>
      <c r="B32" s="10" t="s">
        <v>37</v>
      </c>
      <c r="C32" s="10" t="str">
        <f>"张丽波"</f>
        <v>张丽波</v>
      </c>
      <c r="D32" s="10" t="str">
        <f t="shared" si="6"/>
        <v>女</v>
      </c>
      <c r="E32" s="10" t="str">
        <f>"海南澄迈"</f>
        <v>海南澄迈</v>
      </c>
      <c r="F32" s="10" t="str">
        <f>"本科"</f>
        <v>本科</v>
      </c>
      <c r="G32" s="10" t="str">
        <f>"学士"</f>
        <v>学士</v>
      </c>
      <c r="H32" s="10" t="str">
        <f>"云南大学旅游文化学院"</f>
        <v>云南大学旅游文化学院</v>
      </c>
      <c r="I32" s="10" t="str">
        <f>"学前教育专业"</f>
        <v>学前教育专业</v>
      </c>
      <c r="J32" s="10" t="str">
        <f>"无"</f>
        <v>无</v>
      </c>
      <c r="K32" s="10" t="str">
        <f>"无"</f>
        <v>无</v>
      </c>
      <c r="L32" s="10" t="s">
        <v>32</v>
      </c>
      <c r="M32" s="35"/>
    </row>
    <row r="33" customHeight="1" spans="1:13">
      <c r="A33" s="10">
        <v>30</v>
      </c>
      <c r="B33" s="10" t="s">
        <v>38</v>
      </c>
      <c r="C33" s="10" t="str">
        <f>"刘颖"</f>
        <v>刘颖</v>
      </c>
      <c r="D33" s="10" t="str">
        <f t="shared" si="6"/>
        <v>女</v>
      </c>
      <c r="E33" s="10" t="str">
        <f>"安徽阜阳"</f>
        <v>安徽阜阳</v>
      </c>
      <c r="F33" s="10" t="str">
        <f t="shared" ref="F33:F38" si="8">"本科"</f>
        <v>本科</v>
      </c>
      <c r="G33" s="10" t="str">
        <f t="shared" ref="G33:G38" si="9">"学士"</f>
        <v>学士</v>
      </c>
      <c r="H33" s="10" t="str">
        <f>"黄山学院"</f>
        <v>黄山学院</v>
      </c>
      <c r="I33" s="10" t="str">
        <f>"数学与应用数学"</f>
        <v>数学与应用数学</v>
      </c>
      <c r="J33" s="10" t="str">
        <f t="shared" ref="J33:J38" si="10">"无"</f>
        <v>无</v>
      </c>
      <c r="K33" s="10" t="str">
        <f t="shared" ref="K33:K38" si="11">"无"</f>
        <v>无</v>
      </c>
      <c r="L33" s="10" t="s">
        <v>32</v>
      </c>
      <c r="M33" s="35"/>
    </row>
    <row r="34" customHeight="1" spans="1:13">
      <c r="A34" s="10">
        <v>31</v>
      </c>
      <c r="B34" s="10" t="s">
        <v>39</v>
      </c>
      <c r="C34" s="10" t="str">
        <f>"乔雨欣"</f>
        <v>乔雨欣</v>
      </c>
      <c r="D34" s="10" t="str">
        <f t="shared" si="6"/>
        <v>女</v>
      </c>
      <c r="E34" s="10" t="str">
        <f>"湖北襄阳"</f>
        <v>湖北襄阳</v>
      </c>
      <c r="F34" s="10" t="str">
        <f t="shared" si="8"/>
        <v>本科</v>
      </c>
      <c r="G34" s="10" t="str">
        <f t="shared" si="9"/>
        <v>学士</v>
      </c>
      <c r="H34" s="10" t="str">
        <f>"武汉东湖学院"</f>
        <v>武汉东湖学院</v>
      </c>
      <c r="I34" s="10" t="str">
        <f>"英语"</f>
        <v>英语</v>
      </c>
      <c r="J34" s="10" t="str">
        <f t="shared" si="10"/>
        <v>无</v>
      </c>
      <c r="K34" s="10" t="str">
        <f t="shared" si="11"/>
        <v>无</v>
      </c>
      <c r="L34" s="10" t="s">
        <v>32</v>
      </c>
      <c r="M34" s="35"/>
    </row>
    <row r="35" customHeight="1" spans="1:13">
      <c r="A35" s="10">
        <v>32</v>
      </c>
      <c r="B35" s="10" t="s">
        <v>25</v>
      </c>
      <c r="C35" s="10" t="str">
        <f>"符小慧"</f>
        <v>符小慧</v>
      </c>
      <c r="D35" s="10" t="str">
        <f t="shared" si="6"/>
        <v>女</v>
      </c>
      <c r="E35" s="10" t="str">
        <f>"海南临高"</f>
        <v>海南临高</v>
      </c>
      <c r="F35" s="10" t="str">
        <f t="shared" si="8"/>
        <v>本科</v>
      </c>
      <c r="G35" s="10" t="str">
        <f t="shared" si="9"/>
        <v>学士</v>
      </c>
      <c r="H35" s="10" t="str">
        <f>"琼台师范学院"</f>
        <v>琼台师范学院</v>
      </c>
      <c r="I35" s="10" t="str">
        <f>"数学与应用数学"</f>
        <v>数学与应用数学</v>
      </c>
      <c r="J35" s="10" t="str">
        <f t="shared" si="10"/>
        <v>无</v>
      </c>
      <c r="K35" s="10" t="str">
        <f t="shared" si="11"/>
        <v>无</v>
      </c>
      <c r="L35" s="10" t="s">
        <v>40</v>
      </c>
      <c r="M35" s="35"/>
    </row>
    <row r="36" customHeight="1" spans="1:13">
      <c r="A36" s="10">
        <v>33</v>
      </c>
      <c r="B36" s="10" t="s">
        <v>25</v>
      </c>
      <c r="C36" s="10" t="str">
        <f>"卢沿遐"</f>
        <v>卢沿遐</v>
      </c>
      <c r="D36" s="10" t="str">
        <f t="shared" si="6"/>
        <v>女</v>
      </c>
      <c r="E36" s="10" t="str">
        <f>"海南琼海"</f>
        <v>海南琼海</v>
      </c>
      <c r="F36" s="10" t="str">
        <f t="shared" si="8"/>
        <v>本科</v>
      </c>
      <c r="G36" s="10" t="str">
        <f t="shared" si="9"/>
        <v>学士</v>
      </c>
      <c r="H36" s="10" t="str">
        <f>"东北师范大学人文学院"</f>
        <v>东北师范大学人文学院</v>
      </c>
      <c r="I36" s="10" t="str">
        <f>"数学与应用数学"</f>
        <v>数学与应用数学</v>
      </c>
      <c r="J36" s="10" t="str">
        <f t="shared" si="10"/>
        <v>无</v>
      </c>
      <c r="K36" s="10" t="str">
        <f t="shared" si="11"/>
        <v>无</v>
      </c>
      <c r="L36" s="10" t="s">
        <v>40</v>
      </c>
      <c r="M36" s="35"/>
    </row>
    <row r="37" customHeight="1" spans="1:13">
      <c r="A37" s="10">
        <v>34</v>
      </c>
      <c r="B37" s="10" t="s">
        <v>26</v>
      </c>
      <c r="C37" s="10" t="str">
        <f>"邢有海"</f>
        <v>邢有海</v>
      </c>
      <c r="D37" s="10" t="str">
        <f t="shared" si="6"/>
        <v>女</v>
      </c>
      <c r="E37" s="10" t="str">
        <f>"海南乐东黎族自治县黄流一队二组70号"</f>
        <v>海南乐东黎族自治县黄流一队二组70号</v>
      </c>
      <c r="F37" s="10" t="str">
        <f t="shared" si="8"/>
        <v>本科</v>
      </c>
      <c r="G37" s="10" t="str">
        <f t="shared" si="9"/>
        <v>学士</v>
      </c>
      <c r="H37" s="10" t="str">
        <f>"海南师范大学"</f>
        <v>海南师范大学</v>
      </c>
      <c r="I37" s="10" t="str">
        <f>"英语师范"</f>
        <v>英语师范</v>
      </c>
      <c r="J37" s="10" t="str">
        <f t="shared" si="10"/>
        <v>无</v>
      </c>
      <c r="K37" s="10" t="str">
        <f t="shared" si="11"/>
        <v>无</v>
      </c>
      <c r="L37" s="10" t="s">
        <v>40</v>
      </c>
      <c r="M37" s="35"/>
    </row>
    <row r="38" customHeight="1" spans="1:13">
      <c r="A38" s="10">
        <v>35</v>
      </c>
      <c r="B38" s="10" t="s">
        <v>41</v>
      </c>
      <c r="C38" s="10" t="str">
        <f>"吴文雅"</f>
        <v>吴文雅</v>
      </c>
      <c r="D38" s="10" t="str">
        <f t="shared" si="6"/>
        <v>女</v>
      </c>
      <c r="E38" s="10" t="str">
        <f>"海南万宁"</f>
        <v>海南万宁</v>
      </c>
      <c r="F38" s="10" t="str">
        <f t="shared" si="8"/>
        <v>本科</v>
      </c>
      <c r="G38" s="10" t="str">
        <f t="shared" si="9"/>
        <v>学士</v>
      </c>
      <c r="H38" s="10" t="str">
        <f>"山东大学"</f>
        <v>山东大学</v>
      </c>
      <c r="I38" s="10" t="str">
        <f>"英语"</f>
        <v>英语</v>
      </c>
      <c r="J38" s="10" t="str">
        <f t="shared" si="10"/>
        <v>无</v>
      </c>
      <c r="K38" s="10" t="str">
        <f t="shared" si="11"/>
        <v>无</v>
      </c>
      <c r="L38" s="10" t="s">
        <v>40</v>
      </c>
      <c r="M38" s="35"/>
    </row>
    <row r="39" customHeight="1" spans="1:13">
      <c r="A39" s="10">
        <v>36</v>
      </c>
      <c r="B39" s="10" t="s">
        <v>14</v>
      </c>
      <c r="C39" s="10" t="str">
        <f>"陈晓芬"</f>
        <v>陈晓芬</v>
      </c>
      <c r="D39" s="10" t="str">
        <f t="shared" si="6"/>
        <v>女</v>
      </c>
      <c r="E39" s="10" t="str">
        <f>"海南省定安县"</f>
        <v>海南省定安县</v>
      </c>
      <c r="F39" s="10" t="str">
        <f>"研究生"</f>
        <v>研究生</v>
      </c>
      <c r="G39" s="10" t="str">
        <f>"硕士"</f>
        <v>硕士</v>
      </c>
      <c r="H39" s="10" t="str">
        <f>"琼台师范学院"</f>
        <v>琼台师范学院</v>
      </c>
      <c r="I39" s="10" t="str">
        <f>"小学教育"</f>
        <v>小学教育</v>
      </c>
      <c r="J39" s="10" t="str">
        <f>"温州大学"</f>
        <v>温州大学</v>
      </c>
      <c r="K39" s="10" t="str">
        <f>"小学教育"</f>
        <v>小学教育</v>
      </c>
      <c r="L39" s="10" t="s">
        <v>42</v>
      </c>
      <c r="M39" s="35"/>
    </row>
    <row r="40" customHeight="1" spans="1:13">
      <c r="A40" s="10">
        <v>37</v>
      </c>
      <c r="B40" s="10" t="s">
        <v>34</v>
      </c>
      <c r="C40" s="10" t="str">
        <f>"葛烔言"</f>
        <v>葛烔言</v>
      </c>
      <c r="D40" s="10" t="str">
        <f t="shared" si="6"/>
        <v>女</v>
      </c>
      <c r="E40" s="10" t="str">
        <f>"天津河西"</f>
        <v>天津河西</v>
      </c>
      <c r="F40" s="10" t="str">
        <f t="shared" ref="F40:F46" si="12">"本科"</f>
        <v>本科</v>
      </c>
      <c r="G40" s="10" t="str">
        <f t="shared" ref="G40:G46" si="13">"学士"</f>
        <v>学士</v>
      </c>
      <c r="H40" s="10" t="str">
        <f>"海南师范大学"</f>
        <v>海南师范大学</v>
      </c>
      <c r="I40" s="10" t="str">
        <f>"数学与应用数学（师范）"</f>
        <v>数学与应用数学（师范）</v>
      </c>
      <c r="J40" s="10" t="str">
        <f t="shared" ref="J40:J46" si="14">"无"</f>
        <v>无</v>
      </c>
      <c r="K40" s="10" t="str">
        <f t="shared" ref="K40:K46" si="15">"无"</f>
        <v>无</v>
      </c>
      <c r="L40" s="10" t="s">
        <v>42</v>
      </c>
      <c r="M40" s="35"/>
    </row>
    <row r="41" customHeight="1" spans="1:13">
      <c r="A41" s="10">
        <v>38</v>
      </c>
      <c r="B41" s="10" t="s">
        <v>34</v>
      </c>
      <c r="C41" s="10" t="str">
        <f>"尹蝴蝶"</f>
        <v>尹蝴蝶</v>
      </c>
      <c r="D41" s="10" t="str">
        <f t="shared" si="6"/>
        <v>女</v>
      </c>
      <c r="E41" s="10" t="str">
        <f>"贵州省水城县"</f>
        <v>贵州省水城县</v>
      </c>
      <c r="F41" s="10" t="str">
        <f t="shared" si="12"/>
        <v>本科</v>
      </c>
      <c r="G41" s="10" t="str">
        <f t="shared" si="13"/>
        <v>学士</v>
      </c>
      <c r="H41" s="10" t="str">
        <f>"海南师范大学"</f>
        <v>海南师范大学</v>
      </c>
      <c r="I41" s="10" t="str">
        <f>"数学与应用数学"</f>
        <v>数学与应用数学</v>
      </c>
      <c r="J41" s="10" t="str">
        <f t="shared" si="14"/>
        <v>无</v>
      </c>
      <c r="K41" s="10" t="str">
        <f t="shared" si="15"/>
        <v>无</v>
      </c>
      <c r="L41" s="10" t="s">
        <v>42</v>
      </c>
      <c r="M41" s="35"/>
    </row>
    <row r="42" customHeight="1" spans="1:13">
      <c r="A42" s="10">
        <v>39</v>
      </c>
      <c r="B42" s="10" t="s">
        <v>35</v>
      </c>
      <c r="C42" s="10" t="str">
        <f>"孙旭阳"</f>
        <v>孙旭阳</v>
      </c>
      <c r="D42" s="10" t="str">
        <f>"男"</f>
        <v>男</v>
      </c>
      <c r="E42" s="10" t="str">
        <f>"四川自贡"</f>
        <v>四川自贡</v>
      </c>
      <c r="F42" s="10" t="str">
        <f t="shared" si="12"/>
        <v>本科</v>
      </c>
      <c r="G42" s="10" t="str">
        <f t="shared" si="13"/>
        <v>学士</v>
      </c>
      <c r="H42" s="10" t="str">
        <f>"海南师范大学"</f>
        <v>海南师范大学</v>
      </c>
      <c r="I42" s="10" t="str">
        <f>"英语（师范）"</f>
        <v>英语（师范）</v>
      </c>
      <c r="J42" s="10" t="str">
        <f t="shared" si="14"/>
        <v>无</v>
      </c>
      <c r="K42" s="10" t="str">
        <f t="shared" si="15"/>
        <v>无</v>
      </c>
      <c r="L42" s="10" t="s">
        <v>42</v>
      </c>
      <c r="M42" s="35"/>
    </row>
    <row r="43" customHeight="1" spans="1:13">
      <c r="A43" s="10">
        <v>40</v>
      </c>
      <c r="B43" s="10" t="s">
        <v>35</v>
      </c>
      <c r="C43" s="10" t="str">
        <f>"张子怡"</f>
        <v>张子怡</v>
      </c>
      <c r="D43" s="10" t="str">
        <f>"女"</f>
        <v>女</v>
      </c>
      <c r="E43" s="10" t="str">
        <f>"湖南岳阳"</f>
        <v>湖南岳阳</v>
      </c>
      <c r="F43" s="10" t="str">
        <f t="shared" si="12"/>
        <v>本科</v>
      </c>
      <c r="G43" s="10" t="str">
        <f t="shared" si="13"/>
        <v>学士</v>
      </c>
      <c r="H43" s="10" t="str">
        <f>"海南师范大学"</f>
        <v>海南师范大学</v>
      </c>
      <c r="I43" s="10" t="str">
        <f>"英语师范"</f>
        <v>英语师范</v>
      </c>
      <c r="J43" s="10" t="str">
        <f t="shared" si="14"/>
        <v>无</v>
      </c>
      <c r="K43" s="10" t="str">
        <f t="shared" si="15"/>
        <v>无</v>
      </c>
      <c r="L43" s="10" t="s">
        <v>42</v>
      </c>
      <c r="M43" s="35"/>
    </row>
    <row r="44" customHeight="1" spans="1:13">
      <c r="A44" s="10">
        <v>41</v>
      </c>
      <c r="B44" s="10" t="s">
        <v>43</v>
      </c>
      <c r="C44" s="10" t="str">
        <f>"李昌谊"</f>
        <v>李昌谊</v>
      </c>
      <c r="D44" s="10" t="str">
        <f>"女"</f>
        <v>女</v>
      </c>
      <c r="E44" s="10" t="str">
        <f>"海南琼海"</f>
        <v>海南琼海</v>
      </c>
      <c r="F44" s="10" t="str">
        <f t="shared" si="12"/>
        <v>本科</v>
      </c>
      <c r="G44" s="10" t="str">
        <f t="shared" si="13"/>
        <v>学士</v>
      </c>
      <c r="H44" s="10" t="str">
        <f>"华南师范大学"</f>
        <v>华南师范大学</v>
      </c>
      <c r="I44" s="10" t="str">
        <f>"思想政治教育（师范）"</f>
        <v>思想政治教育（师范）</v>
      </c>
      <c r="J44" s="10" t="str">
        <f t="shared" si="14"/>
        <v>无</v>
      </c>
      <c r="K44" s="10" t="str">
        <f t="shared" si="15"/>
        <v>无</v>
      </c>
      <c r="L44" s="10" t="s">
        <v>42</v>
      </c>
      <c r="M44" s="35"/>
    </row>
    <row r="45" customHeight="1" spans="1:13">
      <c r="A45" s="10">
        <v>42</v>
      </c>
      <c r="B45" s="10" t="s">
        <v>19</v>
      </c>
      <c r="C45" s="10" t="str">
        <f>"杨科书"</f>
        <v>杨科书</v>
      </c>
      <c r="D45" s="10" t="str">
        <f>"男"</f>
        <v>男</v>
      </c>
      <c r="E45" s="10" t="str">
        <f>"海南万宁"</f>
        <v>海南万宁</v>
      </c>
      <c r="F45" s="10" t="str">
        <f t="shared" si="12"/>
        <v>本科</v>
      </c>
      <c r="G45" s="10" t="str">
        <f t="shared" si="13"/>
        <v>学士</v>
      </c>
      <c r="H45" s="10" t="str">
        <f>"安徽师范大学"</f>
        <v>安徽师范大学</v>
      </c>
      <c r="I45" s="10" t="str">
        <f>"历史师范"</f>
        <v>历史师范</v>
      </c>
      <c r="J45" s="10" t="str">
        <f t="shared" si="14"/>
        <v>无</v>
      </c>
      <c r="K45" s="10" t="str">
        <f t="shared" si="15"/>
        <v>无</v>
      </c>
      <c r="L45" s="10" t="s">
        <v>42</v>
      </c>
      <c r="M45" s="35"/>
    </row>
    <row r="46" customHeight="1" spans="1:13">
      <c r="A46" s="10">
        <v>43</v>
      </c>
      <c r="B46" s="10" t="s">
        <v>44</v>
      </c>
      <c r="C46" s="10" t="str">
        <f>"陈言"</f>
        <v>陈言</v>
      </c>
      <c r="D46" s="10" t="str">
        <f t="shared" ref="D46:D53" si="16">"女"</f>
        <v>女</v>
      </c>
      <c r="E46" s="10" t="str">
        <f>"海南海口"</f>
        <v>海南海口</v>
      </c>
      <c r="F46" s="10" t="str">
        <f t="shared" si="12"/>
        <v>本科</v>
      </c>
      <c r="G46" s="10" t="str">
        <f t="shared" si="13"/>
        <v>学士</v>
      </c>
      <c r="H46" s="10" t="str">
        <f>"江西师范大学"</f>
        <v>江西师范大学</v>
      </c>
      <c r="I46" s="10" t="str">
        <f>"地理科学"</f>
        <v>地理科学</v>
      </c>
      <c r="J46" s="10" t="str">
        <f t="shared" si="14"/>
        <v>无</v>
      </c>
      <c r="K46" s="10" t="str">
        <f t="shared" si="15"/>
        <v>无</v>
      </c>
      <c r="L46" s="10" t="s">
        <v>42</v>
      </c>
      <c r="M46" s="35"/>
    </row>
    <row r="47" customHeight="1" spans="1:13">
      <c r="A47" s="10">
        <v>44</v>
      </c>
      <c r="B47" s="10" t="s">
        <v>20</v>
      </c>
      <c r="C47" s="10" t="str">
        <f>"林资倩"</f>
        <v>林资倩</v>
      </c>
      <c r="D47" s="10" t="str">
        <f t="shared" si="16"/>
        <v>女</v>
      </c>
      <c r="E47" s="10" t="str">
        <f>"海南昌江"</f>
        <v>海南昌江</v>
      </c>
      <c r="F47" s="10" t="str">
        <f>"研究生"</f>
        <v>研究生</v>
      </c>
      <c r="G47" s="10" t="str">
        <f>"硕士"</f>
        <v>硕士</v>
      </c>
      <c r="H47" s="10" t="str">
        <f>"海南师范大学"</f>
        <v>海南师范大学</v>
      </c>
      <c r="I47" s="10" t="str">
        <f>"生物科学"</f>
        <v>生物科学</v>
      </c>
      <c r="J47" s="10" t="str">
        <f>"海南师范大学"</f>
        <v>海南师范大学</v>
      </c>
      <c r="K47" s="10" t="str">
        <f>"学科教学（生物）"</f>
        <v>学科教学（生物）</v>
      </c>
      <c r="L47" s="10" t="s">
        <v>42</v>
      </c>
      <c r="M47" s="35"/>
    </row>
    <row r="48" customHeight="1" spans="1:13">
      <c r="A48" s="10">
        <v>45</v>
      </c>
      <c r="B48" s="10" t="s">
        <v>16</v>
      </c>
      <c r="C48" s="10" t="str">
        <f>"蔡雨彤"</f>
        <v>蔡雨彤</v>
      </c>
      <c r="D48" s="10" t="str">
        <f t="shared" si="16"/>
        <v>女</v>
      </c>
      <c r="E48" s="10" t="str">
        <f>"海南澄迈"</f>
        <v>海南澄迈</v>
      </c>
      <c r="F48" s="10" t="str">
        <f t="shared" ref="F48:F56" si="17">"本科"</f>
        <v>本科</v>
      </c>
      <c r="G48" s="10" t="str">
        <f t="shared" ref="G48:G56" si="18">"学士"</f>
        <v>学士</v>
      </c>
      <c r="H48" s="10" t="str">
        <f>"上饶师范学院"</f>
        <v>上饶师范学院</v>
      </c>
      <c r="I48" s="10" t="str">
        <f>"音乐学"</f>
        <v>音乐学</v>
      </c>
      <c r="J48" s="10" t="str">
        <f>"无"</f>
        <v>无</v>
      </c>
      <c r="K48" s="10" t="str">
        <f>"无"</f>
        <v>无</v>
      </c>
      <c r="L48" s="10" t="s">
        <v>42</v>
      </c>
      <c r="M48" s="35"/>
    </row>
    <row r="49" customHeight="1" spans="1:13">
      <c r="A49" s="10">
        <v>46</v>
      </c>
      <c r="B49" s="10" t="s">
        <v>45</v>
      </c>
      <c r="C49" s="10" t="str">
        <f>"叶滢"</f>
        <v>叶滢</v>
      </c>
      <c r="D49" s="10" t="str">
        <f t="shared" si="16"/>
        <v>女</v>
      </c>
      <c r="E49" s="10" t="str">
        <f>"海南海口"</f>
        <v>海南海口</v>
      </c>
      <c r="F49" s="10" t="str">
        <f t="shared" si="17"/>
        <v>本科</v>
      </c>
      <c r="G49" s="10" t="str">
        <f t="shared" si="18"/>
        <v>学士</v>
      </c>
      <c r="H49" s="10" t="str">
        <f>"湖南师范大学"</f>
        <v>湖南师范大学</v>
      </c>
      <c r="I49" s="10" t="str">
        <f>"电子信息科学与技术"</f>
        <v>电子信息科学与技术</v>
      </c>
      <c r="J49" s="10" t="str">
        <f>"无"</f>
        <v>无</v>
      </c>
      <c r="K49" s="10" t="str">
        <f>"无"</f>
        <v>无</v>
      </c>
      <c r="L49" s="10" t="s">
        <v>42</v>
      </c>
      <c r="M49" s="35"/>
    </row>
    <row r="50" customHeight="1" spans="1:13">
      <c r="A50" s="10">
        <v>47</v>
      </c>
      <c r="B50" s="10" t="s">
        <v>38</v>
      </c>
      <c r="C50" s="10" t="str">
        <f>"王刘结"</f>
        <v>王刘结</v>
      </c>
      <c r="D50" s="10" t="str">
        <f t="shared" si="16"/>
        <v>女</v>
      </c>
      <c r="E50" s="10" t="str">
        <f>"安徽安庆"</f>
        <v>安徽安庆</v>
      </c>
      <c r="F50" s="10" t="str">
        <f t="shared" si="17"/>
        <v>本科</v>
      </c>
      <c r="G50" s="10" t="str">
        <f t="shared" si="18"/>
        <v>学士</v>
      </c>
      <c r="H50" s="10" t="str">
        <f>"湖南师范大学"</f>
        <v>湖南师范大学</v>
      </c>
      <c r="I50" s="10" t="str">
        <f>"旅游管理专业"</f>
        <v>旅游管理专业</v>
      </c>
      <c r="J50" s="10" t="str">
        <f>"无"</f>
        <v>无</v>
      </c>
      <c r="K50" s="10" t="str">
        <f>"无"</f>
        <v>无</v>
      </c>
      <c r="L50" s="10" t="s">
        <v>42</v>
      </c>
      <c r="M50" s="35"/>
    </row>
    <row r="51" customHeight="1" spans="1:13">
      <c r="A51" s="10">
        <v>48</v>
      </c>
      <c r="B51" s="10" t="s">
        <v>39</v>
      </c>
      <c r="C51" s="10" t="str">
        <f>"谢佳玲"</f>
        <v>谢佳玲</v>
      </c>
      <c r="D51" s="10" t="str">
        <f t="shared" si="16"/>
        <v>女</v>
      </c>
      <c r="E51" s="10" t="str">
        <f>"湖南长沙"</f>
        <v>湖南长沙</v>
      </c>
      <c r="F51" s="10" t="str">
        <f t="shared" si="17"/>
        <v>本科</v>
      </c>
      <c r="G51" s="10" t="str">
        <f t="shared" si="18"/>
        <v>学士</v>
      </c>
      <c r="H51" s="10" t="str">
        <f>"湖南城市学院"</f>
        <v>湖南城市学院</v>
      </c>
      <c r="I51" s="10" t="str">
        <f>"商务英语"</f>
        <v>商务英语</v>
      </c>
      <c r="J51" s="10" t="str">
        <f>"无"</f>
        <v>无</v>
      </c>
      <c r="K51" s="10" t="str">
        <f>"无"</f>
        <v>无</v>
      </c>
      <c r="L51" s="10" t="s">
        <v>42</v>
      </c>
      <c r="M51" s="35"/>
    </row>
    <row r="52" customHeight="1" spans="1:13">
      <c r="A52" s="10">
        <v>49</v>
      </c>
      <c r="B52" s="10" t="s">
        <v>46</v>
      </c>
      <c r="C52" s="10" t="str">
        <f>"陈颖"</f>
        <v>陈颖</v>
      </c>
      <c r="D52" s="10" t="str">
        <f t="shared" si="16"/>
        <v>女</v>
      </c>
      <c r="E52" s="10" t="str">
        <f>"海南屯昌"</f>
        <v>海南屯昌</v>
      </c>
      <c r="F52" s="10" t="str">
        <f t="shared" si="17"/>
        <v>本科</v>
      </c>
      <c r="G52" s="10" t="str">
        <f t="shared" si="18"/>
        <v>学士</v>
      </c>
      <c r="H52" s="10" t="str">
        <f>"河南大学"</f>
        <v>河南大学</v>
      </c>
      <c r="I52" s="10" t="str">
        <f>"历史学"</f>
        <v>历史学</v>
      </c>
      <c r="J52" s="10" t="str">
        <f t="shared" ref="J52:K56" si="19">"无"</f>
        <v>无</v>
      </c>
      <c r="K52" s="10" t="str">
        <f t="shared" si="19"/>
        <v>无</v>
      </c>
      <c r="L52" s="10" t="s">
        <v>42</v>
      </c>
      <c r="M52" s="35"/>
    </row>
    <row r="53" customHeight="1" spans="1:13">
      <c r="A53" s="10">
        <v>50</v>
      </c>
      <c r="B53" s="10" t="s">
        <v>47</v>
      </c>
      <c r="C53" s="10" t="str">
        <f>"梁家晖"</f>
        <v>梁家晖</v>
      </c>
      <c r="D53" s="10" t="str">
        <f>"男"</f>
        <v>男</v>
      </c>
      <c r="E53" s="10" t="str">
        <f>"广西横县"</f>
        <v>广西横县</v>
      </c>
      <c r="F53" s="10" t="str">
        <f t="shared" si="17"/>
        <v>本科</v>
      </c>
      <c r="G53" s="10" t="str">
        <f t="shared" si="18"/>
        <v>学士</v>
      </c>
      <c r="H53" s="10" t="str">
        <f>"天津师范大学"</f>
        <v>天津师范大学</v>
      </c>
      <c r="I53" s="10" t="str">
        <f>"化学（师范）"</f>
        <v>化学（师范）</v>
      </c>
      <c r="J53" s="10" t="str">
        <f t="shared" si="19"/>
        <v>无</v>
      </c>
      <c r="K53" s="10" t="str">
        <f t="shared" si="19"/>
        <v>无</v>
      </c>
      <c r="L53" s="10" t="s">
        <v>42</v>
      </c>
      <c r="M53" s="35"/>
    </row>
    <row r="54" customHeight="1" spans="1:13">
      <c r="A54" s="10">
        <v>51</v>
      </c>
      <c r="B54" s="10" t="s">
        <v>43</v>
      </c>
      <c r="C54" s="10" t="str">
        <f>"陈仪"</f>
        <v>陈仪</v>
      </c>
      <c r="D54" s="10" t="str">
        <f>"女"</f>
        <v>女</v>
      </c>
      <c r="E54" s="10" t="str">
        <f>"海南海口"</f>
        <v>海南海口</v>
      </c>
      <c r="F54" s="10" t="str">
        <f t="shared" si="17"/>
        <v>本科</v>
      </c>
      <c r="G54" s="10" t="str">
        <f t="shared" si="18"/>
        <v>学士</v>
      </c>
      <c r="H54" s="10" t="str">
        <f>"海南师范大学"</f>
        <v>海南师范大学</v>
      </c>
      <c r="I54" s="10" t="str">
        <f>"思想政治教育"</f>
        <v>思想政治教育</v>
      </c>
      <c r="J54" s="10" t="str">
        <f t="shared" si="19"/>
        <v>无</v>
      </c>
      <c r="K54" s="10" t="str">
        <f t="shared" si="19"/>
        <v>无</v>
      </c>
      <c r="L54" s="10" t="s">
        <v>48</v>
      </c>
      <c r="M54" s="35"/>
    </row>
    <row r="55" customHeight="1" spans="1:13">
      <c r="A55" s="10">
        <v>52</v>
      </c>
      <c r="B55" s="10" t="s">
        <v>49</v>
      </c>
      <c r="C55" s="10" t="str">
        <f>"王涛"</f>
        <v>王涛</v>
      </c>
      <c r="D55" s="10" t="str">
        <f>"男"</f>
        <v>男</v>
      </c>
      <c r="E55" s="10" t="str">
        <f>"海南澄迈"</f>
        <v>海南澄迈</v>
      </c>
      <c r="F55" s="10" t="str">
        <f t="shared" si="17"/>
        <v>本科</v>
      </c>
      <c r="G55" s="10" t="str">
        <f t="shared" si="18"/>
        <v>学士</v>
      </c>
      <c r="H55" s="10" t="str">
        <f>"青海师范大学"</f>
        <v>青海师范大学</v>
      </c>
      <c r="I55" s="10" t="str">
        <f>"物理学"</f>
        <v>物理学</v>
      </c>
      <c r="J55" s="10" t="str">
        <f t="shared" si="19"/>
        <v>无</v>
      </c>
      <c r="K55" s="10" t="str">
        <f t="shared" si="19"/>
        <v>无</v>
      </c>
      <c r="L55" s="10" t="s">
        <v>48</v>
      </c>
      <c r="M55" s="35"/>
    </row>
    <row r="56" customHeight="1" spans="1:13">
      <c r="A56" s="10">
        <v>53</v>
      </c>
      <c r="B56" s="10" t="s">
        <v>23</v>
      </c>
      <c r="C56" s="10" t="str">
        <f>"姜思源"</f>
        <v>姜思源</v>
      </c>
      <c r="D56" s="10" t="str">
        <f t="shared" ref="D56:D64" si="20">"女"</f>
        <v>女</v>
      </c>
      <c r="E56" s="10" t="str">
        <f>"黑龙江省哈尔滨市"</f>
        <v>黑龙江省哈尔滨市</v>
      </c>
      <c r="F56" s="10" t="str">
        <f t="shared" si="17"/>
        <v>本科</v>
      </c>
      <c r="G56" s="10" t="str">
        <f t="shared" si="18"/>
        <v>学士</v>
      </c>
      <c r="H56" s="10" t="str">
        <f>"运城学院"</f>
        <v>运城学院</v>
      </c>
      <c r="I56" s="10" t="str">
        <f>"汉语言文学"</f>
        <v>汉语言文学</v>
      </c>
      <c r="J56" s="10" t="str">
        <f t="shared" si="19"/>
        <v>无</v>
      </c>
      <c r="K56" s="10" t="str">
        <f t="shared" si="19"/>
        <v>无</v>
      </c>
      <c r="L56" s="10" t="s">
        <v>48</v>
      </c>
      <c r="M56" s="35"/>
    </row>
    <row r="57" customHeight="1" spans="1:13">
      <c r="A57" s="10">
        <v>54</v>
      </c>
      <c r="B57" s="10" t="s">
        <v>21</v>
      </c>
      <c r="C57" s="10" t="str">
        <f>"薛丹妮"</f>
        <v>薛丹妮</v>
      </c>
      <c r="D57" s="10" t="str">
        <f t="shared" si="20"/>
        <v>女</v>
      </c>
      <c r="E57" s="10" t="str">
        <f>"宁夏银川"</f>
        <v>宁夏银川</v>
      </c>
      <c r="F57" s="10" t="str">
        <f>"研究生"</f>
        <v>研究生</v>
      </c>
      <c r="G57" s="10" t="str">
        <f>"硕士"</f>
        <v>硕士</v>
      </c>
      <c r="H57" s="10" t="str">
        <f>"中原工学院经管学院"</f>
        <v>中原工学院经管学院</v>
      </c>
      <c r="I57" s="10" t="str">
        <f>"工商管理"</f>
        <v>工商管理</v>
      </c>
      <c r="J57" s="10" t="str">
        <f>"宁夏大学教育学院"</f>
        <v>宁夏大学教育学院</v>
      </c>
      <c r="K57" s="10" t="str">
        <f>"小学教育"</f>
        <v>小学教育</v>
      </c>
      <c r="L57" s="10" t="s">
        <v>48</v>
      </c>
      <c r="M57" s="35"/>
    </row>
    <row r="58" customHeight="1" spans="1:13">
      <c r="A58" s="10">
        <v>55</v>
      </c>
      <c r="B58" s="10" t="s">
        <v>14</v>
      </c>
      <c r="C58" s="10" t="str">
        <f>"卢培珊"</f>
        <v>卢培珊</v>
      </c>
      <c r="D58" s="10" t="str">
        <f t="shared" si="20"/>
        <v>女</v>
      </c>
      <c r="E58" s="10" t="str">
        <f>"广东中山"</f>
        <v>广东中山</v>
      </c>
      <c r="F58" s="10" t="str">
        <f>"本科"</f>
        <v>本科</v>
      </c>
      <c r="G58" s="10" t="str">
        <f>"学士"</f>
        <v>学士</v>
      </c>
      <c r="H58" s="10" t="str">
        <f>"海南师范大学"</f>
        <v>海南师范大学</v>
      </c>
      <c r="I58" s="10" t="str">
        <f>"小学教育"</f>
        <v>小学教育</v>
      </c>
      <c r="J58" s="10" t="str">
        <f>"无"</f>
        <v>无</v>
      </c>
      <c r="K58" s="10" t="str">
        <f>"无"</f>
        <v>无</v>
      </c>
      <c r="L58" s="10" t="s">
        <v>50</v>
      </c>
      <c r="M58" s="35"/>
    </row>
    <row r="59" customHeight="1" spans="1:13">
      <c r="A59" s="10">
        <v>56</v>
      </c>
      <c r="B59" s="10" t="s">
        <v>33</v>
      </c>
      <c r="C59" s="10" t="str">
        <f>"刘瑜"</f>
        <v>刘瑜</v>
      </c>
      <c r="D59" s="10" t="str">
        <f t="shared" si="20"/>
        <v>女</v>
      </c>
      <c r="E59" s="10" t="str">
        <f>"江西吉安"</f>
        <v>江西吉安</v>
      </c>
      <c r="F59" s="10" t="str">
        <f>"研究生"</f>
        <v>研究生</v>
      </c>
      <c r="G59" s="10" t="str">
        <f>"硕士"</f>
        <v>硕士</v>
      </c>
      <c r="H59" s="10" t="str">
        <f>"海南师范大学"</f>
        <v>海南师范大学</v>
      </c>
      <c r="I59" s="10" t="str">
        <f>"小学教育"</f>
        <v>小学教育</v>
      </c>
      <c r="J59" s="10" t="str">
        <f>"海南师范大学"</f>
        <v>海南师范大学</v>
      </c>
      <c r="K59" s="10" t="str">
        <f>"小学教育"</f>
        <v>小学教育</v>
      </c>
      <c r="L59" s="10" t="s">
        <v>50</v>
      </c>
      <c r="M59" s="35"/>
    </row>
    <row r="60" customHeight="1" spans="1:13">
      <c r="A60" s="10">
        <v>57</v>
      </c>
      <c r="B60" s="10" t="s">
        <v>26</v>
      </c>
      <c r="C60" s="10" t="str">
        <f>"周曼珍"</f>
        <v>周曼珍</v>
      </c>
      <c r="D60" s="10" t="str">
        <f t="shared" si="20"/>
        <v>女</v>
      </c>
      <c r="E60" s="10" t="str">
        <f>"海南万宁"</f>
        <v>海南万宁</v>
      </c>
      <c r="F60" s="10" t="str">
        <f>"本科"</f>
        <v>本科</v>
      </c>
      <c r="G60" s="10" t="str">
        <f>"学士"</f>
        <v>学士</v>
      </c>
      <c r="H60" s="10" t="str">
        <f>"扬州大学"</f>
        <v>扬州大学</v>
      </c>
      <c r="I60" s="10" t="str">
        <f>"英语师范"</f>
        <v>英语师范</v>
      </c>
      <c r="J60" s="10" t="str">
        <f>"无"</f>
        <v>无</v>
      </c>
      <c r="K60" s="10" t="str">
        <f>"无"</f>
        <v>无</v>
      </c>
      <c r="L60" s="10" t="s">
        <v>50</v>
      </c>
      <c r="M60" s="35"/>
    </row>
    <row r="61" customHeight="1" spans="1:13">
      <c r="A61" s="10">
        <v>58</v>
      </c>
      <c r="B61" s="10" t="s">
        <v>33</v>
      </c>
      <c r="C61" s="10" t="str">
        <f>"李心怡"</f>
        <v>李心怡</v>
      </c>
      <c r="D61" s="10" t="str">
        <f t="shared" si="20"/>
        <v>女</v>
      </c>
      <c r="E61" s="10" t="str">
        <f>"海南文昌"</f>
        <v>海南文昌</v>
      </c>
      <c r="F61" s="10" t="str">
        <f>"本科"</f>
        <v>本科</v>
      </c>
      <c r="G61" s="10" t="str">
        <f>"学士"</f>
        <v>学士</v>
      </c>
      <c r="H61" s="10" t="str">
        <f>"琼台师范学院"</f>
        <v>琼台师范学院</v>
      </c>
      <c r="I61" s="10" t="str">
        <f>"小学教育"</f>
        <v>小学教育</v>
      </c>
      <c r="J61" s="10" t="str">
        <f>"无"</f>
        <v>无</v>
      </c>
      <c r="K61" s="10" t="str">
        <f>"无"</f>
        <v>无</v>
      </c>
      <c r="L61" s="10" t="s">
        <v>51</v>
      </c>
      <c r="M61" s="35"/>
    </row>
    <row r="62" customHeight="1" spans="1:13">
      <c r="A62" s="10">
        <v>59</v>
      </c>
      <c r="B62" s="10" t="s">
        <v>30</v>
      </c>
      <c r="C62" s="10" t="str">
        <f>"程梦童"</f>
        <v>程梦童</v>
      </c>
      <c r="D62" s="10" t="str">
        <f t="shared" si="20"/>
        <v>女</v>
      </c>
      <c r="E62" s="10" t="str">
        <f>"海南陵水"</f>
        <v>海南陵水</v>
      </c>
      <c r="F62" s="10" t="str">
        <f>"本科"</f>
        <v>本科</v>
      </c>
      <c r="G62" s="10" t="str">
        <f>"学士"</f>
        <v>学士</v>
      </c>
      <c r="H62" s="10" t="str">
        <f>"宜春学院"</f>
        <v>宜春学院</v>
      </c>
      <c r="I62" s="10" t="str">
        <f>"运动训练学（双学位：财务管理）"</f>
        <v>运动训练学（双学位：财务管理）</v>
      </c>
      <c r="J62" s="10" t="str">
        <f>"无"</f>
        <v>无</v>
      </c>
      <c r="K62" s="10" t="str">
        <f>"无"</f>
        <v>无</v>
      </c>
      <c r="L62" s="10" t="s">
        <v>51</v>
      </c>
      <c r="M62" s="35"/>
    </row>
    <row r="63" customHeight="1" spans="1:13">
      <c r="A63" s="10">
        <v>60</v>
      </c>
      <c r="B63" s="10" t="s">
        <v>35</v>
      </c>
      <c r="C63" s="10" t="str">
        <f>"刘冠红"</f>
        <v>刘冠红</v>
      </c>
      <c r="D63" s="10" t="str">
        <f t="shared" si="20"/>
        <v>女</v>
      </c>
      <c r="E63" s="10" t="str">
        <f>"海南省万宁市"</f>
        <v>海南省万宁市</v>
      </c>
      <c r="F63" s="10" t="str">
        <f>"研究生"</f>
        <v>研究生</v>
      </c>
      <c r="G63" s="10" t="str">
        <f>"硕士"</f>
        <v>硕士</v>
      </c>
      <c r="H63" s="10" t="str">
        <f>"长春师范大学"</f>
        <v>长春师范大学</v>
      </c>
      <c r="I63" s="10" t="str">
        <f>"英语"</f>
        <v>英语</v>
      </c>
      <c r="J63" s="10" t="str">
        <f>"长春师范大学"</f>
        <v>长春师范大学</v>
      </c>
      <c r="K63" s="10" t="str">
        <f>"外国语言文学"</f>
        <v>外国语言文学</v>
      </c>
      <c r="L63" s="10" t="s">
        <v>51</v>
      </c>
      <c r="M63" s="35"/>
    </row>
    <row r="64" customHeight="1" spans="1:13">
      <c r="A64" s="10">
        <v>61</v>
      </c>
      <c r="B64" s="10" t="s">
        <v>43</v>
      </c>
      <c r="C64" s="10" t="str">
        <f>"陈柳妃"</f>
        <v>陈柳妃</v>
      </c>
      <c r="D64" s="10" t="str">
        <f t="shared" si="20"/>
        <v>女</v>
      </c>
      <c r="E64" s="10" t="str">
        <f>"海南万宁"</f>
        <v>海南万宁</v>
      </c>
      <c r="F64" s="10" t="str">
        <f>"本科"</f>
        <v>本科</v>
      </c>
      <c r="G64" s="10" t="str">
        <f>"学士"</f>
        <v>学士</v>
      </c>
      <c r="H64" s="10" t="str">
        <f>"黄冈师范学院"</f>
        <v>黄冈师范学院</v>
      </c>
      <c r="I64" s="10" t="str">
        <f>"思想政治教育"</f>
        <v>思想政治教育</v>
      </c>
      <c r="J64" s="10" t="str">
        <f>"无"</f>
        <v>无</v>
      </c>
      <c r="K64" s="10" t="str">
        <f>"无"</f>
        <v>无</v>
      </c>
      <c r="L64" s="10" t="s">
        <v>51</v>
      </c>
      <c r="M64" s="35"/>
    </row>
    <row r="65" customHeight="1" spans="1:13">
      <c r="A65" s="10">
        <v>62</v>
      </c>
      <c r="B65" s="10" t="s">
        <v>19</v>
      </c>
      <c r="C65" s="10" t="str">
        <f>"谢名彬"</f>
        <v>谢名彬</v>
      </c>
      <c r="D65" s="10" t="str">
        <f>"男"</f>
        <v>男</v>
      </c>
      <c r="E65" s="10" t="str">
        <f>"海南定安"</f>
        <v>海南定安</v>
      </c>
      <c r="F65" s="10" t="str">
        <f>"研究生"</f>
        <v>研究生</v>
      </c>
      <c r="G65" s="10" t="str">
        <f>"硕士"</f>
        <v>硕士</v>
      </c>
      <c r="H65" s="10" t="str">
        <f>"湘潭大学"</f>
        <v>湘潭大学</v>
      </c>
      <c r="I65" s="10" t="str">
        <f>"市场营销"</f>
        <v>市场营销</v>
      </c>
      <c r="J65" s="10" t="str">
        <f>"湖南科技大学"</f>
        <v>湖南科技大学</v>
      </c>
      <c r="K65" s="10" t="str">
        <f>"中国史"</f>
        <v>中国史</v>
      </c>
      <c r="L65" s="10" t="s">
        <v>51</v>
      </c>
      <c r="M65" s="35"/>
    </row>
    <row r="66" customHeight="1" spans="1:13">
      <c r="A66" s="10">
        <v>63</v>
      </c>
      <c r="B66" s="10" t="s">
        <v>49</v>
      </c>
      <c r="C66" s="10" t="str">
        <f>"卢国瑞"</f>
        <v>卢国瑞</v>
      </c>
      <c r="D66" s="10" t="str">
        <f>"男"</f>
        <v>男</v>
      </c>
      <c r="E66" s="10" t="str">
        <f>"海南东方"</f>
        <v>海南东方</v>
      </c>
      <c r="F66" s="10" t="str">
        <f>"本科"</f>
        <v>本科</v>
      </c>
      <c r="G66" s="10" t="str">
        <f>"学士"</f>
        <v>学士</v>
      </c>
      <c r="H66" s="10" t="str">
        <f>"湘潭大学"</f>
        <v>湘潭大学</v>
      </c>
      <c r="I66" s="10" t="str">
        <f>"物理学"</f>
        <v>物理学</v>
      </c>
      <c r="J66" s="10" t="str">
        <f>"无"</f>
        <v>无</v>
      </c>
      <c r="K66" s="10" t="str">
        <f>"无"</f>
        <v>无</v>
      </c>
      <c r="L66" s="10" t="s">
        <v>51</v>
      </c>
      <c r="M66" s="35"/>
    </row>
    <row r="67" customHeight="1" spans="1:13">
      <c r="A67" s="10">
        <v>64</v>
      </c>
      <c r="B67" s="10" t="s">
        <v>52</v>
      </c>
      <c r="C67" s="10" t="str">
        <f>"李泽斌"</f>
        <v>李泽斌</v>
      </c>
      <c r="D67" s="10" t="str">
        <f>"男"</f>
        <v>男</v>
      </c>
      <c r="E67" s="10" t="str">
        <f>"山西晋中"</f>
        <v>山西晋中</v>
      </c>
      <c r="F67" s="10" t="str">
        <f t="shared" ref="F67:F74" si="21">"本科"</f>
        <v>本科</v>
      </c>
      <c r="G67" s="10" t="str">
        <f t="shared" ref="G67:G74" si="22">"学士"</f>
        <v>学士</v>
      </c>
      <c r="H67" s="10" t="str">
        <f>"湖南师范大学"</f>
        <v>湖南师范大学</v>
      </c>
      <c r="I67" s="10" t="str">
        <f>"武术与民族传统体育专业"</f>
        <v>武术与民族传统体育专业</v>
      </c>
      <c r="J67" s="10" t="str">
        <f>"无"</f>
        <v>无</v>
      </c>
      <c r="K67" s="10" t="str">
        <f>"无"</f>
        <v>无</v>
      </c>
      <c r="L67" s="10" t="str">
        <f>"海口市西湖实验学校"</f>
        <v>海口市西湖实验学校</v>
      </c>
      <c r="M67" s="35"/>
    </row>
    <row r="68" customHeight="1" spans="1:13">
      <c r="A68" s="10">
        <v>65</v>
      </c>
      <c r="B68" s="10" t="s">
        <v>53</v>
      </c>
      <c r="C68" s="10" t="str">
        <f>"黎情情"</f>
        <v>黎情情</v>
      </c>
      <c r="D68" s="10" t="str">
        <f t="shared" ref="D68:D73" si="23">"女"</f>
        <v>女</v>
      </c>
      <c r="E68" s="10" t="str">
        <f>"重庆开州"</f>
        <v>重庆开州</v>
      </c>
      <c r="F68" s="10" t="str">
        <f t="shared" si="21"/>
        <v>本科</v>
      </c>
      <c r="G68" s="10" t="str">
        <f t="shared" si="22"/>
        <v>学士</v>
      </c>
      <c r="H68" s="10" t="str">
        <f>"重庆外语外事学院"</f>
        <v>重庆外语外事学院</v>
      </c>
      <c r="I68" s="10" t="str">
        <f>"英语（教育）"</f>
        <v>英语（教育）</v>
      </c>
      <c r="J68" s="10" t="str">
        <f>"无"</f>
        <v>无</v>
      </c>
      <c r="K68" s="10" t="str">
        <f>"无"</f>
        <v>无</v>
      </c>
      <c r="L68" s="10" t="str">
        <f>"海口市西湖实验学校"</f>
        <v>海口市西湖实验学校</v>
      </c>
      <c r="M68" s="35"/>
    </row>
    <row r="69" customHeight="1" spans="1:13">
      <c r="A69" s="10">
        <v>66</v>
      </c>
      <c r="B69" s="10" t="s">
        <v>54</v>
      </c>
      <c r="C69" s="10" t="str">
        <f>"方淇"</f>
        <v>方淇</v>
      </c>
      <c r="D69" s="10" t="str">
        <f t="shared" si="23"/>
        <v>女</v>
      </c>
      <c r="E69" s="10" t="str">
        <f>"海南海口"</f>
        <v>海南海口</v>
      </c>
      <c r="F69" s="10" t="str">
        <f t="shared" si="21"/>
        <v>本科</v>
      </c>
      <c r="G69" s="10" t="str">
        <f t="shared" si="22"/>
        <v>学士</v>
      </c>
      <c r="H69" s="10" t="str">
        <f>"广西师范大学"</f>
        <v>广西师范大学</v>
      </c>
      <c r="I69" s="10" t="str">
        <f>"思想政治教育专业"</f>
        <v>思想政治教育专业</v>
      </c>
      <c r="J69" s="10" t="str">
        <f>"无"</f>
        <v>无</v>
      </c>
      <c r="K69" s="10" t="str">
        <f>"无"</f>
        <v>无</v>
      </c>
      <c r="L69" s="10" t="str">
        <f>"海口市西湖实验学校"</f>
        <v>海口市西湖实验学校</v>
      </c>
      <c r="M69" s="35"/>
    </row>
    <row r="70" customHeight="1" spans="1:13">
      <c r="A70" s="10">
        <v>67</v>
      </c>
      <c r="B70" s="10" t="s">
        <v>55</v>
      </c>
      <c r="C70" s="10" t="str">
        <f>"叶晓敏"</f>
        <v>叶晓敏</v>
      </c>
      <c r="D70" s="10" t="str">
        <f t="shared" si="23"/>
        <v>女</v>
      </c>
      <c r="E70" s="10" t="str">
        <f>"海南昌江黎族自治县"</f>
        <v>海南昌江黎族自治县</v>
      </c>
      <c r="F70" s="10" t="str">
        <f t="shared" si="21"/>
        <v>本科</v>
      </c>
      <c r="G70" s="10" t="str">
        <f t="shared" si="22"/>
        <v>学士</v>
      </c>
      <c r="H70" s="10" t="str">
        <f>"湖南师范大学"</f>
        <v>湖南师范大学</v>
      </c>
      <c r="I70" s="10" t="str">
        <f>"旅游管理"</f>
        <v>旅游管理</v>
      </c>
      <c r="J70" s="10" t="str">
        <f>"无"</f>
        <v>无</v>
      </c>
      <c r="K70" s="10" t="str">
        <f>"无"</f>
        <v>无</v>
      </c>
      <c r="L70" s="10" t="str">
        <f>"海口市西湖实验学校"</f>
        <v>海口市西湖实验学校</v>
      </c>
      <c r="M70" s="35"/>
    </row>
    <row r="71" s="27" customFormat="1" customHeight="1" spans="1:13">
      <c r="A71" s="10">
        <v>68</v>
      </c>
      <c r="B71" s="10" t="s">
        <v>47</v>
      </c>
      <c r="C71" s="10" t="str">
        <f>"翁诗雨"</f>
        <v>翁诗雨</v>
      </c>
      <c r="D71" s="10" t="str">
        <f t="shared" si="23"/>
        <v>女</v>
      </c>
      <c r="E71" s="10" t="str">
        <f>"海南万宁"</f>
        <v>海南万宁</v>
      </c>
      <c r="F71" s="10" t="str">
        <f t="shared" si="21"/>
        <v>本科</v>
      </c>
      <c r="G71" s="10" t="str">
        <f t="shared" si="22"/>
        <v>学士</v>
      </c>
      <c r="H71" s="10" t="str">
        <f>"湖南科技大学"</f>
        <v>湖南科技大学</v>
      </c>
      <c r="I71" s="10" t="str">
        <f>"化学（师范）"</f>
        <v>化学（师范）</v>
      </c>
      <c r="J71" s="10" t="str">
        <f t="shared" ref="J71:K74" si="24">"无"</f>
        <v>无</v>
      </c>
      <c r="K71" s="10" t="str">
        <f t="shared" si="24"/>
        <v>无</v>
      </c>
      <c r="L71" s="10" t="s">
        <v>51</v>
      </c>
      <c r="M71" s="36"/>
    </row>
    <row r="72" s="27" customFormat="1" customHeight="1" spans="1:13">
      <c r="A72" s="10">
        <v>69</v>
      </c>
      <c r="B72" s="10" t="s">
        <v>14</v>
      </c>
      <c r="C72" s="10" t="str">
        <f>"梁晓宇"</f>
        <v>梁晓宇</v>
      </c>
      <c r="D72" s="10" t="str">
        <f t="shared" si="23"/>
        <v>女</v>
      </c>
      <c r="E72" s="10" t="str">
        <f>"海南文昌"</f>
        <v>海南文昌</v>
      </c>
      <c r="F72" s="10" t="str">
        <f t="shared" si="21"/>
        <v>本科</v>
      </c>
      <c r="G72" s="10" t="str">
        <f t="shared" si="22"/>
        <v>学士</v>
      </c>
      <c r="H72" s="10" t="str">
        <f>"广州大学"</f>
        <v>广州大学</v>
      </c>
      <c r="I72" s="10" t="str">
        <f>"广播电视学"</f>
        <v>广播电视学</v>
      </c>
      <c r="J72" s="10" t="str">
        <f t="shared" si="24"/>
        <v>无</v>
      </c>
      <c r="K72" s="10" t="str">
        <f t="shared" si="24"/>
        <v>无</v>
      </c>
      <c r="L72" s="10" t="s">
        <v>56</v>
      </c>
      <c r="M72" s="36"/>
    </row>
    <row r="73" s="27" customFormat="1" customHeight="1" spans="1:13">
      <c r="A73" s="10">
        <v>70</v>
      </c>
      <c r="B73" s="10" t="s">
        <v>25</v>
      </c>
      <c r="C73" s="10" t="str">
        <f>"陈邦盈"</f>
        <v>陈邦盈</v>
      </c>
      <c r="D73" s="10" t="str">
        <f t="shared" si="23"/>
        <v>女</v>
      </c>
      <c r="E73" s="10" t="str">
        <f>"海南儋州"</f>
        <v>海南儋州</v>
      </c>
      <c r="F73" s="10" t="str">
        <f t="shared" si="21"/>
        <v>本科</v>
      </c>
      <c r="G73" s="10" t="str">
        <f t="shared" si="22"/>
        <v>学士</v>
      </c>
      <c r="H73" s="10" t="str">
        <f>"广西师范大学"</f>
        <v>广西师范大学</v>
      </c>
      <c r="I73" s="10" t="str">
        <f>"统计学"</f>
        <v>统计学</v>
      </c>
      <c r="J73" s="10" t="str">
        <f t="shared" si="24"/>
        <v>无</v>
      </c>
      <c r="K73" s="10" t="str">
        <f t="shared" si="24"/>
        <v>无</v>
      </c>
      <c r="L73" s="10" t="s">
        <v>56</v>
      </c>
      <c r="M73" s="36"/>
    </row>
    <row r="74" s="27" customFormat="1" customHeight="1" spans="1:13">
      <c r="A74" s="10">
        <v>71</v>
      </c>
      <c r="B74" s="10" t="s">
        <v>25</v>
      </c>
      <c r="C74" s="10" t="str">
        <f>"陈钟永"</f>
        <v>陈钟永</v>
      </c>
      <c r="D74" s="10" t="str">
        <f>"男"</f>
        <v>男</v>
      </c>
      <c r="E74" s="10" t="str">
        <f>"海南海口"</f>
        <v>海南海口</v>
      </c>
      <c r="F74" s="10" t="str">
        <f t="shared" si="21"/>
        <v>本科</v>
      </c>
      <c r="G74" s="10" t="str">
        <f t="shared" si="22"/>
        <v>学士</v>
      </c>
      <c r="H74" s="10" t="str">
        <f>"广东第二师范学院"</f>
        <v>广东第二师范学院</v>
      </c>
      <c r="I74" s="10" t="str">
        <f>"数学与应用数学"</f>
        <v>数学与应用数学</v>
      </c>
      <c r="J74" s="10" t="str">
        <f t="shared" si="24"/>
        <v>无</v>
      </c>
      <c r="K74" s="10" t="str">
        <f t="shared" si="24"/>
        <v>无</v>
      </c>
      <c r="L74" s="10" t="s">
        <v>56</v>
      </c>
      <c r="M74" s="36"/>
    </row>
    <row r="75" s="27" customFormat="1" customHeight="1" spans="1:13">
      <c r="A75" s="10">
        <v>72</v>
      </c>
      <c r="B75" s="10" t="s">
        <v>30</v>
      </c>
      <c r="C75" s="10" t="str">
        <f>"王杨"</f>
        <v>王杨</v>
      </c>
      <c r="D75" s="10" t="str">
        <f>"男"</f>
        <v>男</v>
      </c>
      <c r="E75" s="10" t="str">
        <f>"海南省海口市"</f>
        <v>海南省海口市</v>
      </c>
      <c r="F75" s="10" t="str">
        <f>"研究生"</f>
        <v>研究生</v>
      </c>
      <c r="G75" s="10" t="str">
        <f>"硕士"</f>
        <v>硕士</v>
      </c>
      <c r="H75" s="10" t="str">
        <f>"南京大学"</f>
        <v>南京大学</v>
      </c>
      <c r="I75" s="10" t="str">
        <f>"市场营销"</f>
        <v>市场营销</v>
      </c>
      <c r="J75" s="10" t="str">
        <f>"海南师范大学"</f>
        <v>海南师范大学</v>
      </c>
      <c r="K75" s="10" t="str">
        <f>"教育管理"</f>
        <v>教育管理</v>
      </c>
      <c r="L75" s="10" t="s">
        <v>56</v>
      </c>
      <c r="M75" s="36"/>
    </row>
    <row r="76" s="27" customFormat="1" customHeight="1" spans="1:13">
      <c r="A76" s="10">
        <v>73</v>
      </c>
      <c r="B76" s="10" t="s">
        <v>17</v>
      </c>
      <c r="C76" s="10" t="str">
        <f>"武江红"</f>
        <v>武江红</v>
      </c>
      <c r="D76" s="10" t="str">
        <f>"女"</f>
        <v>女</v>
      </c>
      <c r="E76" s="10" t="str">
        <f>"山西大同"</f>
        <v>山西大同</v>
      </c>
      <c r="F76" s="10" t="str">
        <f>"研究生"</f>
        <v>研究生</v>
      </c>
      <c r="G76" s="10" t="str">
        <f>"硕士"</f>
        <v>硕士</v>
      </c>
      <c r="H76" s="10" t="str">
        <f>"忻州师范学院"</f>
        <v>忻州师范学院</v>
      </c>
      <c r="I76" s="10" t="str">
        <f>"汉语言文学"</f>
        <v>汉语言文学</v>
      </c>
      <c r="J76" s="10" t="str">
        <f>"东北师范大学"</f>
        <v>东北师范大学</v>
      </c>
      <c r="K76" s="10" t="str">
        <f>"汉语国际教育"</f>
        <v>汉语国际教育</v>
      </c>
      <c r="L76" s="10" t="s">
        <v>56</v>
      </c>
      <c r="M76" s="36"/>
    </row>
    <row r="77" s="28" customFormat="1" customHeight="1" spans="1:13">
      <c r="A77" s="10">
        <v>74</v>
      </c>
      <c r="B77" s="10" t="s">
        <v>17</v>
      </c>
      <c r="C77" s="10" t="str">
        <f>"周艺博"</f>
        <v>周艺博</v>
      </c>
      <c r="D77" s="10" t="str">
        <f>"女"</f>
        <v>女</v>
      </c>
      <c r="E77" s="10" t="str">
        <f>"河南洛阳"</f>
        <v>河南洛阳</v>
      </c>
      <c r="F77" s="10" t="str">
        <f t="shared" ref="F77:F93" si="25">"本科"</f>
        <v>本科</v>
      </c>
      <c r="G77" s="10" t="str">
        <f t="shared" ref="G77:G93" si="26">"学士"</f>
        <v>学士</v>
      </c>
      <c r="H77" s="10" t="str">
        <f>"海南师范大学"</f>
        <v>海南师范大学</v>
      </c>
      <c r="I77" s="10" t="str">
        <f>"汉语言文学"</f>
        <v>汉语言文学</v>
      </c>
      <c r="J77" s="10" t="str">
        <f t="shared" ref="J77:J93" si="27">"无"</f>
        <v>无</v>
      </c>
      <c r="K77" s="10" t="str">
        <f t="shared" ref="K77:K93" si="28">"无"</f>
        <v>无</v>
      </c>
      <c r="L77" s="10" t="s">
        <v>56</v>
      </c>
      <c r="M77" s="37"/>
    </row>
    <row r="78" customHeight="1" spans="1:13">
      <c r="A78" s="10">
        <v>75</v>
      </c>
      <c r="B78" s="10" t="s">
        <v>34</v>
      </c>
      <c r="C78" s="10" t="str">
        <f>"杨来泽"</f>
        <v>杨来泽</v>
      </c>
      <c r="D78" s="10" t="str">
        <f>"男"</f>
        <v>男</v>
      </c>
      <c r="E78" s="10" t="str">
        <f>"海南文昌"</f>
        <v>海南文昌</v>
      </c>
      <c r="F78" s="10" t="str">
        <f t="shared" si="25"/>
        <v>本科</v>
      </c>
      <c r="G78" s="10" t="str">
        <f t="shared" si="26"/>
        <v>学士</v>
      </c>
      <c r="H78" s="10" t="str">
        <f>"河北师范大学"</f>
        <v>河北师范大学</v>
      </c>
      <c r="I78" s="10" t="str">
        <f>"数学与应用数学"</f>
        <v>数学与应用数学</v>
      </c>
      <c r="J78" s="10" t="str">
        <f t="shared" si="27"/>
        <v>无</v>
      </c>
      <c r="K78" s="10" t="str">
        <f t="shared" si="28"/>
        <v>无</v>
      </c>
      <c r="L78" s="10" t="s">
        <v>56</v>
      </c>
      <c r="M78" s="35"/>
    </row>
    <row r="79" customHeight="1" spans="1:13">
      <c r="A79" s="10">
        <v>76</v>
      </c>
      <c r="B79" s="10" t="s">
        <v>34</v>
      </c>
      <c r="C79" s="10" t="str">
        <f>"吴多第"</f>
        <v>吴多第</v>
      </c>
      <c r="D79" s="10" t="str">
        <f>"男"</f>
        <v>男</v>
      </c>
      <c r="E79" s="10" t="str">
        <f>"海南海口"</f>
        <v>海南海口</v>
      </c>
      <c r="F79" s="10" t="str">
        <f t="shared" si="25"/>
        <v>本科</v>
      </c>
      <c r="G79" s="10" t="str">
        <f t="shared" si="26"/>
        <v>学士</v>
      </c>
      <c r="H79" s="10" t="str">
        <f>"四川农业大学"</f>
        <v>四川农业大学</v>
      </c>
      <c r="I79" s="10" t="str">
        <f>"道路桥梁与渡河工程"</f>
        <v>道路桥梁与渡河工程</v>
      </c>
      <c r="J79" s="10" t="str">
        <f t="shared" si="27"/>
        <v>无</v>
      </c>
      <c r="K79" s="10" t="str">
        <f t="shared" si="28"/>
        <v>无</v>
      </c>
      <c r="L79" s="10" t="s">
        <v>56</v>
      </c>
      <c r="M79" s="35"/>
    </row>
    <row r="80" customHeight="1" spans="1:13">
      <c r="A80" s="10">
        <v>77</v>
      </c>
      <c r="B80" s="10" t="s">
        <v>35</v>
      </c>
      <c r="C80" s="10" t="str">
        <f>"海蓝"</f>
        <v>海蓝</v>
      </c>
      <c r="D80" s="10" t="str">
        <f>"女"</f>
        <v>女</v>
      </c>
      <c r="E80" s="10" t="str">
        <f>"海南乐东"</f>
        <v>海南乐东</v>
      </c>
      <c r="F80" s="10" t="str">
        <f t="shared" si="25"/>
        <v>本科</v>
      </c>
      <c r="G80" s="10" t="str">
        <f t="shared" si="26"/>
        <v>学士</v>
      </c>
      <c r="H80" s="10" t="str">
        <f>"江苏师范大学"</f>
        <v>江苏师范大学</v>
      </c>
      <c r="I80" s="10" t="str">
        <f>"英语（师范）"</f>
        <v>英语（师范）</v>
      </c>
      <c r="J80" s="10" t="str">
        <f t="shared" si="27"/>
        <v>无</v>
      </c>
      <c r="K80" s="10" t="str">
        <f t="shared" si="28"/>
        <v>无</v>
      </c>
      <c r="L80" s="10" t="s">
        <v>56</v>
      </c>
      <c r="M80" s="35"/>
    </row>
    <row r="81" customHeight="1" spans="1:13">
      <c r="A81" s="10">
        <v>78</v>
      </c>
      <c r="B81" s="10" t="s">
        <v>43</v>
      </c>
      <c r="C81" s="10" t="str">
        <f>"符馨尹"</f>
        <v>符馨尹</v>
      </c>
      <c r="D81" s="10" t="str">
        <f>"女"</f>
        <v>女</v>
      </c>
      <c r="E81" s="10" t="str">
        <f>"海南文昌"</f>
        <v>海南文昌</v>
      </c>
      <c r="F81" s="10" t="str">
        <f t="shared" si="25"/>
        <v>本科</v>
      </c>
      <c r="G81" s="10" t="str">
        <f t="shared" si="26"/>
        <v>学士</v>
      </c>
      <c r="H81" s="10" t="str">
        <f>"江西师范大学"</f>
        <v>江西师范大学</v>
      </c>
      <c r="I81" s="10" t="str">
        <f>"思想政治教育专业（师范类）"</f>
        <v>思想政治教育专业（师范类）</v>
      </c>
      <c r="J81" s="10" t="str">
        <f t="shared" si="27"/>
        <v>无</v>
      </c>
      <c r="K81" s="10" t="str">
        <f t="shared" si="28"/>
        <v>无</v>
      </c>
      <c r="L81" s="10" t="s">
        <v>56</v>
      </c>
      <c r="M81" s="35"/>
    </row>
    <row r="82" customHeight="1" spans="1:13">
      <c r="A82" s="10">
        <v>79</v>
      </c>
      <c r="B82" s="10" t="s">
        <v>20</v>
      </c>
      <c r="C82" s="10" t="str">
        <f>"张怡"</f>
        <v>张怡</v>
      </c>
      <c r="D82" s="10" t="str">
        <f>"女"</f>
        <v>女</v>
      </c>
      <c r="E82" s="10" t="str">
        <f>"海南临高"</f>
        <v>海南临高</v>
      </c>
      <c r="F82" s="10" t="str">
        <f t="shared" si="25"/>
        <v>本科</v>
      </c>
      <c r="G82" s="10" t="str">
        <f t="shared" si="26"/>
        <v>学士</v>
      </c>
      <c r="H82" s="10" t="str">
        <f>"海南师范大学"</f>
        <v>海南师范大学</v>
      </c>
      <c r="I82" s="10" t="str">
        <f>"生物科学"</f>
        <v>生物科学</v>
      </c>
      <c r="J82" s="10" t="str">
        <f t="shared" si="27"/>
        <v>无</v>
      </c>
      <c r="K82" s="10" t="str">
        <f t="shared" si="28"/>
        <v>无</v>
      </c>
      <c r="L82" s="10" t="s">
        <v>56</v>
      </c>
      <c r="M82" s="35"/>
    </row>
    <row r="83" customHeight="1" spans="1:13">
      <c r="A83" s="10">
        <v>80</v>
      </c>
      <c r="B83" s="10" t="s">
        <v>36</v>
      </c>
      <c r="C83" s="10" t="str">
        <f>"戴辰曦"</f>
        <v>戴辰曦</v>
      </c>
      <c r="D83" s="10" t="str">
        <f>"女"</f>
        <v>女</v>
      </c>
      <c r="E83" s="10" t="str">
        <f>"海南海口"</f>
        <v>海南海口</v>
      </c>
      <c r="F83" s="10" t="str">
        <f t="shared" si="25"/>
        <v>本科</v>
      </c>
      <c r="G83" s="10" t="str">
        <f t="shared" si="26"/>
        <v>学士</v>
      </c>
      <c r="H83" s="10" t="str">
        <f>"重庆师范大学"</f>
        <v>重庆师范大学</v>
      </c>
      <c r="I83" s="10" t="str">
        <f>"新闻学"</f>
        <v>新闻学</v>
      </c>
      <c r="J83" s="10" t="str">
        <f t="shared" si="27"/>
        <v>无</v>
      </c>
      <c r="K83" s="10" t="str">
        <f t="shared" si="28"/>
        <v>无</v>
      </c>
      <c r="L83" s="10" t="s">
        <v>56</v>
      </c>
      <c r="M83" s="35"/>
    </row>
    <row r="84" customHeight="1" spans="1:13">
      <c r="A84" s="10">
        <v>81</v>
      </c>
      <c r="B84" s="10" t="s">
        <v>37</v>
      </c>
      <c r="C84" s="10" t="str">
        <f>"叶铃芳"</f>
        <v>叶铃芳</v>
      </c>
      <c r="D84" s="10" t="str">
        <f>"女"</f>
        <v>女</v>
      </c>
      <c r="E84" s="10" t="str">
        <f>"广东紫金"</f>
        <v>广东紫金</v>
      </c>
      <c r="F84" s="10" t="str">
        <f t="shared" si="25"/>
        <v>本科</v>
      </c>
      <c r="G84" s="10" t="str">
        <f t="shared" si="26"/>
        <v>学士</v>
      </c>
      <c r="H84" s="10" t="str">
        <f>"成都师范学院"</f>
        <v>成都师范学院</v>
      </c>
      <c r="I84" s="10" t="str">
        <f>"小学教育"</f>
        <v>小学教育</v>
      </c>
      <c r="J84" s="10" t="str">
        <f t="shared" si="27"/>
        <v>无</v>
      </c>
      <c r="K84" s="10" t="str">
        <f t="shared" si="28"/>
        <v>无</v>
      </c>
      <c r="L84" s="10" t="s">
        <v>56</v>
      </c>
      <c r="M84" s="35"/>
    </row>
    <row r="85" customHeight="1" spans="1:13">
      <c r="A85" s="10">
        <v>82</v>
      </c>
      <c r="B85" s="10" t="s">
        <v>52</v>
      </c>
      <c r="C85" s="10" t="str">
        <f>"林云宇"</f>
        <v>林云宇</v>
      </c>
      <c r="D85" s="10" t="str">
        <f>"男"</f>
        <v>男</v>
      </c>
      <c r="E85" s="10" t="str">
        <f>"海南万宁"</f>
        <v>海南万宁</v>
      </c>
      <c r="F85" s="10" t="str">
        <f t="shared" si="25"/>
        <v>本科</v>
      </c>
      <c r="G85" s="10" t="str">
        <f t="shared" si="26"/>
        <v>学士</v>
      </c>
      <c r="H85" s="10" t="str">
        <f>"四川师范大学"</f>
        <v>四川师范大学</v>
      </c>
      <c r="I85" s="10" t="str">
        <f>"体育教育"</f>
        <v>体育教育</v>
      </c>
      <c r="J85" s="10" t="str">
        <f t="shared" si="27"/>
        <v>无</v>
      </c>
      <c r="K85" s="10" t="str">
        <f t="shared" si="28"/>
        <v>无</v>
      </c>
      <c r="L85" s="10" t="str">
        <f>"海口市秀峰实验学校"</f>
        <v>海口市秀峰实验学校</v>
      </c>
      <c r="M85" s="35"/>
    </row>
    <row r="86" customHeight="1" spans="1:13">
      <c r="A86" s="10">
        <v>83</v>
      </c>
      <c r="B86" s="10" t="s">
        <v>57</v>
      </c>
      <c r="C86" s="10" t="str">
        <f>"王欣"</f>
        <v>王欣</v>
      </c>
      <c r="D86" s="10" t="str">
        <f>"女"</f>
        <v>女</v>
      </c>
      <c r="E86" s="10" t="str">
        <f>"海南海口"</f>
        <v>海南海口</v>
      </c>
      <c r="F86" s="10" t="str">
        <f t="shared" si="25"/>
        <v>本科</v>
      </c>
      <c r="G86" s="10" t="str">
        <f t="shared" si="26"/>
        <v>学士</v>
      </c>
      <c r="H86" s="10" t="str">
        <f>"中南财经政法大学"</f>
        <v>中南财经政法大学</v>
      </c>
      <c r="I86" s="10" t="str">
        <f>"汉语言文学"</f>
        <v>汉语言文学</v>
      </c>
      <c r="J86" s="10" t="str">
        <f t="shared" si="27"/>
        <v>无</v>
      </c>
      <c r="K86" s="10" t="str">
        <f t="shared" si="28"/>
        <v>无</v>
      </c>
      <c r="L86" s="10" t="str">
        <f>"海口市秀峰实验学校"</f>
        <v>海口市秀峰实验学校</v>
      </c>
      <c r="M86" s="35"/>
    </row>
    <row r="87" customHeight="1" spans="1:13">
      <c r="A87" s="10">
        <v>84</v>
      </c>
      <c r="B87" s="10" t="s">
        <v>54</v>
      </c>
      <c r="C87" s="10" t="str">
        <f>"戚靖旎"</f>
        <v>戚靖旎</v>
      </c>
      <c r="D87" s="10" t="str">
        <f>"女"</f>
        <v>女</v>
      </c>
      <c r="E87" s="10" t="str">
        <f>"海南临高"</f>
        <v>海南临高</v>
      </c>
      <c r="F87" s="10" t="str">
        <f t="shared" si="25"/>
        <v>本科</v>
      </c>
      <c r="G87" s="10" t="str">
        <f t="shared" si="26"/>
        <v>学士</v>
      </c>
      <c r="H87" s="10" t="str">
        <f>"南昌师范学院"</f>
        <v>南昌师范学院</v>
      </c>
      <c r="I87" s="10" t="str">
        <f>"思想政治教育专业"</f>
        <v>思想政治教育专业</v>
      </c>
      <c r="J87" s="10" t="str">
        <f t="shared" si="27"/>
        <v>无</v>
      </c>
      <c r="K87" s="10" t="str">
        <f t="shared" si="28"/>
        <v>无</v>
      </c>
      <c r="L87" s="10" t="str">
        <f>"海口市秀峰实验学校"</f>
        <v>海口市秀峰实验学校</v>
      </c>
      <c r="M87" s="35"/>
    </row>
    <row r="88" customHeight="1" spans="1:13">
      <c r="A88" s="10">
        <v>85</v>
      </c>
      <c r="B88" s="10" t="s">
        <v>55</v>
      </c>
      <c r="C88" s="10" t="str">
        <f>"莫雷宇"</f>
        <v>莫雷宇</v>
      </c>
      <c r="D88" s="10" t="str">
        <f>"男"</f>
        <v>男</v>
      </c>
      <c r="E88" s="10" t="str">
        <f>"海南万宁"</f>
        <v>海南万宁</v>
      </c>
      <c r="F88" s="10" t="str">
        <f t="shared" si="25"/>
        <v>本科</v>
      </c>
      <c r="G88" s="10" t="str">
        <f t="shared" si="26"/>
        <v>学士</v>
      </c>
      <c r="H88" s="10" t="str">
        <f>"四川师范大学"</f>
        <v>四川师范大学</v>
      </c>
      <c r="I88" s="10" t="str">
        <f>"历史"</f>
        <v>历史</v>
      </c>
      <c r="J88" s="10" t="str">
        <f t="shared" si="27"/>
        <v>无</v>
      </c>
      <c r="K88" s="10" t="str">
        <f t="shared" si="28"/>
        <v>无</v>
      </c>
      <c r="L88" s="10" t="str">
        <f>"海口市秀峰实验学校"</f>
        <v>海口市秀峰实验学校</v>
      </c>
      <c r="M88" s="35"/>
    </row>
    <row r="89" customHeight="1" spans="1:13">
      <c r="A89" s="10">
        <v>86</v>
      </c>
      <c r="B89" s="10" t="s">
        <v>58</v>
      </c>
      <c r="C89" s="10" t="str">
        <f>"潘文畅"</f>
        <v>潘文畅</v>
      </c>
      <c r="D89" s="10" t="str">
        <f>"女"</f>
        <v>女</v>
      </c>
      <c r="E89" s="10" t="str">
        <f>"海南万宁"</f>
        <v>海南万宁</v>
      </c>
      <c r="F89" s="10" t="str">
        <f t="shared" si="25"/>
        <v>本科</v>
      </c>
      <c r="G89" s="10" t="str">
        <f t="shared" si="26"/>
        <v>学士</v>
      </c>
      <c r="H89" s="10" t="str">
        <f>"西南大学"</f>
        <v>西南大学</v>
      </c>
      <c r="I89" s="10" t="str">
        <f>"生物技术"</f>
        <v>生物技术</v>
      </c>
      <c r="J89" s="10" t="str">
        <f t="shared" si="27"/>
        <v>无</v>
      </c>
      <c r="K89" s="10" t="str">
        <f t="shared" si="28"/>
        <v>无</v>
      </c>
      <c r="L89" s="10" t="str">
        <f>"海口市秀峰实验学校"</f>
        <v>海口市秀峰实验学校</v>
      </c>
      <c r="M89" s="35"/>
    </row>
    <row r="90" customHeight="1" spans="1:13">
      <c r="A90" s="10">
        <v>87</v>
      </c>
      <c r="B90" s="10" t="s">
        <v>47</v>
      </c>
      <c r="C90" s="10" t="str">
        <f>"郏溢琦"</f>
        <v>郏溢琦</v>
      </c>
      <c r="D90" s="10" t="str">
        <f>"女"</f>
        <v>女</v>
      </c>
      <c r="E90" s="10" t="str">
        <f>"河南驻马店"</f>
        <v>河南驻马店</v>
      </c>
      <c r="F90" s="10" t="str">
        <f t="shared" si="25"/>
        <v>本科</v>
      </c>
      <c r="G90" s="10" t="str">
        <f t="shared" si="26"/>
        <v>学士</v>
      </c>
      <c r="H90" s="10" t="str">
        <f>"海南师范大学"</f>
        <v>海南师范大学</v>
      </c>
      <c r="I90" s="10" t="str">
        <f>"化学"</f>
        <v>化学</v>
      </c>
      <c r="J90" s="10" t="str">
        <f t="shared" si="27"/>
        <v>无</v>
      </c>
      <c r="K90" s="10" t="str">
        <f t="shared" si="28"/>
        <v>无</v>
      </c>
      <c r="L90" s="10" t="s">
        <v>56</v>
      </c>
      <c r="M90" s="35"/>
    </row>
    <row r="91" customHeight="1" spans="1:13">
      <c r="A91" s="10">
        <v>88</v>
      </c>
      <c r="B91" s="10" t="s">
        <v>59</v>
      </c>
      <c r="C91" s="10" t="str">
        <f>"许仁捷"</f>
        <v>许仁捷</v>
      </c>
      <c r="D91" s="10" t="str">
        <f>"女"</f>
        <v>女</v>
      </c>
      <c r="E91" s="10" t="str">
        <f>"海南琼海"</f>
        <v>海南琼海</v>
      </c>
      <c r="F91" s="10" t="str">
        <f t="shared" si="25"/>
        <v>本科</v>
      </c>
      <c r="G91" s="10" t="str">
        <f t="shared" si="26"/>
        <v>学士</v>
      </c>
      <c r="H91" s="10" t="str">
        <f>"四川大学"</f>
        <v>四川大学</v>
      </c>
      <c r="I91" s="10" t="str">
        <f>"化学"</f>
        <v>化学</v>
      </c>
      <c r="J91" s="10" t="str">
        <f t="shared" si="27"/>
        <v>无</v>
      </c>
      <c r="K91" s="10" t="str">
        <f t="shared" si="28"/>
        <v>无</v>
      </c>
      <c r="L91" s="10" t="s">
        <v>56</v>
      </c>
      <c r="M91" s="35"/>
    </row>
    <row r="92" customHeight="1" spans="1:13">
      <c r="A92" s="10">
        <v>89</v>
      </c>
      <c r="B92" s="10" t="s">
        <v>53</v>
      </c>
      <c r="C92" s="10" t="str">
        <f>"黄成爱"</f>
        <v>黄成爱</v>
      </c>
      <c r="D92" s="10" t="str">
        <f>"女"</f>
        <v>女</v>
      </c>
      <c r="E92" s="10" t="str">
        <f>"海南万宁"</f>
        <v>海南万宁</v>
      </c>
      <c r="F92" s="10" t="str">
        <f t="shared" si="25"/>
        <v>本科</v>
      </c>
      <c r="G92" s="10" t="str">
        <f t="shared" si="26"/>
        <v>学士</v>
      </c>
      <c r="H92" s="10" t="str">
        <f>"太原师范学院"</f>
        <v>太原师范学院</v>
      </c>
      <c r="I92" s="10" t="str">
        <f>"英语"</f>
        <v>英语</v>
      </c>
      <c r="J92" s="10" t="str">
        <f t="shared" si="27"/>
        <v>无</v>
      </c>
      <c r="K92" s="10" t="str">
        <f t="shared" si="28"/>
        <v>无</v>
      </c>
      <c r="L92" s="10" t="s">
        <v>56</v>
      </c>
      <c r="M92" s="35"/>
    </row>
    <row r="93" customHeight="1" spans="1:13">
      <c r="A93" s="10">
        <v>90</v>
      </c>
      <c r="B93" s="10" t="s">
        <v>34</v>
      </c>
      <c r="C93" s="10" t="str">
        <f>"刘凯雯"</f>
        <v>刘凯雯</v>
      </c>
      <c r="D93" s="10" t="str">
        <f>"女"</f>
        <v>女</v>
      </c>
      <c r="E93" s="10" t="str">
        <f>"湖南株洲"</f>
        <v>湖南株洲</v>
      </c>
      <c r="F93" s="10" t="str">
        <f>"研究生"</f>
        <v>研究生</v>
      </c>
      <c r="G93" s="10" t="str">
        <f>"硕士"</f>
        <v>硕士</v>
      </c>
      <c r="H93" s="10" t="str">
        <f>"海南师范大学"</f>
        <v>海南师范大学</v>
      </c>
      <c r="I93" s="10" t="str">
        <f>"数学与应用数学"</f>
        <v>数学与应用数学</v>
      </c>
      <c r="J93" s="10" t="str">
        <f>"海南师范大学"</f>
        <v>海南师范大学</v>
      </c>
      <c r="K93" s="10" t="str">
        <f>"学科教学（数学）"</f>
        <v>学科教学（数学）</v>
      </c>
      <c r="L93" s="10" t="s">
        <v>60</v>
      </c>
      <c r="M93" s="35"/>
    </row>
    <row r="94" customHeight="1" spans="1:13">
      <c r="A94" s="10">
        <v>91</v>
      </c>
      <c r="B94" s="10" t="s">
        <v>34</v>
      </c>
      <c r="C94" s="10" t="str">
        <f>"申泽武"</f>
        <v>申泽武</v>
      </c>
      <c r="D94" s="10" t="str">
        <f>"男"</f>
        <v>男</v>
      </c>
      <c r="E94" s="10" t="str">
        <f>"河北石家庄"</f>
        <v>河北石家庄</v>
      </c>
      <c r="F94" s="10" t="str">
        <f>"本科"</f>
        <v>本科</v>
      </c>
      <c r="G94" s="10" t="str">
        <f>"学士"</f>
        <v>学士</v>
      </c>
      <c r="H94" s="10" t="str">
        <f>"河北师范大学"</f>
        <v>河北师范大学</v>
      </c>
      <c r="I94" s="10" t="str">
        <f>"数学与应用数学"</f>
        <v>数学与应用数学</v>
      </c>
      <c r="J94" s="10" t="str">
        <f>"无"</f>
        <v>无</v>
      </c>
      <c r="K94" s="10" t="str">
        <f>"无"</f>
        <v>无</v>
      </c>
      <c r="L94" s="10" t="s">
        <v>60</v>
      </c>
      <c r="M94" s="35"/>
    </row>
    <row r="95" customHeight="1" spans="1:13">
      <c r="A95" s="10">
        <v>92</v>
      </c>
      <c r="B95" s="10" t="s">
        <v>19</v>
      </c>
      <c r="C95" s="10" t="str">
        <f>"吴春梅"</f>
        <v>吴春梅</v>
      </c>
      <c r="D95" s="10" t="str">
        <f>"女"</f>
        <v>女</v>
      </c>
      <c r="E95" s="10" t="str">
        <f>"海南海口"</f>
        <v>海南海口</v>
      </c>
      <c r="F95" s="10" t="str">
        <f>"本科"</f>
        <v>本科</v>
      </c>
      <c r="G95" s="10" t="str">
        <f>"学士"</f>
        <v>学士</v>
      </c>
      <c r="H95" s="10" t="str">
        <f>"江西师范大学"</f>
        <v>江西师范大学</v>
      </c>
      <c r="I95" s="10" t="str">
        <f>"历史学"</f>
        <v>历史学</v>
      </c>
      <c r="J95" s="10" t="str">
        <f>"无"</f>
        <v>无</v>
      </c>
      <c r="K95" s="10" t="str">
        <f>"无"</f>
        <v>无</v>
      </c>
      <c r="L95" s="10" t="s">
        <v>60</v>
      </c>
      <c r="M95" s="35"/>
    </row>
    <row r="96" customHeight="1" spans="1:13">
      <c r="A96" s="10">
        <v>93</v>
      </c>
      <c r="B96" s="10" t="s">
        <v>44</v>
      </c>
      <c r="C96" s="10" t="str">
        <f>"王常州"</f>
        <v>王常州</v>
      </c>
      <c r="D96" s="10" t="str">
        <f>"男"</f>
        <v>男</v>
      </c>
      <c r="E96" s="10" t="str">
        <f>"江苏连云港"</f>
        <v>江苏连云港</v>
      </c>
      <c r="F96" s="10" t="str">
        <f>"研究生"</f>
        <v>研究生</v>
      </c>
      <c r="G96" s="10" t="str">
        <f>"硕士"</f>
        <v>硕士</v>
      </c>
      <c r="H96" s="10" t="str">
        <f>"南京工程学院"</f>
        <v>南京工程学院</v>
      </c>
      <c r="I96" s="10" t="str">
        <f>"自动化"</f>
        <v>自动化</v>
      </c>
      <c r="J96" s="10" t="str">
        <f>"海南大学"</f>
        <v>海南大学</v>
      </c>
      <c r="K96" s="10" t="str">
        <f>"公共管理"</f>
        <v>公共管理</v>
      </c>
      <c r="L96" s="10" t="s">
        <v>60</v>
      </c>
      <c r="M96" s="35"/>
    </row>
    <row r="97" customHeight="1" spans="1:13">
      <c r="A97" s="10">
        <v>94</v>
      </c>
      <c r="B97" s="10" t="s">
        <v>59</v>
      </c>
      <c r="C97" s="10" t="str">
        <f>"冯金梅"</f>
        <v>冯金梅</v>
      </c>
      <c r="D97" s="10" t="str">
        <f>"女"</f>
        <v>女</v>
      </c>
      <c r="E97" s="10" t="str">
        <f>"海南琼海"</f>
        <v>海南琼海</v>
      </c>
      <c r="F97" s="10" t="str">
        <f>"本科"</f>
        <v>本科</v>
      </c>
      <c r="G97" s="10" t="str">
        <f>"学士"</f>
        <v>学士</v>
      </c>
      <c r="H97" s="10" t="str">
        <f>"重庆师范大学"</f>
        <v>重庆师范大学</v>
      </c>
      <c r="I97" s="10" t="str">
        <f>"金融数学"</f>
        <v>金融数学</v>
      </c>
      <c r="J97" s="10" t="str">
        <f>"无"</f>
        <v>无</v>
      </c>
      <c r="K97" s="10" t="str">
        <f>"无"</f>
        <v>无</v>
      </c>
      <c r="L97" s="10" t="str">
        <f>"海口市义龙中学"</f>
        <v>海口市义龙中学</v>
      </c>
      <c r="M97" s="35"/>
    </row>
    <row r="98" customHeight="1" spans="1:13">
      <c r="A98" s="10">
        <v>95</v>
      </c>
      <c r="B98" s="10" t="s">
        <v>55</v>
      </c>
      <c r="C98" s="10" t="str">
        <f>"别利婷"</f>
        <v>别利婷</v>
      </c>
      <c r="D98" s="10" t="str">
        <f>"女"</f>
        <v>女</v>
      </c>
      <c r="E98" s="10" t="str">
        <f>"重庆市"</f>
        <v>重庆市</v>
      </c>
      <c r="F98" s="10" t="str">
        <f>"研究生"</f>
        <v>研究生</v>
      </c>
      <c r="G98" s="10" t="str">
        <f>"硕士"</f>
        <v>硕士</v>
      </c>
      <c r="H98" s="10" t="str">
        <f>"重庆理工大学"</f>
        <v>重庆理工大学</v>
      </c>
      <c r="I98" s="10" t="str">
        <f>"电子商务及法律"</f>
        <v>电子商务及法律</v>
      </c>
      <c r="J98" s="10" t="str">
        <f>"华南师范大学"</f>
        <v>华南师范大学</v>
      </c>
      <c r="K98" s="10" t="str">
        <f>"学科教学（历史）"</f>
        <v>学科教学（历史）</v>
      </c>
      <c r="L98" s="10" t="str">
        <f>"海口市义龙中学"</f>
        <v>海口市义龙中学</v>
      </c>
      <c r="M98" s="35"/>
    </row>
    <row r="99" customHeight="1" spans="1:13">
      <c r="A99" s="10">
        <v>96</v>
      </c>
      <c r="B99" s="10" t="s">
        <v>14</v>
      </c>
      <c r="C99" s="10" t="str">
        <f>"焦艺田"</f>
        <v>焦艺田</v>
      </c>
      <c r="D99" s="10" t="str">
        <f>"女"</f>
        <v>女</v>
      </c>
      <c r="E99" s="10" t="str">
        <f>"湖北枣阳"</f>
        <v>湖北枣阳</v>
      </c>
      <c r="F99" s="10" t="str">
        <f>"本科"</f>
        <v>本科</v>
      </c>
      <c r="G99" s="10" t="str">
        <f>"学士"</f>
        <v>学士</v>
      </c>
      <c r="H99" s="10" t="str">
        <f>"海南师范大学"</f>
        <v>海南师范大学</v>
      </c>
      <c r="I99" s="10" t="str">
        <f>"汉语言文学"</f>
        <v>汉语言文学</v>
      </c>
      <c r="J99" s="10" t="str">
        <f>"无"</f>
        <v>无</v>
      </c>
      <c r="K99" s="10" t="str">
        <f>"无"</f>
        <v>无</v>
      </c>
      <c r="L99" s="10" t="s">
        <v>61</v>
      </c>
      <c r="M99" s="35"/>
    </row>
    <row r="100" customHeight="1" spans="1:13">
      <c r="A100" s="10">
        <v>97</v>
      </c>
      <c r="B100" s="10" t="s">
        <v>33</v>
      </c>
      <c r="C100" s="10" t="str">
        <f>"李晓倩"</f>
        <v>李晓倩</v>
      </c>
      <c r="D100" s="10" t="str">
        <f>"女"</f>
        <v>女</v>
      </c>
      <c r="E100" s="10" t="str">
        <f>"海南澄迈"</f>
        <v>海南澄迈</v>
      </c>
      <c r="F100" s="10" t="str">
        <f>"研究生"</f>
        <v>研究生</v>
      </c>
      <c r="G100" s="10" t="str">
        <f>"硕士"</f>
        <v>硕士</v>
      </c>
      <c r="H100" s="10" t="str">
        <f>"沈阳工业大学"</f>
        <v>沈阳工业大学</v>
      </c>
      <c r="I100" s="10" t="str">
        <f>"机械设计制造及其自动化"</f>
        <v>机械设计制造及其自动化</v>
      </c>
      <c r="J100" s="10" t="str">
        <f>"海南师范大学"</f>
        <v>海南师范大学</v>
      </c>
      <c r="K100" s="10" t="str">
        <f>"小学教育（数学）"</f>
        <v>小学教育（数学）</v>
      </c>
      <c r="L100" s="10" t="s">
        <v>61</v>
      </c>
      <c r="M100" s="35"/>
    </row>
    <row r="101" customHeight="1" spans="1:13">
      <c r="A101" s="10">
        <v>98</v>
      </c>
      <c r="B101" s="10" t="s">
        <v>33</v>
      </c>
      <c r="C101" s="10" t="str">
        <f>"马文宣"</f>
        <v>马文宣</v>
      </c>
      <c r="D101" s="10" t="str">
        <f>"女"</f>
        <v>女</v>
      </c>
      <c r="E101" s="10" t="str">
        <f>"山东济宁"</f>
        <v>山东济宁</v>
      </c>
      <c r="F101" s="10" t="str">
        <f>"研究生"</f>
        <v>研究生</v>
      </c>
      <c r="G101" s="10" t="str">
        <f>"硕士"</f>
        <v>硕士</v>
      </c>
      <c r="H101" s="10" t="str">
        <f>"德州学院"</f>
        <v>德州学院</v>
      </c>
      <c r="I101" s="10" t="str">
        <f>"园艺"</f>
        <v>园艺</v>
      </c>
      <c r="J101" s="10" t="str">
        <f>"扬州大学"</f>
        <v>扬州大学</v>
      </c>
      <c r="K101" s="10" t="str">
        <f>"教育学原理"</f>
        <v>教育学原理</v>
      </c>
      <c r="L101" s="10" t="s">
        <v>61</v>
      </c>
      <c r="M101" s="35"/>
    </row>
    <row r="102" customHeight="1" spans="1:13">
      <c r="A102" s="10">
        <v>99</v>
      </c>
      <c r="B102" s="10" t="s">
        <v>30</v>
      </c>
      <c r="C102" s="10" t="str">
        <f>"李云逸"</f>
        <v>李云逸</v>
      </c>
      <c r="D102" s="10" t="str">
        <f>"男"</f>
        <v>男</v>
      </c>
      <c r="E102" s="10" t="str">
        <f>"海南海口"</f>
        <v>海南海口</v>
      </c>
      <c r="F102" s="10" t="str">
        <f>"本科"</f>
        <v>本科</v>
      </c>
      <c r="G102" s="10" t="str">
        <f>"学士"</f>
        <v>学士</v>
      </c>
      <c r="H102" s="10" t="str">
        <f>"琼台师范学院"</f>
        <v>琼台师范学院</v>
      </c>
      <c r="I102" s="10" t="str">
        <f>"体育教育"</f>
        <v>体育教育</v>
      </c>
      <c r="J102" s="10" t="str">
        <f>"无"</f>
        <v>无</v>
      </c>
      <c r="K102" s="10" t="str">
        <f>"无"</f>
        <v>无</v>
      </c>
      <c r="L102" s="10" t="s">
        <v>61</v>
      </c>
      <c r="M102" s="35"/>
    </row>
    <row r="103" customHeight="1" spans="1:13">
      <c r="A103" s="10">
        <v>100</v>
      </c>
      <c r="B103" s="10" t="s">
        <v>17</v>
      </c>
      <c r="C103" s="10" t="str">
        <f>"黄宝琳"</f>
        <v>黄宝琳</v>
      </c>
      <c r="D103" s="10" t="str">
        <f>"女"</f>
        <v>女</v>
      </c>
      <c r="E103" s="10" t="str">
        <f>"海南三亚"</f>
        <v>海南三亚</v>
      </c>
      <c r="F103" s="10" t="str">
        <f>"研究生"</f>
        <v>研究生</v>
      </c>
      <c r="G103" s="10" t="str">
        <f>"硕士"</f>
        <v>硕士</v>
      </c>
      <c r="H103" s="10" t="str">
        <f t="shared" ref="H103:H108" si="29">"海南师范大学"</f>
        <v>海南师范大学</v>
      </c>
      <c r="I103" s="10" t="str">
        <f>"汉语国际教育专业"</f>
        <v>汉语国际教育专业</v>
      </c>
      <c r="J103" s="10" t="str">
        <f>"海南师范大学"</f>
        <v>海南师范大学</v>
      </c>
      <c r="K103" s="10" t="str">
        <f>"学科教学（语文）"</f>
        <v>学科教学（语文）</v>
      </c>
      <c r="L103" s="10" t="s">
        <v>61</v>
      </c>
      <c r="M103" s="35"/>
    </row>
    <row r="104" customHeight="1" spans="1:13">
      <c r="A104" s="10">
        <v>101</v>
      </c>
      <c r="B104" s="10" t="s">
        <v>17</v>
      </c>
      <c r="C104" s="10" t="str">
        <f>"周芯怡"</f>
        <v>周芯怡</v>
      </c>
      <c r="D104" s="10" t="str">
        <f>"女"</f>
        <v>女</v>
      </c>
      <c r="E104" s="10" t="str">
        <f>"海南海口"</f>
        <v>海南海口</v>
      </c>
      <c r="F104" s="10" t="str">
        <f>"本科"</f>
        <v>本科</v>
      </c>
      <c r="G104" s="10" t="str">
        <f>"学士"</f>
        <v>学士</v>
      </c>
      <c r="H104" s="10" t="str">
        <f t="shared" si="29"/>
        <v>海南师范大学</v>
      </c>
      <c r="I104" s="10" t="str">
        <f>"汉语言文学"</f>
        <v>汉语言文学</v>
      </c>
      <c r="J104" s="10" t="str">
        <f>"无"</f>
        <v>无</v>
      </c>
      <c r="K104" s="10" t="str">
        <f>"无"</f>
        <v>无</v>
      </c>
      <c r="L104" s="10" t="s">
        <v>61</v>
      </c>
      <c r="M104" s="35"/>
    </row>
    <row r="105" customHeight="1" spans="1:13">
      <c r="A105" s="10">
        <v>102</v>
      </c>
      <c r="B105" s="10" t="s">
        <v>34</v>
      </c>
      <c r="C105" s="10" t="str">
        <f>"侯安宁"</f>
        <v>侯安宁</v>
      </c>
      <c r="D105" s="10" t="str">
        <f>"女"</f>
        <v>女</v>
      </c>
      <c r="E105" s="10" t="str">
        <f>"山西省陵川县"</f>
        <v>山西省陵川县</v>
      </c>
      <c r="F105" s="10" t="str">
        <f>"本科"</f>
        <v>本科</v>
      </c>
      <c r="G105" s="10" t="str">
        <f>"学士"</f>
        <v>学士</v>
      </c>
      <c r="H105" s="10" t="str">
        <f t="shared" si="29"/>
        <v>海南师范大学</v>
      </c>
      <c r="I105" s="10" t="str">
        <f>"数学与应用数学"</f>
        <v>数学与应用数学</v>
      </c>
      <c r="J105" s="10" t="str">
        <f>"无"</f>
        <v>无</v>
      </c>
      <c r="K105" s="10" t="str">
        <f>"无"</f>
        <v>无</v>
      </c>
      <c r="L105" s="10" t="s">
        <v>61</v>
      </c>
      <c r="M105" s="35"/>
    </row>
    <row r="106" customHeight="1" spans="1:13">
      <c r="A106" s="10">
        <v>103</v>
      </c>
      <c r="B106" s="10" t="s">
        <v>35</v>
      </c>
      <c r="C106" s="10" t="str">
        <f>"曾倩"</f>
        <v>曾倩</v>
      </c>
      <c r="D106" s="10" t="str">
        <f>"女"</f>
        <v>女</v>
      </c>
      <c r="E106" s="10" t="str">
        <f>"湖南衡东"</f>
        <v>湖南衡东</v>
      </c>
      <c r="F106" s="10" t="str">
        <f>"本科"</f>
        <v>本科</v>
      </c>
      <c r="G106" s="10" t="str">
        <f>"学士"</f>
        <v>学士</v>
      </c>
      <c r="H106" s="10" t="str">
        <f t="shared" si="29"/>
        <v>海南师范大学</v>
      </c>
      <c r="I106" s="10" t="str">
        <f>"英语师范"</f>
        <v>英语师范</v>
      </c>
      <c r="J106" s="10" t="str">
        <f>"无"</f>
        <v>无</v>
      </c>
      <c r="K106" s="10" t="str">
        <f>"无"</f>
        <v>无</v>
      </c>
      <c r="L106" s="10" t="s">
        <v>61</v>
      </c>
      <c r="M106" s="35"/>
    </row>
    <row r="107" customHeight="1" spans="1:13">
      <c r="A107" s="10">
        <v>104</v>
      </c>
      <c r="B107" s="10" t="s">
        <v>43</v>
      </c>
      <c r="C107" s="10" t="str">
        <f>"吴雨桐"</f>
        <v>吴雨桐</v>
      </c>
      <c r="D107" s="10" t="str">
        <f t="shared" ref="D107:D117" si="30">"女"</f>
        <v>女</v>
      </c>
      <c r="E107" s="10" t="str">
        <f>"福建龙岩"</f>
        <v>福建龙岩</v>
      </c>
      <c r="F107" s="10" t="str">
        <f>"本科"</f>
        <v>本科</v>
      </c>
      <c r="G107" s="10" t="str">
        <f>"学士"</f>
        <v>学士</v>
      </c>
      <c r="H107" s="10" t="str">
        <f t="shared" si="29"/>
        <v>海南师范大学</v>
      </c>
      <c r="I107" s="10" t="str">
        <f>"思想政治教育"</f>
        <v>思想政治教育</v>
      </c>
      <c r="J107" s="10" t="str">
        <f>"无"</f>
        <v>无</v>
      </c>
      <c r="K107" s="10" t="str">
        <f>"无"</f>
        <v>无</v>
      </c>
      <c r="L107" s="10" t="s">
        <v>61</v>
      </c>
      <c r="M107" s="35"/>
    </row>
    <row r="108" customHeight="1" spans="1:13">
      <c r="A108" s="10">
        <v>105</v>
      </c>
      <c r="B108" s="10" t="s">
        <v>19</v>
      </c>
      <c r="C108" s="10" t="str">
        <f>"王星"</f>
        <v>王星</v>
      </c>
      <c r="D108" s="10" t="str">
        <f t="shared" si="30"/>
        <v>女</v>
      </c>
      <c r="E108" s="10" t="str">
        <f>"湖南张家界"</f>
        <v>湖南张家界</v>
      </c>
      <c r="F108" s="10" t="str">
        <f>"本科"</f>
        <v>本科</v>
      </c>
      <c r="G108" s="10" t="str">
        <f>"学士"</f>
        <v>学士</v>
      </c>
      <c r="H108" s="10" t="str">
        <f t="shared" si="29"/>
        <v>海南师范大学</v>
      </c>
      <c r="I108" s="10" t="str">
        <f>"历史学"</f>
        <v>历史学</v>
      </c>
      <c r="J108" s="10" t="str">
        <f>"无"</f>
        <v>无</v>
      </c>
      <c r="K108" s="10" t="str">
        <f>"无"</f>
        <v>无</v>
      </c>
      <c r="L108" s="10" t="s">
        <v>61</v>
      </c>
      <c r="M108" s="35"/>
    </row>
    <row r="109" customHeight="1" spans="1:13">
      <c r="A109" s="10">
        <v>106</v>
      </c>
      <c r="B109" s="10" t="s">
        <v>44</v>
      </c>
      <c r="C109" s="10" t="str">
        <f>"黎小妹"</f>
        <v>黎小妹</v>
      </c>
      <c r="D109" s="10" t="str">
        <f t="shared" si="30"/>
        <v>女</v>
      </c>
      <c r="E109" s="10" t="str">
        <f>"海南儋州"</f>
        <v>海南儋州</v>
      </c>
      <c r="F109" s="10" t="str">
        <f>"研究生"</f>
        <v>研究生</v>
      </c>
      <c r="G109" s="10" t="str">
        <f>"硕士"</f>
        <v>硕士</v>
      </c>
      <c r="H109" s="10" t="str">
        <f>"山东师范大学"</f>
        <v>山东师范大学</v>
      </c>
      <c r="I109" s="10" t="str">
        <f>"地理科学"</f>
        <v>地理科学</v>
      </c>
      <c r="J109" s="10" t="str">
        <f>"海南师范大学"</f>
        <v>海南师范大学</v>
      </c>
      <c r="K109" s="10" t="str">
        <f>"学科教学（地理）"</f>
        <v>学科教学（地理）</v>
      </c>
      <c r="L109" s="10" t="s">
        <v>61</v>
      </c>
      <c r="M109" s="35"/>
    </row>
    <row r="110" customHeight="1" spans="1:13">
      <c r="A110" s="10">
        <v>107</v>
      </c>
      <c r="B110" s="10" t="s">
        <v>20</v>
      </c>
      <c r="C110" s="10" t="str">
        <f>"陈小婷"</f>
        <v>陈小婷</v>
      </c>
      <c r="D110" s="10" t="str">
        <f t="shared" si="30"/>
        <v>女</v>
      </c>
      <c r="E110" s="10" t="str">
        <f>"海南临高"</f>
        <v>海南临高</v>
      </c>
      <c r="F110" s="10" t="str">
        <f>"本科"</f>
        <v>本科</v>
      </c>
      <c r="G110" s="10" t="str">
        <f>"学士"</f>
        <v>学士</v>
      </c>
      <c r="H110" s="10" t="str">
        <f>"海南师范大学"</f>
        <v>海南师范大学</v>
      </c>
      <c r="I110" s="10" t="str">
        <f>"生物科学"</f>
        <v>生物科学</v>
      </c>
      <c r="J110" s="10" t="str">
        <f>"无"</f>
        <v>无</v>
      </c>
      <c r="K110" s="10" t="str">
        <f>"无"</f>
        <v>无</v>
      </c>
      <c r="L110" s="10" t="s">
        <v>61</v>
      </c>
      <c r="M110" s="35"/>
    </row>
    <row r="111" customHeight="1" spans="1:13">
      <c r="A111" s="10">
        <v>108</v>
      </c>
      <c r="B111" s="10" t="s">
        <v>20</v>
      </c>
      <c r="C111" s="10" t="str">
        <f>"符雨静"</f>
        <v>符雨静</v>
      </c>
      <c r="D111" s="10" t="str">
        <f t="shared" si="30"/>
        <v>女</v>
      </c>
      <c r="E111" s="10" t="str">
        <f>"海南文昌"</f>
        <v>海南文昌</v>
      </c>
      <c r="F111" s="10" t="str">
        <f>"研究生"</f>
        <v>研究生</v>
      </c>
      <c r="G111" s="10" t="str">
        <f>"硕士"</f>
        <v>硕士</v>
      </c>
      <c r="H111" s="10" t="str">
        <f>"海南师范大学"</f>
        <v>海南师范大学</v>
      </c>
      <c r="I111" s="10" t="str">
        <f>"生物科学（师范类）"</f>
        <v>生物科学（师范类）</v>
      </c>
      <c r="J111" s="10" t="str">
        <f>"海南师范大学"</f>
        <v>海南师范大学</v>
      </c>
      <c r="K111" s="10" t="str">
        <f>"学科教学（生物）"</f>
        <v>学科教学（生物）</v>
      </c>
      <c r="L111" s="10" t="s">
        <v>61</v>
      </c>
      <c r="M111" s="35"/>
    </row>
    <row r="112" customHeight="1" spans="1:13">
      <c r="A112" s="10">
        <v>109</v>
      </c>
      <c r="B112" s="10" t="s">
        <v>27</v>
      </c>
      <c r="C112" s="10" t="str">
        <f>"陈月"</f>
        <v>陈月</v>
      </c>
      <c r="D112" s="10" t="str">
        <f t="shared" si="30"/>
        <v>女</v>
      </c>
      <c r="E112" s="10" t="str">
        <f>"海南万宁"</f>
        <v>海南万宁</v>
      </c>
      <c r="F112" s="10" t="str">
        <f t="shared" ref="F112:F117" si="31">"本科"</f>
        <v>本科</v>
      </c>
      <c r="G112" s="10" t="str">
        <f t="shared" ref="G112:G117" si="32">"学士"</f>
        <v>学士</v>
      </c>
      <c r="H112" s="10" t="str">
        <f>"湖南师范大学"</f>
        <v>湖南师范大学</v>
      </c>
      <c r="I112" s="10" t="str">
        <f>"汉语言文学（师范）"</f>
        <v>汉语言文学（师范）</v>
      </c>
      <c r="J112" s="10" t="str">
        <f t="shared" ref="J112:J117" si="33">"无"</f>
        <v>无</v>
      </c>
      <c r="K112" s="10" t="str">
        <f t="shared" ref="K112:K117" si="34">"无"</f>
        <v>无</v>
      </c>
      <c r="L112" s="10" t="s">
        <v>61</v>
      </c>
      <c r="M112" s="35"/>
    </row>
    <row r="113" customHeight="1" spans="1:13">
      <c r="A113" s="10">
        <v>110</v>
      </c>
      <c r="B113" s="10" t="s">
        <v>28</v>
      </c>
      <c r="C113" s="10" t="str">
        <f>"张静瑜"</f>
        <v>张静瑜</v>
      </c>
      <c r="D113" s="10" t="str">
        <f t="shared" si="30"/>
        <v>女</v>
      </c>
      <c r="E113" s="10" t="str">
        <f>"海南昌江"</f>
        <v>海南昌江</v>
      </c>
      <c r="F113" s="10" t="str">
        <f t="shared" si="31"/>
        <v>本科</v>
      </c>
      <c r="G113" s="10" t="str">
        <f t="shared" si="32"/>
        <v>学士</v>
      </c>
      <c r="H113" s="10" t="str">
        <f>"江西师范大学"</f>
        <v>江西师范大学</v>
      </c>
      <c r="I113" s="10" t="str">
        <f>"小学教育"</f>
        <v>小学教育</v>
      </c>
      <c r="J113" s="10" t="str">
        <f t="shared" si="33"/>
        <v>无</v>
      </c>
      <c r="K113" s="10" t="str">
        <f t="shared" si="34"/>
        <v>无</v>
      </c>
      <c r="L113" s="10" t="s">
        <v>61</v>
      </c>
      <c r="M113" s="35"/>
    </row>
    <row r="114" customHeight="1" spans="1:13">
      <c r="A114" s="10">
        <v>111</v>
      </c>
      <c r="B114" s="10" t="s">
        <v>31</v>
      </c>
      <c r="C114" s="10" t="str">
        <f>"张子莹"</f>
        <v>张子莹</v>
      </c>
      <c r="D114" s="10" t="str">
        <f t="shared" si="30"/>
        <v>女</v>
      </c>
      <c r="E114" s="10" t="str">
        <f>"海南昌江"</f>
        <v>海南昌江</v>
      </c>
      <c r="F114" s="10" t="str">
        <f t="shared" si="31"/>
        <v>本科</v>
      </c>
      <c r="G114" s="10" t="str">
        <f t="shared" si="32"/>
        <v>学士</v>
      </c>
      <c r="H114" s="10" t="str">
        <f>"北京体育大学"</f>
        <v>北京体育大学</v>
      </c>
      <c r="I114" s="10" t="str">
        <f>"体育教育"</f>
        <v>体育教育</v>
      </c>
      <c r="J114" s="10" t="str">
        <f t="shared" si="33"/>
        <v>无</v>
      </c>
      <c r="K114" s="10" t="str">
        <f t="shared" si="34"/>
        <v>无</v>
      </c>
      <c r="L114" s="10" t="s">
        <v>61</v>
      </c>
      <c r="M114" s="35"/>
    </row>
    <row r="115" s="27" customFormat="1" customHeight="1" spans="1:13">
      <c r="A115" s="10">
        <v>112</v>
      </c>
      <c r="B115" s="10" t="s">
        <v>23</v>
      </c>
      <c r="C115" s="10" t="str">
        <f>"高歌昱晨"</f>
        <v>高歌昱晨</v>
      </c>
      <c r="D115" s="10" t="str">
        <f t="shared" si="30"/>
        <v>女</v>
      </c>
      <c r="E115" s="10" t="str">
        <f>"河南郑州"</f>
        <v>河南郑州</v>
      </c>
      <c r="F115" s="10" t="str">
        <f t="shared" si="31"/>
        <v>本科</v>
      </c>
      <c r="G115" s="10" t="str">
        <f t="shared" si="32"/>
        <v>学士</v>
      </c>
      <c r="H115" s="10" t="str">
        <f>"赣南师范大学"</f>
        <v>赣南师范大学</v>
      </c>
      <c r="I115" s="10" t="str">
        <f>"教育学"</f>
        <v>教育学</v>
      </c>
      <c r="J115" s="10" t="str">
        <f t="shared" si="33"/>
        <v>无</v>
      </c>
      <c r="K115" s="10" t="str">
        <f t="shared" si="34"/>
        <v>无</v>
      </c>
      <c r="L115" s="10" t="s">
        <v>61</v>
      </c>
      <c r="M115" s="36"/>
    </row>
    <row r="116" s="27" customFormat="1" customHeight="1" spans="1:13">
      <c r="A116" s="10">
        <v>113</v>
      </c>
      <c r="B116" s="10" t="s">
        <v>62</v>
      </c>
      <c r="C116" s="10" t="str">
        <f>"庞贻英"</f>
        <v>庞贻英</v>
      </c>
      <c r="D116" s="10" t="str">
        <f t="shared" si="30"/>
        <v>女</v>
      </c>
      <c r="E116" s="10" t="str">
        <f>"广西玉林"</f>
        <v>广西玉林</v>
      </c>
      <c r="F116" s="10" t="str">
        <f t="shared" si="31"/>
        <v>本科</v>
      </c>
      <c r="G116" s="10" t="str">
        <f t="shared" si="32"/>
        <v>学士</v>
      </c>
      <c r="H116" s="10" t="str">
        <f>"陕西师范大学"</f>
        <v>陕西师范大学</v>
      </c>
      <c r="I116" s="10" t="str">
        <f>"网络与新媒体"</f>
        <v>网络与新媒体</v>
      </c>
      <c r="J116" s="10" t="str">
        <f t="shared" si="33"/>
        <v>无</v>
      </c>
      <c r="K116" s="10" t="str">
        <f t="shared" si="34"/>
        <v>无</v>
      </c>
      <c r="L116" s="10" t="s">
        <v>61</v>
      </c>
      <c r="M116" s="36"/>
    </row>
    <row r="117" s="27" customFormat="1" customHeight="1" spans="1:13">
      <c r="A117" s="10">
        <v>114</v>
      </c>
      <c r="B117" s="10" t="s">
        <v>21</v>
      </c>
      <c r="C117" s="10" t="str">
        <f>"伍一"</f>
        <v>伍一</v>
      </c>
      <c r="D117" s="10" t="str">
        <f>"男"</f>
        <v>男</v>
      </c>
      <c r="E117" s="10" t="str">
        <f>"湖南省安仁县"</f>
        <v>湖南省安仁县</v>
      </c>
      <c r="F117" s="10" t="str">
        <f t="shared" si="31"/>
        <v>本科</v>
      </c>
      <c r="G117" s="10" t="str">
        <f t="shared" si="32"/>
        <v>学士</v>
      </c>
      <c r="H117" s="10" t="str">
        <f>"四川师范大学"</f>
        <v>四川师范大学</v>
      </c>
      <c r="I117" s="10" t="str">
        <f>"思想政治教育专业"</f>
        <v>思想政治教育专业</v>
      </c>
      <c r="J117" s="10" t="str">
        <f t="shared" si="33"/>
        <v>无</v>
      </c>
      <c r="K117" s="10" t="str">
        <f t="shared" si="34"/>
        <v>无</v>
      </c>
      <c r="L117" s="10" t="s">
        <v>61</v>
      </c>
      <c r="M117" s="36"/>
    </row>
    <row r="118" s="27" customFormat="1" customHeight="1" spans="1:13">
      <c r="A118" s="10">
        <v>115</v>
      </c>
      <c r="B118" s="10" t="s">
        <v>63</v>
      </c>
      <c r="C118" s="10" t="str">
        <f>"吕村洋"</f>
        <v>吕村洋</v>
      </c>
      <c r="D118" s="10" t="str">
        <f t="shared" ref="D118:D125" si="35">"女"</f>
        <v>女</v>
      </c>
      <c r="E118" s="10" t="str">
        <f>"河南南阳"</f>
        <v>河南南阳</v>
      </c>
      <c r="F118" s="10" t="str">
        <f>"研究生"</f>
        <v>研究生</v>
      </c>
      <c r="G118" s="10" t="str">
        <f>"硕士"</f>
        <v>硕士</v>
      </c>
      <c r="H118" s="10" t="str">
        <f>"海南师范大学"</f>
        <v>海南师范大学</v>
      </c>
      <c r="I118" s="10" t="str">
        <f>"生物科学"</f>
        <v>生物科学</v>
      </c>
      <c r="J118" s="10" t="str">
        <f>"淮北师范大学"</f>
        <v>淮北师范大学</v>
      </c>
      <c r="K118" s="10" t="str">
        <f>"学科教学（生物）"</f>
        <v>学科教学（生物）</v>
      </c>
      <c r="L118" s="10" t="s">
        <v>61</v>
      </c>
      <c r="M118" s="36"/>
    </row>
    <row r="119" s="27" customFormat="1" customHeight="1" spans="1:13">
      <c r="A119" s="10">
        <v>116</v>
      </c>
      <c r="B119" s="10" t="s">
        <v>14</v>
      </c>
      <c r="C119" s="10" t="str">
        <f>"黄小芳"</f>
        <v>黄小芳</v>
      </c>
      <c r="D119" s="10" t="str">
        <f t="shared" si="35"/>
        <v>女</v>
      </c>
      <c r="E119" s="10" t="str">
        <f>"海南海口"</f>
        <v>海南海口</v>
      </c>
      <c r="F119" s="10" t="str">
        <f>"本科"</f>
        <v>本科</v>
      </c>
      <c r="G119" s="10" t="str">
        <f>"学士"</f>
        <v>学士</v>
      </c>
      <c r="H119" s="10" t="str">
        <f>"海南师范大学"</f>
        <v>海南师范大学</v>
      </c>
      <c r="I119" s="10" t="str">
        <f>"汉语言文学"</f>
        <v>汉语言文学</v>
      </c>
      <c r="J119" s="10" t="str">
        <f>"无"</f>
        <v>无</v>
      </c>
      <c r="K119" s="10" t="str">
        <f>"无"</f>
        <v>无</v>
      </c>
      <c r="L119" s="10" t="s">
        <v>64</v>
      </c>
      <c r="M119" s="36"/>
    </row>
    <row r="120" s="27" customFormat="1" customHeight="1" spans="1:13">
      <c r="A120" s="10">
        <v>117</v>
      </c>
      <c r="B120" s="10" t="s">
        <v>33</v>
      </c>
      <c r="C120" s="10" t="str">
        <f>"林欣叶"</f>
        <v>林欣叶</v>
      </c>
      <c r="D120" s="10" t="str">
        <f t="shared" si="35"/>
        <v>女</v>
      </c>
      <c r="E120" s="10" t="str">
        <f>"海南万宁"</f>
        <v>海南万宁</v>
      </c>
      <c r="F120" s="10" t="str">
        <f>"本科"</f>
        <v>本科</v>
      </c>
      <c r="G120" s="10" t="str">
        <f>"学士"</f>
        <v>学士</v>
      </c>
      <c r="H120" s="10" t="str">
        <f>"江西师范大学"</f>
        <v>江西师范大学</v>
      </c>
      <c r="I120" s="10" t="str">
        <f>"数学与应用数学"</f>
        <v>数学与应用数学</v>
      </c>
      <c r="J120" s="10" t="str">
        <f>"无"</f>
        <v>无</v>
      </c>
      <c r="K120" s="10" t="str">
        <f>"无"</f>
        <v>无</v>
      </c>
      <c r="L120" s="10" t="s">
        <v>64</v>
      </c>
      <c r="M120" s="36"/>
    </row>
    <row r="121" s="27" customFormat="1" customHeight="1" spans="1:13">
      <c r="A121" s="10">
        <v>118</v>
      </c>
      <c r="B121" s="10" t="s">
        <v>26</v>
      </c>
      <c r="C121" s="10" t="str">
        <f>"汪旋"</f>
        <v>汪旋</v>
      </c>
      <c r="D121" s="10" t="str">
        <f t="shared" si="35"/>
        <v>女</v>
      </c>
      <c r="E121" s="10" t="str">
        <f>"安徽滁州"</f>
        <v>安徽滁州</v>
      </c>
      <c r="F121" s="10" t="str">
        <f>"研究生"</f>
        <v>研究生</v>
      </c>
      <c r="G121" s="10" t="str">
        <f>"硕士"</f>
        <v>硕士</v>
      </c>
      <c r="H121" s="10" t="str">
        <f>"安徽工业大学"</f>
        <v>安徽工业大学</v>
      </c>
      <c r="I121" s="10" t="str">
        <f>"英语"</f>
        <v>英语</v>
      </c>
      <c r="J121" s="10" t="str">
        <f>"东北师范大学"</f>
        <v>东北师范大学</v>
      </c>
      <c r="K121" s="10" t="str">
        <f>"英语笔译"</f>
        <v>英语笔译</v>
      </c>
      <c r="L121" s="10" t="s">
        <v>64</v>
      </c>
      <c r="M121" s="36"/>
    </row>
    <row r="122" s="27" customFormat="1" customHeight="1" spans="1:13">
      <c r="A122" s="10">
        <v>119</v>
      </c>
      <c r="B122" s="10" t="s">
        <v>16</v>
      </c>
      <c r="C122" s="10" t="str">
        <f>"王馨悦"</f>
        <v>王馨悦</v>
      </c>
      <c r="D122" s="10" t="str">
        <f t="shared" si="35"/>
        <v>女</v>
      </c>
      <c r="E122" s="10" t="str">
        <f>"海南乐东"</f>
        <v>海南乐东</v>
      </c>
      <c r="F122" s="10" t="str">
        <f>"本科"</f>
        <v>本科</v>
      </c>
      <c r="G122" s="10" t="str">
        <f>"学士"</f>
        <v>学士</v>
      </c>
      <c r="H122" s="10" t="str">
        <f>"吉林师范大学博达学院"</f>
        <v>吉林师范大学博达学院</v>
      </c>
      <c r="I122" s="10" t="str">
        <f>"小学教育专业"</f>
        <v>小学教育专业</v>
      </c>
      <c r="J122" s="10" t="str">
        <f>"无"</f>
        <v>无</v>
      </c>
      <c r="K122" s="10" t="str">
        <f>"无"</f>
        <v>无</v>
      </c>
      <c r="L122" s="10" t="s">
        <v>64</v>
      </c>
      <c r="M122" s="36"/>
    </row>
    <row r="123" s="27" customFormat="1" customHeight="1" spans="1:13">
      <c r="A123" s="10">
        <v>120</v>
      </c>
      <c r="B123" s="10" t="s">
        <v>14</v>
      </c>
      <c r="C123" s="10" t="str">
        <f>"王梦颖"</f>
        <v>王梦颖</v>
      </c>
      <c r="D123" s="10" t="str">
        <f t="shared" si="35"/>
        <v>女</v>
      </c>
      <c r="E123" s="10" t="str">
        <f>"海南海口"</f>
        <v>海南海口</v>
      </c>
      <c r="F123" s="10" t="str">
        <f t="shared" ref="F123:F128" si="36">"本科"</f>
        <v>本科</v>
      </c>
      <c r="G123" s="10" t="str">
        <f t="shared" ref="G123:G128" si="37">"学士"</f>
        <v>学士</v>
      </c>
      <c r="H123" s="10" t="str">
        <f>"南宁师范大学"</f>
        <v>南宁师范大学</v>
      </c>
      <c r="I123" s="10" t="str">
        <f>"汉语言文学"</f>
        <v>汉语言文学</v>
      </c>
      <c r="J123" s="10" t="str">
        <f t="shared" ref="J123:J128" si="38">"无"</f>
        <v>无</v>
      </c>
      <c r="K123" s="10" t="str">
        <f t="shared" ref="K123:K128" si="39">"无"</f>
        <v>无</v>
      </c>
      <c r="L123" s="10" t="s">
        <v>65</v>
      </c>
      <c r="M123" s="36"/>
    </row>
    <row r="124" s="27" customFormat="1" customHeight="1" spans="1:13">
      <c r="A124" s="10">
        <v>121</v>
      </c>
      <c r="B124" s="10" t="s">
        <v>14</v>
      </c>
      <c r="C124" s="10" t="str">
        <f>"龚嘉怡"</f>
        <v>龚嘉怡</v>
      </c>
      <c r="D124" s="10" t="str">
        <f t="shared" si="35"/>
        <v>女</v>
      </c>
      <c r="E124" s="10" t="str">
        <f>"江西南昌"</f>
        <v>江西南昌</v>
      </c>
      <c r="F124" s="10" t="str">
        <f t="shared" si="36"/>
        <v>本科</v>
      </c>
      <c r="G124" s="10" t="str">
        <f t="shared" si="37"/>
        <v>学士</v>
      </c>
      <c r="H124" s="10" t="str">
        <f>"海南师范大学"</f>
        <v>海南师范大学</v>
      </c>
      <c r="I124" s="10" t="str">
        <f>"汉语言文学"</f>
        <v>汉语言文学</v>
      </c>
      <c r="J124" s="10" t="str">
        <f t="shared" si="38"/>
        <v>无</v>
      </c>
      <c r="K124" s="10" t="str">
        <f t="shared" si="39"/>
        <v>无</v>
      </c>
      <c r="L124" s="10" t="s">
        <v>65</v>
      </c>
      <c r="M124" s="36"/>
    </row>
    <row r="125" s="27" customFormat="1" customHeight="1" spans="1:13">
      <c r="A125" s="10">
        <v>122</v>
      </c>
      <c r="B125" s="10" t="s">
        <v>33</v>
      </c>
      <c r="C125" s="10" t="str">
        <f>"潘丁洁"</f>
        <v>潘丁洁</v>
      </c>
      <c r="D125" s="10" t="str">
        <f t="shared" si="35"/>
        <v>女</v>
      </c>
      <c r="E125" s="10" t="str">
        <f>"海南海口"</f>
        <v>海南海口</v>
      </c>
      <c r="F125" s="10" t="str">
        <f t="shared" si="36"/>
        <v>本科</v>
      </c>
      <c r="G125" s="10" t="str">
        <f t="shared" si="37"/>
        <v>学士</v>
      </c>
      <c r="H125" s="10" t="str">
        <f>"江西师范大学"</f>
        <v>江西师范大学</v>
      </c>
      <c r="I125" s="10" t="str">
        <f>"小学教育（数学方向）"</f>
        <v>小学教育（数学方向）</v>
      </c>
      <c r="J125" s="10" t="str">
        <f t="shared" si="38"/>
        <v>无</v>
      </c>
      <c r="K125" s="10" t="str">
        <f t="shared" si="39"/>
        <v>无</v>
      </c>
      <c r="L125" s="10" t="s">
        <v>65</v>
      </c>
      <c r="M125" s="36"/>
    </row>
    <row r="126" s="27" customFormat="1" customHeight="1" spans="1:13">
      <c r="A126" s="10">
        <v>123</v>
      </c>
      <c r="B126" s="10" t="s">
        <v>33</v>
      </c>
      <c r="C126" s="10" t="str">
        <f>"王琳轲"</f>
        <v>王琳轲</v>
      </c>
      <c r="D126" s="10" t="str">
        <f>"男"</f>
        <v>男</v>
      </c>
      <c r="E126" s="10" t="str">
        <f>"河南洛阳"</f>
        <v>河南洛阳</v>
      </c>
      <c r="F126" s="10" t="str">
        <f t="shared" si="36"/>
        <v>本科</v>
      </c>
      <c r="G126" s="10" t="str">
        <f t="shared" si="37"/>
        <v>学士</v>
      </c>
      <c r="H126" s="10" t="str">
        <f>"海南师范大学"</f>
        <v>海南师范大学</v>
      </c>
      <c r="I126" s="10" t="str">
        <f>"小学教育（数学与科学方向）"</f>
        <v>小学教育（数学与科学方向）</v>
      </c>
      <c r="J126" s="10" t="str">
        <f t="shared" si="38"/>
        <v>无</v>
      </c>
      <c r="K126" s="10" t="str">
        <f t="shared" si="39"/>
        <v>无</v>
      </c>
      <c r="L126" s="10" t="s">
        <v>65</v>
      </c>
      <c r="M126" s="36"/>
    </row>
    <row r="127" s="27" customFormat="1" customHeight="1" spans="1:13">
      <c r="A127" s="10">
        <v>124</v>
      </c>
      <c r="B127" s="10" t="s">
        <v>26</v>
      </c>
      <c r="C127" s="10" t="str">
        <f>"苏梦婷"</f>
        <v>苏梦婷</v>
      </c>
      <c r="D127" s="10" t="str">
        <f>"女"</f>
        <v>女</v>
      </c>
      <c r="E127" s="10" t="str">
        <f>"江西景德镇"</f>
        <v>江西景德镇</v>
      </c>
      <c r="F127" s="10" t="str">
        <f t="shared" si="36"/>
        <v>本科</v>
      </c>
      <c r="G127" s="10" t="str">
        <f t="shared" si="37"/>
        <v>学士</v>
      </c>
      <c r="H127" s="10" t="str">
        <f>"海南师范大学"</f>
        <v>海南师范大学</v>
      </c>
      <c r="I127" s="10" t="str">
        <f>"英语师范"</f>
        <v>英语师范</v>
      </c>
      <c r="J127" s="10" t="str">
        <f t="shared" si="38"/>
        <v>无</v>
      </c>
      <c r="K127" s="10" t="str">
        <f t="shared" si="39"/>
        <v>无</v>
      </c>
      <c r="L127" s="10" t="s">
        <v>65</v>
      </c>
      <c r="M127" s="36"/>
    </row>
    <row r="128" s="27" customFormat="1" customHeight="1" spans="1:13">
      <c r="A128" s="10">
        <v>125</v>
      </c>
      <c r="B128" s="10" t="s">
        <v>16</v>
      </c>
      <c r="C128" s="10" t="str">
        <f>"刘佳思"</f>
        <v>刘佳思</v>
      </c>
      <c r="D128" s="10" t="str">
        <f>"女"</f>
        <v>女</v>
      </c>
      <c r="E128" s="10" t="str">
        <f>"海南万宁"</f>
        <v>海南万宁</v>
      </c>
      <c r="F128" s="10" t="str">
        <f t="shared" si="36"/>
        <v>本科</v>
      </c>
      <c r="G128" s="10" t="str">
        <f t="shared" si="37"/>
        <v>学士</v>
      </c>
      <c r="H128" s="10" t="str">
        <f>"成都文理学院"</f>
        <v>成都文理学院</v>
      </c>
      <c r="I128" s="10" t="str">
        <f>"汉语言文学"</f>
        <v>汉语言文学</v>
      </c>
      <c r="J128" s="10" t="str">
        <f t="shared" si="38"/>
        <v>无</v>
      </c>
      <c r="K128" s="10" t="str">
        <f t="shared" si="39"/>
        <v>无</v>
      </c>
      <c r="L128" s="10" t="s">
        <v>65</v>
      </c>
      <c r="M128" s="36"/>
    </row>
    <row r="129" s="27" customFormat="1" customHeight="1" spans="1:13">
      <c r="A129" s="10">
        <v>126</v>
      </c>
      <c r="B129" s="10" t="s">
        <v>41</v>
      </c>
      <c r="C129" s="10" t="str">
        <f>"杨心雨"</f>
        <v>杨心雨</v>
      </c>
      <c r="D129" s="10" t="str">
        <f>"女"</f>
        <v>女</v>
      </c>
      <c r="E129" s="10" t="str">
        <f>"湖北宜昌"</f>
        <v>湖北宜昌</v>
      </c>
      <c r="F129" s="10" t="str">
        <f>"研究生"</f>
        <v>研究生</v>
      </c>
      <c r="G129" s="10" t="str">
        <f>"硕士"</f>
        <v>硕士</v>
      </c>
      <c r="H129" s="10" t="str">
        <f>"湖北师范大学文理学院"</f>
        <v>湖北师范大学文理学院</v>
      </c>
      <c r="I129" s="10" t="str">
        <f>"英语教育"</f>
        <v>英语教育</v>
      </c>
      <c r="J129" s="10" t="str">
        <f>"三峡大学"</f>
        <v>三峡大学</v>
      </c>
      <c r="K129" s="10" t="str">
        <f>"学科教学（英语）"</f>
        <v>学科教学（英语）</v>
      </c>
      <c r="L129" s="10" t="s">
        <v>65</v>
      </c>
      <c r="M129" s="36"/>
    </row>
    <row r="130" s="27" customFormat="1" customHeight="1" spans="1:13">
      <c r="A130" s="10">
        <v>127</v>
      </c>
      <c r="B130" s="10" t="s">
        <v>66</v>
      </c>
      <c r="C130" s="10" t="str">
        <f>"卢鹏"</f>
        <v>卢鹏</v>
      </c>
      <c r="D130" s="10" t="str">
        <f>"男"</f>
        <v>男</v>
      </c>
      <c r="E130" s="10" t="str">
        <f>"黑龙江哈尔滨"</f>
        <v>黑龙江哈尔滨</v>
      </c>
      <c r="F130" s="10" t="str">
        <f>"本科"</f>
        <v>本科</v>
      </c>
      <c r="G130" s="10" t="str">
        <f>"学士"</f>
        <v>学士</v>
      </c>
      <c r="H130" s="10" t="str">
        <f>"武汉体育学院"</f>
        <v>武汉体育学院</v>
      </c>
      <c r="I130" s="10" t="str">
        <f>"体育经济与管理"</f>
        <v>体育经济与管理</v>
      </c>
      <c r="J130" s="10" t="str">
        <f>"无"</f>
        <v>无</v>
      </c>
      <c r="K130" s="10" t="str">
        <f>"无"</f>
        <v>无</v>
      </c>
      <c r="L130" s="10" t="s">
        <v>65</v>
      </c>
      <c r="M130" s="36"/>
    </row>
    <row r="138" hidden="1" customHeight="1"/>
    <row r="139" hidden="1" customHeight="1"/>
    <row r="140" hidden="1" customHeight="1"/>
    <row r="141" hidden="1" customHeight="1"/>
    <row r="142" hidden="1" customHeight="1"/>
  </sheetData>
  <autoFilter ref="A3:Q130">
    <extLst/>
  </autoFilter>
  <sortState ref="A3:W158">
    <sortCondition ref="L3"/>
  </sortState>
  <mergeCells count="2">
    <mergeCell ref="A1:L1"/>
    <mergeCell ref="A2:L2"/>
  </mergeCells>
  <conditionalFormatting sqref="C$1:C$1048576">
    <cfRule type="duplicateValues" dxfId="0" priority="1"/>
  </conditionalFormatting>
  <conditionalFormatting sqref="C3:C1048576">
    <cfRule type="duplicateValues" dxfId="1" priority="2"/>
  </conditionalFormatting>
  <pageMargins left="0.747916666666667" right="0.550694444444444" top="0.354166666666667" bottom="0.0784722222222222" header="0.511805555555556" footer="0.0388888888888889"/>
  <pageSetup paperSize="9" scale="97" fitToHeight="0" orientation="landscape" horizontalDpi="600"/>
  <headerFooter/>
  <ignoredErrors>
    <ignoredError sqref="D95 D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5"/>
  <sheetViews>
    <sheetView workbookViewId="0">
      <pane ySplit="2" topLeftCell="A124" activePane="bottomLeft" state="frozen"/>
      <selection/>
      <selection pane="bottomLeft" activeCell="C125" sqref="C125"/>
    </sheetView>
  </sheetViews>
  <sheetFormatPr defaultColWidth="8.88888888888889" defaultRowHeight="14.4"/>
  <cols>
    <col min="1" max="1" width="4.66666666666667" customWidth="1"/>
    <col min="4" max="4" width="8.88888888888889" customWidth="1"/>
    <col min="7" max="7" width="6.88888888888889" customWidth="1"/>
    <col min="8" max="8" width="8.66666666666667" customWidth="1"/>
    <col min="9" max="9" width="7.77777777777778" customWidth="1"/>
    <col min="10" max="10" width="12" customWidth="1"/>
    <col min="11" max="11" width="11.8888888888889" customWidth="1"/>
    <col min="12" max="12" width="18" customWidth="1"/>
    <col min="13" max="13" width="7.22222222222222" style="1" customWidth="1"/>
    <col min="14" max="14" width="6.11111111111111" style="2" customWidth="1"/>
  </cols>
  <sheetData>
    <row r="1" ht="25.8" spans="1:14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/>
      <c r="N1" s="16"/>
    </row>
    <row r="2" ht="35" customHeight="1" spans="1:14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9</v>
      </c>
      <c r="G2" s="4" t="s">
        <v>10</v>
      </c>
      <c r="H2" s="5" t="s">
        <v>11</v>
      </c>
      <c r="I2" s="17" t="s">
        <v>12</v>
      </c>
      <c r="J2" s="4" t="s">
        <v>13</v>
      </c>
      <c r="K2" s="4" t="s">
        <v>68</v>
      </c>
      <c r="L2" s="17" t="s">
        <v>69</v>
      </c>
      <c r="M2" s="17" t="s">
        <v>70</v>
      </c>
      <c r="N2" s="4" t="s">
        <v>71</v>
      </c>
    </row>
    <row r="3" ht="30" customHeight="1" spans="1:14">
      <c r="A3" s="6">
        <v>1</v>
      </c>
      <c r="B3" s="7" t="s">
        <v>14</v>
      </c>
      <c r="C3" s="7" t="s">
        <v>72</v>
      </c>
      <c r="D3" s="7" t="s">
        <v>73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15</v>
      </c>
      <c r="K3" s="6" t="s">
        <v>79</v>
      </c>
      <c r="L3" s="6"/>
      <c r="M3" s="18" t="s">
        <v>80</v>
      </c>
      <c r="N3" s="19" t="s">
        <v>80</v>
      </c>
    </row>
    <row r="4" ht="30" customHeight="1" spans="1:14">
      <c r="A4" s="8">
        <v>2</v>
      </c>
      <c r="B4" s="8" t="s">
        <v>16</v>
      </c>
      <c r="C4" s="8" t="s">
        <v>81</v>
      </c>
      <c r="D4" s="8" t="s">
        <v>73</v>
      </c>
      <c r="E4" s="8" t="s">
        <v>82</v>
      </c>
      <c r="F4" s="8" t="s">
        <v>83</v>
      </c>
      <c r="G4" s="8" t="s">
        <v>84</v>
      </c>
      <c r="H4" s="8" t="s">
        <v>85</v>
      </c>
      <c r="I4" s="8" t="s">
        <v>85</v>
      </c>
      <c r="J4" s="8" t="s">
        <v>15</v>
      </c>
      <c r="K4" s="8" t="s">
        <v>79</v>
      </c>
      <c r="L4" s="8"/>
      <c r="M4" s="17" t="s">
        <v>80</v>
      </c>
      <c r="N4" s="4" t="s">
        <v>80</v>
      </c>
    </row>
    <row r="5" ht="30" customHeight="1" spans="1:14">
      <c r="A5" s="8">
        <v>3</v>
      </c>
      <c r="B5" s="8" t="s">
        <v>17</v>
      </c>
      <c r="C5" s="8" t="s">
        <v>86</v>
      </c>
      <c r="D5" s="8" t="s">
        <v>73</v>
      </c>
      <c r="E5" s="8" t="s">
        <v>87</v>
      </c>
      <c r="F5" s="8" t="s">
        <v>83</v>
      </c>
      <c r="G5" s="8" t="s">
        <v>88</v>
      </c>
      <c r="H5" s="8" t="s">
        <v>85</v>
      </c>
      <c r="I5" s="8" t="s">
        <v>85</v>
      </c>
      <c r="J5" s="9" t="s">
        <v>18</v>
      </c>
      <c r="K5" s="8" t="s">
        <v>79</v>
      </c>
      <c r="L5" s="8"/>
      <c r="M5" s="17" t="s">
        <v>80</v>
      </c>
      <c r="N5" s="4" t="s">
        <v>80</v>
      </c>
    </row>
    <row r="6" ht="30" customHeight="1" spans="1:14">
      <c r="A6" s="8">
        <v>4</v>
      </c>
      <c r="B6" s="9" t="s">
        <v>20</v>
      </c>
      <c r="C6" s="9" t="s">
        <v>89</v>
      </c>
      <c r="D6" s="9" t="s">
        <v>73</v>
      </c>
      <c r="E6" s="9" t="s">
        <v>90</v>
      </c>
      <c r="F6" s="9" t="s">
        <v>91</v>
      </c>
      <c r="G6" s="9" t="s">
        <v>92</v>
      </c>
      <c r="H6" s="9" t="s">
        <v>85</v>
      </c>
      <c r="I6" s="9" t="s">
        <v>85</v>
      </c>
      <c r="J6" s="9" t="s">
        <v>18</v>
      </c>
      <c r="K6" s="8" t="s">
        <v>79</v>
      </c>
      <c r="L6" s="8"/>
      <c r="M6" s="17" t="s">
        <v>80</v>
      </c>
      <c r="N6" s="4" t="s">
        <v>80</v>
      </c>
    </row>
    <row r="7" ht="30" customHeight="1" spans="1:14">
      <c r="A7" s="8">
        <v>5</v>
      </c>
      <c r="B7" s="8" t="s">
        <v>21</v>
      </c>
      <c r="C7" s="8" t="s">
        <v>93</v>
      </c>
      <c r="D7" s="8" t="s">
        <v>73</v>
      </c>
      <c r="E7" s="8" t="s">
        <v>94</v>
      </c>
      <c r="F7" s="8" t="s">
        <v>95</v>
      </c>
      <c r="G7" s="8" t="s">
        <v>96</v>
      </c>
      <c r="H7" s="8" t="s">
        <v>97</v>
      </c>
      <c r="I7" s="8" t="s">
        <v>98</v>
      </c>
      <c r="J7" s="8" t="s">
        <v>18</v>
      </c>
      <c r="K7" s="8" t="s">
        <v>79</v>
      </c>
      <c r="L7" s="8"/>
      <c r="M7" s="17" t="s">
        <v>80</v>
      </c>
      <c r="N7" s="4" t="s">
        <v>80</v>
      </c>
    </row>
    <row r="8" ht="30" customHeight="1" spans="1:14">
      <c r="A8" s="8">
        <v>6</v>
      </c>
      <c r="B8" s="8" t="s">
        <v>22</v>
      </c>
      <c r="C8" s="8" t="s">
        <v>99</v>
      </c>
      <c r="D8" s="8" t="s">
        <v>73</v>
      </c>
      <c r="E8" s="8" t="s">
        <v>90</v>
      </c>
      <c r="F8" s="8" t="s">
        <v>100</v>
      </c>
      <c r="G8" s="8" t="s">
        <v>101</v>
      </c>
      <c r="H8" s="8" t="s">
        <v>85</v>
      </c>
      <c r="I8" s="8" t="s">
        <v>85</v>
      </c>
      <c r="J8" s="8" t="s">
        <v>18</v>
      </c>
      <c r="K8" s="8" t="s">
        <v>79</v>
      </c>
      <c r="L8" s="8"/>
      <c r="M8" s="17" t="s">
        <v>80</v>
      </c>
      <c r="N8" s="4" t="s">
        <v>80</v>
      </c>
    </row>
    <row r="9" ht="30" customHeight="1" spans="1:14">
      <c r="A9" s="8">
        <v>7</v>
      </c>
      <c r="B9" s="10" t="s">
        <v>23</v>
      </c>
      <c r="C9" s="10" t="s">
        <v>102</v>
      </c>
      <c r="D9" s="10" t="s">
        <v>73</v>
      </c>
      <c r="E9" s="10" t="s">
        <v>94</v>
      </c>
      <c r="F9" s="10" t="s">
        <v>103</v>
      </c>
      <c r="G9" s="10" t="s">
        <v>84</v>
      </c>
      <c r="H9" s="10" t="s">
        <v>85</v>
      </c>
      <c r="I9" s="10" t="s">
        <v>85</v>
      </c>
      <c r="J9" s="10" t="s">
        <v>18</v>
      </c>
      <c r="K9" s="8" t="s">
        <v>79</v>
      </c>
      <c r="L9" s="8"/>
      <c r="M9" s="17" t="s">
        <v>80</v>
      </c>
      <c r="N9" s="4" t="s">
        <v>80</v>
      </c>
    </row>
    <row r="10" ht="30" customHeight="1" spans="1:14">
      <c r="A10" s="8">
        <v>8</v>
      </c>
      <c r="B10" s="9" t="s">
        <v>14</v>
      </c>
      <c r="C10" s="9" t="s">
        <v>104</v>
      </c>
      <c r="D10" s="9" t="s">
        <v>73</v>
      </c>
      <c r="E10" s="9" t="s">
        <v>94</v>
      </c>
      <c r="F10" s="9" t="s">
        <v>105</v>
      </c>
      <c r="G10" s="9" t="s">
        <v>106</v>
      </c>
      <c r="H10" s="9" t="s">
        <v>83</v>
      </c>
      <c r="I10" s="9" t="s">
        <v>107</v>
      </c>
      <c r="J10" s="9" t="s">
        <v>24</v>
      </c>
      <c r="K10" s="8" t="s">
        <v>79</v>
      </c>
      <c r="L10" s="8"/>
      <c r="M10" s="17" t="s">
        <v>80</v>
      </c>
      <c r="N10" s="4" t="s">
        <v>80</v>
      </c>
    </row>
    <row r="11" ht="30" customHeight="1" spans="1:14">
      <c r="A11" s="8">
        <v>9</v>
      </c>
      <c r="B11" s="9" t="s">
        <v>14</v>
      </c>
      <c r="C11" s="9" t="s">
        <v>108</v>
      </c>
      <c r="D11" s="9" t="s">
        <v>73</v>
      </c>
      <c r="E11" s="9" t="s">
        <v>109</v>
      </c>
      <c r="F11" s="9" t="s">
        <v>83</v>
      </c>
      <c r="G11" s="9" t="s">
        <v>110</v>
      </c>
      <c r="H11" s="9" t="s">
        <v>85</v>
      </c>
      <c r="I11" s="9" t="s">
        <v>85</v>
      </c>
      <c r="J11" s="9" t="s">
        <v>24</v>
      </c>
      <c r="K11" s="8" t="s">
        <v>79</v>
      </c>
      <c r="L11" s="8"/>
      <c r="M11" s="17" t="s">
        <v>80</v>
      </c>
      <c r="N11" s="4" t="s">
        <v>80</v>
      </c>
    </row>
    <row r="12" ht="30" customHeight="1" spans="1:14">
      <c r="A12" s="8">
        <v>10</v>
      </c>
      <c r="B12" s="9" t="s">
        <v>25</v>
      </c>
      <c r="C12" s="9" t="s">
        <v>111</v>
      </c>
      <c r="D12" s="9" t="s">
        <v>73</v>
      </c>
      <c r="E12" s="9" t="s">
        <v>112</v>
      </c>
      <c r="F12" s="9" t="s">
        <v>83</v>
      </c>
      <c r="G12" s="9" t="s">
        <v>113</v>
      </c>
      <c r="H12" s="9" t="s">
        <v>85</v>
      </c>
      <c r="I12" s="9" t="s">
        <v>85</v>
      </c>
      <c r="J12" s="9" t="s">
        <v>24</v>
      </c>
      <c r="K12" s="8" t="s">
        <v>79</v>
      </c>
      <c r="L12" s="8"/>
      <c r="M12" s="17" t="s">
        <v>80</v>
      </c>
      <c r="N12" s="4" t="s">
        <v>80</v>
      </c>
    </row>
    <row r="13" ht="30" customHeight="1" spans="1:14">
      <c r="A13" s="11">
        <v>11</v>
      </c>
      <c r="B13" s="11" t="s">
        <v>26</v>
      </c>
      <c r="C13" s="11" t="s">
        <v>114</v>
      </c>
      <c r="D13" s="11" t="s">
        <v>73</v>
      </c>
      <c r="E13" s="11" t="s">
        <v>115</v>
      </c>
      <c r="F13" s="11" t="s">
        <v>116</v>
      </c>
      <c r="G13" s="11" t="s">
        <v>117</v>
      </c>
      <c r="H13" s="11" t="s">
        <v>85</v>
      </c>
      <c r="I13" s="11" t="s">
        <v>85</v>
      </c>
      <c r="J13" s="11" t="s">
        <v>24</v>
      </c>
      <c r="K13" s="11" t="s">
        <v>79</v>
      </c>
      <c r="L13" s="11" t="s">
        <v>80</v>
      </c>
      <c r="M13" s="20" t="s">
        <v>80</v>
      </c>
      <c r="N13" s="21" t="s">
        <v>80</v>
      </c>
    </row>
    <row r="14" ht="30" customHeight="1" spans="1:14">
      <c r="A14" s="8">
        <v>12</v>
      </c>
      <c r="B14" s="8" t="s">
        <v>27</v>
      </c>
      <c r="C14" s="8" t="s">
        <v>118</v>
      </c>
      <c r="D14" s="8" t="s">
        <v>73</v>
      </c>
      <c r="E14" s="8" t="s">
        <v>119</v>
      </c>
      <c r="F14" s="8" t="s">
        <v>120</v>
      </c>
      <c r="G14" s="8" t="s">
        <v>121</v>
      </c>
      <c r="H14" s="8" t="s">
        <v>85</v>
      </c>
      <c r="I14" s="8" t="s">
        <v>85</v>
      </c>
      <c r="J14" s="8" t="s">
        <v>24</v>
      </c>
      <c r="K14" s="8" t="s">
        <v>79</v>
      </c>
      <c r="L14" s="8"/>
      <c r="M14" s="17" t="s">
        <v>80</v>
      </c>
      <c r="N14" s="4" t="s">
        <v>80</v>
      </c>
    </row>
    <row r="15" ht="30" customHeight="1" spans="1:14">
      <c r="A15" s="8">
        <v>13</v>
      </c>
      <c r="B15" s="10" t="s">
        <v>28</v>
      </c>
      <c r="C15" s="10" t="s">
        <v>122</v>
      </c>
      <c r="D15" s="10" t="s">
        <v>73</v>
      </c>
      <c r="E15" s="10" t="s">
        <v>90</v>
      </c>
      <c r="F15" s="10" t="s">
        <v>123</v>
      </c>
      <c r="G15" s="10" t="s">
        <v>124</v>
      </c>
      <c r="H15" s="10" t="s">
        <v>85</v>
      </c>
      <c r="I15" s="10" t="s">
        <v>85</v>
      </c>
      <c r="J15" s="10" t="s">
        <v>24</v>
      </c>
      <c r="K15" s="8" t="s">
        <v>79</v>
      </c>
      <c r="L15" s="8"/>
      <c r="M15" s="17" t="s">
        <v>80</v>
      </c>
      <c r="N15" s="4" t="s">
        <v>80</v>
      </c>
    </row>
    <row r="16" ht="30" customHeight="1" spans="1:14">
      <c r="A16" s="8">
        <v>14</v>
      </c>
      <c r="B16" s="9" t="s">
        <v>25</v>
      </c>
      <c r="C16" s="9" t="s">
        <v>125</v>
      </c>
      <c r="D16" s="9" t="s">
        <v>73</v>
      </c>
      <c r="E16" s="9" t="s">
        <v>90</v>
      </c>
      <c r="F16" s="9" t="s">
        <v>126</v>
      </c>
      <c r="G16" s="9" t="s">
        <v>124</v>
      </c>
      <c r="H16" s="9" t="s">
        <v>85</v>
      </c>
      <c r="I16" s="9" t="s">
        <v>85</v>
      </c>
      <c r="J16" s="9" t="s">
        <v>29</v>
      </c>
      <c r="K16" s="8" t="s">
        <v>79</v>
      </c>
      <c r="L16" s="8"/>
      <c r="M16" s="17" t="s">
        <v>80</v>
      </c>
      <c r="N16" s="4" t="s">
        <v>80</v>
      </c>
    </row>
    <row r="17" ht="30" customHeight="1" spans="1:14">
      <c r="A17" s="8">
        <v>15</v>
      </c>
      <c r="B17" s="10" t="s">
        <v>25</v>
      </c>
      <c r="C17" s="10" t="s">
        <v>127</v>
      </c>
      <c r="D17" s="10" t="s">
        <v>73</v>
      </c>
      <c r="E17" s="10" t="s">
        <v>90</v>
      </c>
      <c r="F17" s="10" t="s">
        <v>83</v>
      </c>
      <c r="G17" s="10" t="s">
        <v>128</v>
      </c>
      <c r="H17" s="10" t="s">
        <v>85</v>
      </c>
      <c r="I17" s="10" t="s">
        <v>85</v>
      </c>
      <c r="J17" s="10" t="s">
        <v>29</v>
      </c>
      <c r="K17" s="8" t="s">
        <v>79</v>
      </c>
      <c r="L17" s="8"/>
      <c r="M17" s="17" t="s">
        <v>80</v>
      </c>
      <c r="N17" s="4" t="s">
        <v>80</v>
      </c>
    </row>
    <row r="18" ht="30" customHeight="1" spans="1:14">
      <c r="A18" s="8">
        <v>16</v>
      </c>
      <c r="B18" s="9" t="s">
        <v>30</v>
      </c>
      <c r="C18" s="9" t="s">
        <v>129</v>
      </c>
      <c r="D18" s="9" t="s">
        <v>130</v>
      </c>
      <c r="E18" s="9" t="s">
        <v>131</v>
      </c>
      <c r="F18" s="9" t="s">
        <v>132</v>
      </c>
      <c r="G18" s="9" t="s">
        <v>133</v>
      </c>
      <c r="H18" s="9" t="s">
        <v>85</v>
      </c>
      <c r="I18" s="9" t="s">
        <v>85</v>
      </c>
      <c r="J18" s="9" t="s">
        <v>29</v>
      </c>
      <c r="K18" s="8" t="s">
        <v>79</v>
      </c>
      <c r="L18" s="8"/>
      <c r="M18" s="17" t="s">
        <v>80</v>
      </c>
      <c r="N18" s="4" t="s">
        <v>80</v>
      </c>
    </row>
    <row r="19" ht="30" customHeight="1" spans="1:14">
      <c r="A19" s="8">
        <v>17</v>
      </c>
      <c r="B19" s="8" t="s">
        <v>28</v>
      </c>
      <c r="C19" s="8" t="s">
        <v>134</v>
      </c>
      <c r="D19" s="8" t="s">
        <v>73</v>
      </c>
      <c r="E19" s="8" t="s">
        <v>135</v>
      </c>
      <c r="F19" s="8" t="s">
        <v>136</v>
      </c>
      <c r="G19" s="8" t="s">
        <v>137</v>
      </c>
      <c r="H19" s="8" t="s">
        <v>85</v>
      </c>
      <c r="I19" s="8" t="s">
        <v>85</v>
      </c>
      <c r="J19" s="8" t="s">
        <v>29</v>
      </c>
      <c r="K19" s="8" t="s">
        <v>79</v>
      </c>
      <c r="L19" s="8"/>
      <c r="M19" s="17" t="s">
        <v>80</v>
      </c>
      <c r="N19" s="4" t="s">
        <v>80</v>
      </c>
    </row>
    <row r="20" ht="30" customHeight="1" spans="1:14">
      <c r="A20" s="8">
        <v>18</v>
      </c>
      <c r="B20" s="8" t="s">
        <v>31</v>
      </c>
      <c r="C20" s="8" t="s">
        <v>138</v>
      </c>
      <c r="D20" s="8" t="s">
        <v>73</v>
      </c>
      <c r="E20" s="8" t="s">
        <v>139</v>
      </c>
      <c r="F20" s="8" t="s">
        <v>140</v>
      </c>
      <c r="G20" s="8" t="s">
        <v>133</v>
      </c>
      <c r="H20" s="8" t="s">
        <v>141</v>
      </c>
      <c r="I20" s="8" t="s">
        <v>142</v>
      </c>
      <c r="J20" s="8" t="s">
        <v>29</v>
      </c>
      <c r="K20" s="8" t="s">
        <v>79</v>
      </c>
      <c r="L20" s="8"/>
      <c r="M20" s="17" t="s">
        <v>80</v>
      </c>
      <c r="N20" s="4" t="s">
        <v>80</v>
      </c>
    </row>
    <row r="21" ht="30" customHeight="1" spans="1:14">
      <c r="A21" s="8">
        <v>19</v>
      </c>
      <c r="B21" s="9" t="s">
        <v>14</v>
      </c>
      <c r="C21" s="9" t="s">
        <v>143</v>
      </c>
      <c r="D21" s="9" t="s">
        <v>73</v>
      </c>
      <c r="E21" s="9" t="s">
        <v>144</v>
      </c>
      <c r="F21" s="9" t="s">
        <v>116</v>
      </c>
      <c r="G21" s="9" t="s">
        <v>145</v>
      </c>
      <c r="H21" s="9" t="s">
        <v>85</v>
      </c>
      <c r="I21" s="9" t="s">
        <v>85</v>
      </c>
      <c r="J21" s="9" t="s">
        <v>32</v>
      </c>
      <c r="K21" s="8" t="s">
        <v>79</v>
      </c>
      <c r="L21" s="8"/>
      <c r="M21" s="17" t="s">
        <v>80</v>
      </c>
      <c r="N21" s="4" t="s">
        <v>80</v>
      </c>
    </row>
    <row r="22" ht="30" customHeight="1" spans="1:14">
      <c r="A22" s="8">
        <v>20</v>
      </c>
      <c r="B22" s="9" t="s">
        <v>33</v>
      </c>
      <c r="C22" s="9" t="s">
        <v>146</v>
      </c>
      <c r="D22" s="9" t="s">
        <v>73</v>
      </c>
      <c r="E22" s="9" t="s">
        <v>147</v>
      </c>
      <c r="F22" s="9" t="s">
        <v>148</v>
      </c>
      <c r="G22" s="9" t="s">
        <v>124</v>
      </c>
      <c r="H22" s="9" t="s">
        <v>85</v>
      </c>
      <c r="I22" s="9" t="s">
        <v>85</v>
      </c>
      <c r="J22" s="9" t="s">
        <v>32</v>
      </c>
      <c r="K22" s="8" t="s">
        <v>79</v>
      </c>
      <c r="L22" s="8"/>
      <c r="M22" s="17" t="s">
        <v>80</v>
      </c>
      <c r="N22" s="4" t="s">
        <v>80</v>
      </c>
    </row>
    <row r="23" ht="30" customHeight="1" spans="1:14">
      <c r="A23" s="8">
        <v>21</v>
      </c>
      <c r="B23" s="9" t="s">
        <v>34</v>
      </c>
      <c r="C23" s="9" t="s">
        <v>149</v>
      </c>
      <c r="D23" s="9" t="s">
        <v>73</v>
      </c>
      <c r="E23" s="9" t="s">
        <v>150</v>
      </c>
      <c r="F23" s="9" t="s">
        <v>151</v>
      </c>
      <c r="G23" s="9" t="s">
        <v>152</v>
      </c>
      <c r="H23" s="9" t="s">
        <v>83</v>
      </c>
      <c r="I23" s="9" t="s">
        <v>153</v>
      </c>
      <c r="J23" s="9" t="s">
        <v>32</v>
      </c>
      <c r="K23" s="8" t="s">
        <v>79</v>
      </c>
      <c r="L23" s="8"/>
      <c r="M23" s="17" t="s">
        <v>80</v>
      </c>
      <c r="N23" s="4" t="s">
        <v>80</v>
      </c>
    </row>
    <row r="24" ht="30" customHeight="1" spans="1:14">
      <c r="A24" s="8">
        <v>22</v>
      </c>
      <c r="B24" s="9" t="s">
        <v>34</v>
      </c>
      <c r="C24" s="9" t="s">
        <v>154</v>
      </c>
      <c r="D24" s="9" t="s">
        <v>73</v>
      </c>
      <c r="E24" s="9" t="s">
        <v>155</v>
      </c>
      <c r="F24" s="9" t="s">
        <v>156</v>
      </c>
      <c r="G24" s="9" t="s">
        <v>157</v>
      </c>
      <c r="H24" s="9" t="s">
        <v>85</v>
      </c>
      <c r="I24" s="9" t="s">
        <v>85</v>
      </c>
      <c r="J24" s="9" t="s">
        <v>32</v>
      </c>
      <c r="K24" s="8" t="s">
        <v>79</v>
      </c>
      <c r="L24" s="8"/>
      <c r="M24" s="17" t="s">
        <v>80</v>
      </c>
      <c r="N24" s="4" t="s">
        <v>80</v>
      </c>
    </row>
    <row r="25" ht="30" customHeight="1" spans="1:14">
      <c r="A25" s="12">
        <v>23</v>
      </c>
      <c r="B25" s="13" t="s">
        <v>35</v>
      </c>
      <c r="C25" s="13" t="s">
        <v>158</v>
      </c>
      <c r="D25" s="13" t="s">
        <v>73</v>
      </c>
      <c r="E25" s="13" t="s">
        <v>159</v>
      </c>
      <c r="F25" s="13" t="s">
        <v>160</v>
      </c>
      <c r="G25" s="13" t="s">
        <v>161</v>
      </c>
      <c r="H25" s="13" t="s">
        <v>116</v>
      </c>
      <c r="I25" s="13" t="s">
        <v>162</v>
      </c>
      <c r="J25" s="13" t="s">
        <v>32</v>
      </c>
      <c r="K25" s="12" t="s">
        <v>79</v>
      </c>
      <c r="L25" s="12" t="s">
        <v>80</v>
      </c>
      <c r="M25" s="22" t="s">
        <v>80</v>
      </c>
      <c r="N25" s="23" t="s">
        <v>80</v>
      </c>
    </row>
    <row r="26" ht="30" customHeight="1" spans="1:14">
      <c r="A26" s="8">
        <v>24</v>
      </c>
      <c r="B26" s="9" t="s">
        <v>19</v>
      </c>
      <c r="C26" s="9" t="s">
        <v>163</v>
      </c>
      <c r="D26" s="9" t="s">
        <v>73</v>
      </c>
      <c r="E26" s="9" t="s">
        <v>147</v>
      </c>
      <c r="F26" s="9" t="s">
        <v>164</v>
      </c>
      <c r="G26" s="9" t="s">
        <v>165</v>
      </c>
      <c r="H26" s="9" t="s">
        <v>164</v>
      </c>
      <c r="I26" s="9" t="s">
        <v>166</v>
      </c>
      <c r="J26" s="9" t="s">
        <v>32</v>
      </c>
      <c r="K26" s="8" t="s">
        <v>79</v>
      </c>
      <c r="L26" s="8"/>
      <c r="M26" s="17" t="s">
        <v>80</v>
      </c>
      <c r="N26" s="4" t="s">
        <v>80</v>
      </c>
    </row>
    <row r="27" ht="30" customHeight="1" spans="1:14">
      <c r="A27" s="8">
        <v>25</v>
      </c>
      <c r="B27" s="9" t="s">
        <v>20</v>
      </c>
      <c r="C27" s="9" t="s">
        <v>167</v>
      </c>
      <c r="D27" s="9" t="s">
        <v>73</v>
      </c>
      <c r="E27" s="9" t="s">
        <v>90</v>
      </c>
      <c r="F27" s="9" t="s">
        <v>83</v>
      </c>
      <c r="G27" s="9" t="s">
        <v>168</v>
      </c>
      <c r="H27" s="9" t="s">
        <v>85</v>
      </c>
      <c r="I27" s="9" t="s">
        <v>85</v>
      </c>
      <c r="J27" s="9" t="s">
        <v>32</v>
      </c>
      <c r="K27" s="8" t="s">
        <v>79</v>
      </c>
      <c r="L27" s="8"/>
      <c r="M27" s="17" t="s">
        <v>80</v>
      </c>
      <c r="N27" s="4" t="s">
        <v>80</v>
      </c>
    </row>
    <row r="28" ht="30" customHeight="1" spans="1:14">
      <c r="A28" s="8">
        <v>26</v>
      </c>
      <c r="B28" s="8" t="s">
        <v>36</v>
      </c>
      <c r="C28" s="8" t="s">
        <v>169</v>
      </c>
      <c r="D28" s="8" t="s">
        <v>73</v>
      </c>
      <c r="E28" s="8" t="s">
        <v>94</v>
      </c>
      <c r="F28" s="8" t="s">
        <v>170</v>
      </c>
      <c r="G28" s="8" t="s">
        <v>84</v>
      </c>
      <c r="H28" s="8" t="s">
        <v>85</v>
      </c>
      <c r="I28" s="8" t="s">
        <v>85</v>
      </c>
      <c r="J28" s="9" t="s">
        <v>32</v>
      </c>
      <c r="K28" s="8" t="s">
        <v>79</v>
      </c>
      <c r="L28" s="8"/>
      <c r="M28" s="17" t="s">
        <v>80</v>
      </c>
      <c r="N28" s="4" t="s">
        <v>80</v>
      </c>
    </row>
    <row r="29" ht="30" customHeight="1" spans="1:14">
      <c r="A29" s="10">
        <v>27</v>
      </c>
      <c r="B29" s="10" t="s">
        <v>37</v>
      </c>
      <c r="C29" s="10" t="s">
        <v>171</v>
      </c>
      <c r="D29" s="10" t="s">
        <v>73</v>
      </c>
      <c r="E29" s="10" t="s">
        <v>172</v>
      </c>
      <c r="F29" s="10" t="s">
        <v>173</v>
      </c>
      <c r="G29" s="10" t="s">
        <v>174</v>
      </c>
      <c r="H29" s="10" t="s">
        <v>85</v>
      </c>
      <c r="I29" s="10" t="s">
        <v>85</v>
      </c>
      <c r="J29" s="10" t="s">
        <v>32</v>
      </c>
      <c r="K29" s="8" t="s">
        <v>79</v>
      </c>
      <c r="L29" s="8"/>
      <c r="M29" s="17" t="s">
        <v>80</v>
      </c>
      <c r="N29" s="4" t="s">
        <v>80</v>
      </c>
    </row>
    <row r="30" ht="30" customHeight="1" spans="1:14">
      <c r="A30" s="8">
        <v>28</v>
      </c>
      <c r="B30" s="8" t="s">
        <v>38</v>
      </c>
      <c r="C30" s="8" t="s">
        <v>175</v>
      </c>
      <c r="D30" s="8" t="s">
        <v>73</v>
      </c>
      <c r="E30" s="8" t="s">
        <v>176</v>
      </c>
      <c r="F30" s="8" t="s">
        <v>177</v>
      </c>
      <c r="G30" s="8" t="s">
        <v>157</v>
      </c>
      <c r="H30" s="8" t="s">
        <v>85</v>
      </c>
      <c r="I30" s="8" t="s">
        <v>85</v>
      </c>
      <c r="J30" s="8" t="s">
        <v>32</v>
      </c>
      <c r="K30" s="8" t="s">
        <v>79</v>
      </c>
      <c r="L30" s="8"/>
      <c r="M30" s="17" t="s">
        <v>80</v>
      </c>
      <c r="N30" s="4" t="s">
        <v>80</v>
      </c>
    </row>
    <row r="31" ht="30" customHeight="1" spans="1:14">
      <c r="A31" s="12">
        <v>29</v>
      </c>
      <c r="B31" s="12" t="s">
        <v>39</v>
      </c>
      <c r="C31" s="12" t="s">
        <v>178</v>
      </c>
      <c r="D31" s="12" t="s">
        <v>73</v>
      </c>
      <c r="E31" s="12" t="s">
        <v>179</v>
      </c>
      <c r="F31" s="12" t="s">
        <v>180</v>
      </c>
      <c r="G31" s="12" t="s">
        <v>181</v>
      </c>
      <c r="H31" s="12" t="s">
        <v>85</v>
      </c>
      <c r="I31" s="12" t="s">
        <v>85</v>
      </c>
      <c r="J31" s="12" t="s">
        <v>32</v>
      </c>
      <c r="K31" s="12" t="s">
        <v>79</v>
      </c>
      <c r="L31" s="12" t="s">
        <v>80</v>
      </c>
      <c r="M31" s="22" t="s">
        <v>80</v>
      </c>
      <c r="N31" s="23" t="s">
        <v>80</v>
      </c>
    </row>
    <row r="32" ht="30" customHeight="1" spans="1:14">
      <c r="A32" s="8">
        <v>30</v>
      </c>
      <c r="B32" s="9" t="s">
        <v>25</v>
      </c>
      <c r="C32" s="9" t="s">
        <v>182</v>
      </c>
      <c r="D32" s="9" t="s">
        <v>73</v>
      </c>
      <c r="E32" s="9" t="s">
        <v>144</v>
      </c>
      <c r="F32" s="9" t="s">
        <v>132</v>
      </c>
      <c r="G32" s="9" t="s">
        <v>157</v>
      </c>
      <c r="H32" s="9" t="s">
        <v>85</v>
      </c>
      <c r="I32" s="9" t="s">
        <v>85</v>
      </c>
      <c r="J32" s="9" t="s">
        <v>40</v>
      </c>
      <c r="K32" s="8" t="s">
        <v>79</v>
      </c>
      <c r="L32" s="8"/>
      <c r="M32" s="17" t="s">
        <v>80</v>
      </c>
      <c r="N32" s="4" t="s">
        <v>80</v>
      </c>
    </row>
    <row r="33" ht="30" customHeight="1" spans="1:14">
      <c r="A33" s="8">
        <v>31</v>
      </c>
      <c r="B33" s="8" t="s">
        <v>25</v>
      </c>
      <c r="C33" s="8" t="s">
        <v>183</v>
      </c>
      <c r="D33" s="8" t="s">
        <v>73</v>
      </c>
      <c r="E33" s="8" t="s">
        <v>184</v>
      </c>
      <c r="F33" s="8" t="s">
        <v>185</v>
      </c>
      <c r="G33" s="8" t="s">
        <v>157</v>
      </c>
      <c r="H33" s="8" t="s">
        <v>85</v>
      </c>
      <c r="I33" s="8" t="s">
        <v>85</v>
      </c>
      <c r="J33" s="9" t="s">
        <v>40</v>
      </c>
      <c r="K33" s="8" t="s">
        <v>79</v>
      </c>
      <c r="L33" s="8"/>
      <c r="M33" s="17" t="s">
        <v>80</v>
      </c>
      <c r="N33" s="4" t="s">
        <v>80</v>
      </c>
    </row>
    <row r="34" ht="30" customHeight="1" spans="1:14">
      <c r="A34" s="12">
        <v>32</v>
      </c>
      <c r="B34" s="13" t="s">
        <v>26</v>
      </c>
      <c r="C34" s="13" t="s">
        <v>186</v>
      </c>
      <c r="D34" s="13" t="s">
        <v>73</v>
      </c>
      <c r="E34" s="13" t="s">
        <v>187</v>
      </c>
      <c r="F34" s="13" t="s">
        <v>83</v>
      </c>
      <c r="G34" s="13" t="s">
        <v>188</v>
      </c>
      <c r="H34" s="13" t="s">
        <v>85</v>
      </c>
      <c r="I34" s="13" t="s">
        <v>85</v>
      </c>
      <c r="J34" s="13" t="s">
        <v>40</v>
      </c>
      <c r="K34" s="12" t="s">
        <v>79</v>
      </c>
      <c r="L34" s="12" t="s">
        <v>80</v>
      </c>
      <c r="M34" s="22" t="s">
        <v>80</v>
      </c>
      <c r="N34" s="23" t="s">
        <v>80</v>
      </c>
    </row>
    <row r="35" ht="30" customHeight="1" spans="1:14">
      <c r="A35" s="8">
        <v>33</v>
      </c>
      <c r="B35" s="9" t="s">
        <v>14</v>
      </c>
      <c r="C35" s="9" t="s">
        <v>189</v>
      </c>
      <c r="D35" s="9" t="s">
        <v>73</v>
      </c>
      <c r="E35" s="9" t="s">
        <v>190</v>
      </c>
      <c r="F35" s="9" t="s">
        <v>132</v>
      </c>
      <c r="G35" s="9" t="s">
        <v>124</v>
      </c>
      <c r="H35" s="9" t="s">
        <v>191</v>
      </c>
      <c r="I35" s="9" t="s">
        <v>124</v>
      </c>
      <c r="J35" s="9" t="s">
        <v>42</v>
      </c>
      <c r="K35" s="8" t="s">
        <v>79</v>
      </c>
      <c r="L35" s="8"/>
      <c r="M35" s="17" t="s">
        <v>80</v>
      </c>
      <c r="N35" s="4" t="s">
        <v>80</v>
      </c>
    </row>
    <row r="36" ht="30" customHeight="1" spans="1:14">
      <c r="A36" s="8">
        <v>34</v>
      </c>
      <c r="B36" s="9" t="s">
        <v>34</v>
      </c>
      <c r="C36" s="9" t="s">
        <v>192</v>
      </c>
      <c r="D36" s="9" t="s">
        <v>73</v>
      </c>
      <c r="E36" s="9" t="s">
        <v>193</v>
      </c>
      <c r="F36" s="9" t="s">
        <v>83</v>
      </c>
      <c r="G36" s="9" t="s">
        <v>194</v>
      </c>
      <c r="H36" s="9" t="s">
        <v>85</v>
      </c>
      <c r="I36" s="9" t="s">
        <v>85</v>
      </c>
      <c r="J36" s="9" t="s">
        <v>42</v>
      </c>
      <c r="K36" s="8" t="s">
        <v>79</v>
      </c>
      <c r="L36" s="8"/>
      <c r="M36" s="17" t="s">
        <v>80</v>
      </c>
      <c r="N36" s="4" t="s">
        <v>80</v>
      </c>
    </row>
    <row r="37" ht="30" customHeight="1" spans="1:14">
      <c r="A37" s="8">
        <v>35</v>
      </c>
      <c r="B37" s="9" t="s">
        <v>34</v>
      </c>
      <c r="C37" s="9" t="s">
        <v>195</v>
      </c>
      <c r="D37" s="9" t="s">
        <v>73</v>
      </c>
      <c r="E37" s="9" t="s">
        <v>196</v>
      </c>
      <c r="F37" s="9" t="s">
        <v>83</v>
      </c>
      <c r="G37" s="9" t="s">
        <v>157</v>
      </c>
      <c r="H37" s="9" t="s">
        <v>85</v>
      </c>
      <c r="I37" s="9" t="s">
        <v>85</v>
      </c>
      <c r="J37" s="9" t="s">
        <v>42</v>
      </c>
      <c r="K37" s="8" t="s">
        <v>79</v>
      </c>
      <c r="L37" s="8"/>
      <c r="M37" s="17" t="s">
        <v>80</v>
      </c>
      <c r="N37" s="4" t="s">
        <v>80</v>
      </c>
    </row>
    <row r="38" ht="30" customHeight="1" spans="1:14">
      <c r="A38" s="12">
        <v>36</v>
      </c>
      <c r="B38" s="12" t="s">
        <v>35</v>
      </c>
      <c r="C38" s="12" t="s">
        <v>197</v>
      </c>
      <c r="D38" s="12" t="s">
        <v>130</v>
      </c>
      <c r="E38" s="12" t="s">
        <v>198</v>
      </c>
      <c r="F38" s="12" t="s">
        <v>83</v>
      </c>
      <c r="G38" s="12" t="s">
        <v>199</v>
      </c>
      <c r="H38" s="12" t="s">
        <v>85</v>
      </c>
      <c r="I38" s="12" t="s">
        <v>85</v>
      </c>
      <c r="J38" s="13" t="s">
        <v>42</v>
      </c>
      <c r="K38" s="12" t="s">
        <v>79</v>
      </c>
      <c r="L38" s="12" t="s">
        <v>80</v>
      </c>
      <c r="M38" s="22" t="s">
        <v>80</v>
      </c>
      <c r="N38" s="23" t="s">
        <v>80</v>
      </c>
    </row>
    <row r="39" ht="30" customHeight="1" spans="1:14">
      <c r="A39" s="12">
        <v>37</v>
      </c>
      <c r="B39" s="12" t="s">
        <v>35</v>
      </c>
      <c r="C39" s="12" t="s">
        <v>200</v>
      </c>
      <c r="D39" s="12" t="s">
        <v>73</v>
      </c>
      <c r="E39" s="12" t="s">
        <v>201</v>
      </c>
      <c r="F39" s="12" t="s">
        <v>83</v>
      </c>
      <c r="G39" s="12" t="s">
        <v>188</v>
      </c>
      <c r="H39" s="12" t="s">
        <v>85</v>
      </c>
      <c r="I39" s="12" t="s">
        <v>85</v>
      </c>
      <c r="J39" s="13" t="s">
        <v>42</v>
      </c>
      <c r="K39" s="12" t="s">
        <v>79</v>
      </c>
      <c r="L39" s="12" t="s">
        <v>80</v>
      </c>
      <c r="M39" s="22" t="s">
        <v>80</v>
      </c>
      <c r="N39" s="23" t="s">
        <v>80</v>
      </c>
    </row>
    <row r="40" ht="30" customHeight="1" spans="1:14">
      <c r="A40" s="8">
        <v>38</v>
      </c>
      <c r="B40" s="9" t="s">
        <v>43</v>
      </c>
      <c r="C40" s="9" t="s">
        <v>202</v>
      </c>
      <c r="D40" s="9" t="s">
        <v>73</v>
      </c>
      <c r="E40" s="9" t="s">
        <v>184</v>
      </c>
      <c r="F40" s="9" t="s">
        <v>77</v>
      </c>
      <c r="G40" s="9" t="s">
        <v>203</v>
      </c>
      <c r="H40" s="9" t="s">
        <v>85</v>
      </c>
      <c r="I40" s="9" t="s">
        <v>85</v>
      </c>
      <c r="J40" s="9" t="s">
        <v>42</v>
      </c>
      <c r="K40" s="8" t="s">
        <v>79</v>
      </c>
      <c r="L40" s="8"/>
      <c r="M40" s="17" t="s">
        <v>80</v>
      </c>
      <c r="N40" s="4" t="s">
        <v>80</v>
      </c>
    </row>
    <row r="41" ht="30" customHeight="1" spans="1:14">
      <c r="A41" s="8">
        <v>39</v>
      </c>
      <c r="B41" s="9" t="s">
        <v>19</v>
      </c>
      <c r="C41" s="9" t="s">
        <v>204</v>
      </c>
      <c r="D41" s="9" t="s">
        <v>130</v>
      </c>
      <c r="E41" s="9" t="s">
        <v>82</v>
      </c>
      <c r="F41" s="9" t="s">
        <v>164</v>
      </c>
      <c r="G41" s="9" t="s">
        <v>205</v>
      </c>
      <c r="H41" s="9" t="s">
        <v>85</v>
      </c>
      <c r="I41" s="9" t="s">
        <v>85</v>
      </c>
      <c r="J41" s="9" t="s">
        <v>42</v>
      </c>
      <c r="K41" s="8" t="s">
        <v>79</v>
      </c>
      <c r="L41" s="8"/>
      <c r="M41" s="17" t="s">
        <v>80</v>
      </c>
      <c r="N41" s="4" t="s">
        <v>80</v>
      </c>
    </row>
    <row r="42" ht="30" customHeight="1" spans="1:14">
      <c r="A42" s="8">
        <v>40</v>
      </c>
      <c r="B42" s="8" t="s">
        <v>44</v>
      </c>
      <c r="C42" s="8" t="s">
        <v>206</v>
      </c>
      <c r="D42" s="8" t="s">
        <v>73</v>
      </c>
      <c r="E42" s="8" t="s">
        <v>90</v>
      </c>
      <c r="F42" s="8" t="s">
        <v>91</v>
      </c>
      <c r="G42" s="8" t="s">
        <v>207</v>
      </c>
      <c r="H42" s="8" t="s">
        <v>85</v>
      </c>
      <c r="I42" s="8" t="s">
        <v>85</v>
      </c>
      <c r="J42" s="9" t="s">
        <v>42</v>
      </c>
      <c r="K42" s="8" t="s">
        <v>79</v>
      </c>
      <c r="L42" s="8"/>
      <c r="M42" s="17" t="s">
        <v>80</v>
      </c>
      <c r="N42" s="4" t="s">
        <v>80</v>
      </c>
    </row>
    <row r="43" ht="30" customHeight="1" spans="1:14">
      <c r="A43" s="8">
        <v>41</v>
      </c>
      <c r="B43" s="10" t="s">
        <v>20</v>
      </c>
      <c r="C43" s="10" t="s">
        <v>208</v>
      </c>
      <c r="D43" s="10" t="s">
        <v>73</v>
      </c>
      <c r="E43" s="10" t="s">
        <v>209</v>
      </c>
      <c r="F43" s="10" t="s">
        <v>83</v>
      </c>
      <c r="G43" s="10" t="s">
        <v>168</v>
      </c>
      <c r="H43" s="10" t="s">
        <v>83</v>
      </c>
      <c r="I43" s="10" t="s">
        <v>210</v>
      </c>
      <c r="J43" s="10" t="s">
        <v>42</v>
      </c>
      <c r="K43" s="8" t="s">
        <v>79</v>
      </c>
      <c r="L43" s="8"/>
      <c r="M43" s="17" t="s">
        <v>80</v>
      </c>
      <c r="N43" s="4" t="s">
        <v>80</v>
      </c>
    </row>
    <row r="44" ht="30" customHeight="1" spans="1:14">
      <c r="A44" s="8">
        <v>42</v>
      </c>
      <c r="B44" s="8" t="s">
        <v>16</v>
      </c>
      <c r="C44" s="8" t="s">
        <v>211</v>
      </c>
      <c r="D44" s="8" t="s">
        <v>73</v>
      </c>
      <c r="E44" s="8" t="s">
        <v>172</v>
      </c>
      <c r="F44" s="8" t="s">
        <v>212</v>
      </c>
      <c r="G44" s="8" t="s">
        <v>213</v>
      </c>
      <c r="H44" s="8" t="s">
        <v>85</v>
      </c>
      <c r="I44" s="8" t="s">
        <v>85</v>
      </c>
      <c r="J44" s="8" t="s">
        <v>42</v>
      </c>
      <c r="K44" s="8" t="s">
        <v>79</v>
      </c>
      <c r="L44" s="8"/>
      <c r="M44" s="17" t="s">
        <v>80</v>
      </c>
      <c r="N44" s="4" t="s">
        <v>80</v>
      </c>
    </row>
    <row r="45" ht="30" customHeight="1" spans="1:14">
      <c r="A45" s="8">
        <v>43</v>
      </c>
      <c r="B45" s="8" t="s">
        <v>45</v>
      </c>
      <c r="C45" s="8" t="s">
        <v>214</v>
      </c>
      <c r="D45" s="8" t="s">
        <v>73</v>
      </c>
      <c r="E45" s="8" t="s">
        <v>90</v>
      </c>
      <c r="F45" s="8" t="s">
        <v>215</v>
      </c>
      <c r="G45" s="8" t="s">
        <v>216</v>
      </c>
      <c r="H45" s="8" t="s">
        <v>85</v>
      </c>
      <c r="I45" s="8" t="s">
        <v>85</v>
      </c>
      <c r="J45" s="8" t="s">
        <v>42</v>
      </c>
      <c r="K45" s="8" t="s">
        <v>79</v>
      </c>
      <c r="L45" s="8"/>
      <c r="M45" s="17" t="s">
        <v>80</v>
      </c>
      <c r="N45" s="4" t="s">
        <v>80</v>
      </c>
    </row>
    <row r="46" ht="30" customHeight="1" spans="1:14">
      <c r="A46" s="8">
        <v>44</v>
      </c>
      <c r="B46" s="10" t="s">
        <v>38</v>
      </c>
      <c r="C46" s="10" t="s">
        <v>217</v>
      </c>
      <c r="D46" s="10" t="s">
        <v>73</v>
      </c>
      <c r="E46" s="10" t="s">
        <v>218</v>
      </c>
      <c r="F46" s="10" t="s">
        <v>215</v>
      </c>
      <c r="G46" s="10" t="s">
        <v>76</v>
      </c>
      <c r="H46" s="10" t="s">
        <v>85</v>
      </c>
      <c r="I46" s="10" t="s">
        <v>85</v>
      </c>
      <c r="J46" s="10" t="s">
        <v>42</v>
      </c>
      <c r="K46" s="8" t="s">
        <v>79</v>
      </c>
      <c r="L46" s="8"/>
      <c r="M46" s="17" t="s">
        <v>80</v>
      </c>
      <c r="N46" s="4" t="s">
        <v>80</v>
      </c>
    </row>
    <row r="47" ht="30" customHeight="1" spans="1:14">
      <c r="A47" s="12">
        <v>45</v>
      </c>
      <c r="B47" s="11" t="s">
        <v>39</v>
      </c>
      <c r="C47" s="11" t="s">
        <v>219</v>
      </c>
      <c r="D47" s="11" t="s">
        <v>73</v>
      </c>
      <c r="E47" s="11" t="s">
        <v>220</v>
      </c>
      <c r="F47" s="11" t="s">
        <v>221</v>
      </c>
      <c r="G47" s="11" t="s">
        <v>161</v>
      </c>
      <c r="H47" s="11" t="s">
        <v>85</v>
      </c>
      <c r="I47" s="11" t="s">
        <v>85</v>
      </c>
      <c r="J47" s="11" t="s">
        <v>42</v>
      </c>
      <c r="K47" s="12" t="s">
        <v>79</v>
      </c>
      <c r="L47" s="12" t="s">
        <v>80</v>
      </c>
      <c r="M47" s="22" t="s">
        <v>80</v>
      </c>
      <c r="N47" s="23" t="s">
        <v>80</v>
      </c>
    </row>
    <row r="48" ht="30" customHeight="1" spans="1:14">
      <c r="A48" s="8">
        <v>46</v>
      </c>
      <c r="B48" s="8" t="s">
        <v>46</v>
      </c>
      <c r="C48" s="8" t="s">
        <v>222</v>
      </c>
      <c r="D48" s="8" t="s">
        <v>73</v>
      </c>
      <c r="E48" s="8" t="s">
        <v>223</v>
      </c>
      <c r="F48" s="8" t="s">
        <v>224</v>
      </c>
      <c r="G48" s="8" t="s">
        <v>225</v>
      </c>
      <c r="H48" s="8" t="s">
        <v>85</v>
      </c>
      <c r="I48" s="8" t="s">
        <v>85</v>
      </c>
      <c r="J48" s="8" t="s">
        <v>42</v>
      </c>
      <c r="K48" s="8" t="s">
        <v>79</v>
      </c>
      <c r="L48" s="8"/>
      <c r="M48" s="17" t="s">
        <v>80</v>
      </c>
      <c r="N48" s="4" t="s">
        <v>80</v>
      </c>
    </row>
    <row r="49" ht="30" customHeight="1" spans="1:14">
      <c r="A49" s="8">
        <v>47</v>
      </c>
      <c r="B49" s="8" t="s">
        <v>47</v>
      </c>
      <c r="C49" s="8" t="s">
        <v>226</v>
      </c>
      <c r="D49" s="8" t="s">
        <v>130</v>
      </c>
      <c r="E49" s="8" t="s">
        <v>227</v>
      </c>
      <c r="F49" s="8" t="s">
        <v>228</v>
      </c>
      <c r="G49" s="8" t="s">
        <v>229</v>
      </c>
      <c r="H49" s="8" t="s">
        <v>85</v>
      </c>
      <c r="I49" s="8" t="s">
        <v>85</v>
      </c>
      <c r="J49" s="8" t="s">
        <v>42</v>
      </c>
      <c r="K49" s="8" t="s">
        <v>79</v>
      </c>
      <c r="L49" s="8"/>
      <c r="M49" s="17" t="s">
        <v>80</v>
      </c>
      <c r="N49" s="4" t="s">
        <v>80</v>
      </c>
    </row>
    <row r="50" ht="30" customHeight="1" spans="1:14">
      <c r="A50" s="8">
        <v>48</v>
      </c>
      <c r="B50" s="8" t="s">
        <v>43</v>
      </c>
      <c r="C50" s="8" t="s">
        <v>230</v>
      </c>
      <c r="D50" s="8" t="s">
        <v>73</v>
      </c>
      <c r="E50" s="8" t="s">
        <v>90</v>
      </c>
      <c r="F50" s="8" t="s">
        <v>83</v>
      </c>
      <c r="G50" s="8" t="s">
        <v>231</v>
      </c>
      <c r="H50" s="8" t="s">
        <v>85</v>
      </c>
      <c r="I50" s="8" t="s">
        <v>85</v>
      </c>
      <c r="J50" s="9" t="s">
        <v>48</v>
      </c>
      <c r="K50" s="8" t="s">
        <v>79</v>
      </c>
      <c r="L50" s="8"/>
      <c r="M50" s="17" t="s">
        <v>80</v>
      </c>
      <c r="N50" s="4" t="s">
        <v>80</v>
      </c>
    </row>
    <row r="51" ht="30" customHeight="1" spans="1:14">
      <c r="A51" s="8">
        <v>49</v>
      </c>
      <c r="B51" s="9" t="s">
        <v>49</v>
      </c>
      <c r="C51" s="9" t="s">
        <v>232</v>
      </c>
      <c r="D51" s="9" t="s">
        <v>130</v>
      </c>
      <c r="E51" s="9" t="s">
        <v>172</v>
      </c>
      <c r="F51" s="9" t="s">
        <v>233</v>
      </c>
      <c r="G51" s="9" t="s">
        <v>234</v>
      </c>
      <c r="H51" s="9" t="s">
        <v>85</v>
      </c>
      <c r="I51" s="9" t="s">
        <v>85</v>
      </c>
      <c r="J51" s="9" t="s">
        <v>48</v>
      </c>
      <c r="K51" s="8" t="s">
        <v>79</v>
      </c>
      <c r="L51" s="8"/>
      <c r="M51" s="17" t="s">
        <v>80</v>
      </c>
      <c r="N51" s="4" t="s">
        <v>80</v>
      </c>
    </row>
    <row r="52" ht="30" customHeight="1" spans="1:14">
      <c r="A52" s="8">
        <v>50</v>
      </c>
      <c r="B52" s="8" t="s">
        <v>21</v>
      </c>
      <c r="C52" s="8" t="s">
        <v>235</v>
      </c>
      <c r="D52" s="8" t="s">
        <v>73</v>
      </c>
      <c r="E52" s="8" t="s">
        <v>236</v>
      </c>
      <c r="F52" s="8" t="s">
        <v>237</v>
      </c>
      <c r="G52" s="8" t="s">
        <v>152</v>
      </c>
      <c r="H52" s="8" t="s">
        <v>238</v>
      </c>
      <c r="I52" s="8" t="s">
        <v>124</v>
      </c>
      <c r="J52" s="8" t="s">
        <v>48</v>
      </c>
      <c r="K52" s="8" t="s">
        <v>79</v>
      </c>
      <c r="L52" s="8"/>
      <c r="M52" s="17" t="s">
        <v>80</v>
      </c>
      <c r="N52" s="4" t="s">
        <v>80</v>
      </c>
    </row>
    <row r="53" ht="30" customHeight="1" spans="1:14">
      <c r="A53" s="8">
        <v>51</v>
      </c>
      <c r="B53" s="14" t="s">
        <v>23</v>
      </c>
      <c r="C53" s="14" t="s">
        <v>239</v>
      </c>
      <c r="D53" s="14" t="s">
        <v>73</v>
      </c>
      <c r="E53" s="14" t="s">
        <v>240</v>
      </c>
      <c r="F53" s="14" t="s">
        <v>241</v>
      </c>
      <c r="G53" s="14" t="s">
        <v>84</v>
      </c>
      <c r="H53" s="14" t="s">
        <v>85</v>
      </c>
      <c r="I53" s="14" t="s">
        <v>85</v>
      </c>
      <c r="J53" s="14" t="s">
        <v>48</v>
      </c>
      <c r="K53" s="8" t="s">
        <v>79</v>
      </c>
      <c r="L53" s="10"/>
      <c r="M53" s="17" t="s">
        <v>80</v>
      </c>
      <c r="N53" s="4" t="s">
        <v>80</v>
      </c>
    </row>
    <row r="54" ht="30" customHeight="1" spans="1:14">
      <c r="A54" s="8">
        <v>52</v>
      </c>
      <c r="B54" s="10" t="s">
        <v>14</v>
      </c>
      <c r="C54" s="10" t="s">
        <v>242</v>
      </c>
      <c r="D54" s="10" t="s">
        <v>73</v>
      </c>
      <c r="E54" s="10" t="s">
        <v>243</v>
      </c>
      <c r="F54" s="10" t="s">
        <v>83</v>
      </c>
      <c r="G54" s="10" t="s">
        <v>124</v>
      </c>
      <c r="H54" s="10" t="s">
        <v>85</v>
      </c>
      <c r="I54" s="10" t="s">
        <v>85</v>
      </c>
      <c r="J54" s="10" t="s">
        <v>50</v>
      </c>
      <c r="K54" s="8" t="s">
        <v>79</v>
      </c>
      <c r="L54" s="8"/>
      <c r="M54" s="17" t="s">
        <v>80</v>
      </c>
      <c r="N54" s="4" t="s">
        <v>80</v>
      </c>
    </row>
    <row r="55" ht="30" customHeight="1" spans="1:14">
      <c r="A55" s="8">
        <v>53</v>
      </c>
      <c r="B55" s="9" t="s">
        <v>33</v>
      </c>
      <c r="C55" s="9" t="s">
        <v>244</v>
      </c>
      <c r="D55" s="9" t="s">
        <v>73</v>
      </c>
      <c r="E55" s="9" t="s">
        <v>245</v>
      </c>
      <c r="F55" s="9" t="s">
        <v>83</v>
      </c>
      <c r="G55" s="9" t="s">
        <v>124</v>
      </c>
      <c r="H55" s="9" t="s">
        <v>83</v>
      </c>
      <c r="I55" s="9" t="s">
        <v>124</v>
      </c>
      <c r="J55" s="9" t="s">
        <v>50</v>
      </c>
      <c r="K55" s="8" t="s">
        <v>79</v>
      </c>
      <c r="L55" s="8"/>
      <c r="M55" s="17" t="s">
        <v>80</v>
      </c>
      <c r="N55" s="4" t="s">
        <v>80</v>
      </c>
    </row>
    <row r="56" ht="30" customHeight="1" spans="1:14">
      <c r="A56" s="8">
        <v>54</v>
      </c>
      <c r="B56" s="13" t="s">
        <v>26</v>
      </c>
      <c r="C56" s="13" t="s">
        <v>246</v>
      </c>
      <c r="D56" s="13" t="s">
        <v>73</v>
      </c>
      <c r="E56" s="13" t="s">
        <v>82</v>
      </c>
      <c r="F56" s="13" t="s">
        <v>247</v>
      </c>
      <c r="G56" s="13" t="s">
        <v>188</v>
      </c>
      <c r="H56" s="13" t="s">
        <v>85</v>
      </c>
      <c r="I56" s="13" t="s">
        <v>85</v>
      </c>
      <c r="J56" s="13" t="s">
        <v>50</v>
      </c>
      <c r="K56" s="12" t="s">
        <v>79</v>
      </c>
      <c r="L56" s="12" t="s">
        <v>80</v>
      </c>
      <c r="M56" s="22" t="s">
        <v>80</v>
      </c>
      <c r="N56" s="23" t="s">
        <v>80</v>
      </c>
    </row>
    <row r="57" ht="30" customHeight="1" spans="1:14">
      <c r="A57" s="8">
        <v>55</v>
      </c>
      <c r="B57" s="10" t="s">
        <v>33</v>
      </c>
      <c r="C57" s="10" t="s">
        <v>248</v>
      </c>
      <c r="D57" s="10" t="s">
        <v>73</v>
      </c>
      <c r="E57" s="10" t="s">
        <v>147</v>
      </c>
      <c r="F57" s="10" t="s">
        <v>132</v>
      </c>
      <c r="G57" s="10" t="s">
        <v>124</v>
      </c>
      <c r="H57" s="10" t="s">
        <v>85</v>
      </c>
      <c r="I57" s="10" t="s">
        <v>85</v>
      </c>
      <c r="J57" s="10" t="s">
        <v>51</v>
      </c>
      <c r="K57" s="8" t="s">
        <v>79</v>
      </c>
      <c r="L57" s="8"/>
      <c r="M57" s="17" t="s">
        <v>80</v>
      </c>
      <c r="N57" s="4" t="s">
        <v>80</v>
      </c>
    </row>
    <row r="58" ht="30" customHeight="1" spans="1:14">
      <c r="A58" s="8">
        <v>56</v>
      </c>
      <c r="B58" s="9" t="s">
        <v>30</v>
      </c>
      <c r="C58" s="9" t="s">
        <v>249</v>
      </c>
      <c r="D58" s="9" t="s">
        <v>73</v>
      </c>
      <c r="E58" s="9" t="s">
        <v>250</v>
      </c>
      <c r="F58" s="9" t="s">
        <v>251</v>
      </c>
      <c r="G58" s="9" t="s">
        <v>252</v>
      </c>
      <c r="H58" s="9" t="s">
        <v>85</v>
      </c>
      <c r="I58" s="9" t="s">
        <v>85</v>
      </c>
      <c r="J58" s="9" t="s">
        <v>51</v>
      </c>
      <c r="K58" s="8" t="s">
        <v>79</v>
      </c>
      <c r="L58" s="8"/>
      <c r="M58" s="17" t="s">
        <v>80</v>
      </c>
      <c r="N58" s="4" t="s">
        <v>80</v>
      </c>
    </row>
    <row r="59" ht="30" customHeight="1" spans="1:14">
      <c r="A59" s="8">
        <v>57</v>
      </c>
      <c r="B59" s="13" t="s">
        <v>35</v>
      </c>
      <c r="C59" s="13" t="s">
        <v>253</v>
      </c>
      <c r="D59" s="13" t="s">
        <v>73</v>
      </c>
      <c r="E59" s="13" t="s">
        <v>254</v>
      </c>
      <c r="F59" s="13" t="s">
        <v>255</v>
      </c>
      <c r="G59" s="13" t="s">
        <v>181</v>
      </c>
      <c r="H59" s="13" t="s">
        <v>255</v>
      </c>
      <c r="I59" s="13" t="s">
        <v>256</v>
      </c>
      <c r="J59" s="13" t="s">
        <v>51</v>
      </c>
      <c r="K59" s="12" t="s">
        <v>79</v>
      </c>
      <c r="L59" s="12" t="s">
        <v>80</v>
      </c>
      <c r="M59" s="22" t="s">
        <v>80</v>
      </c>
      <c r="N59" s="23" t="s">
        <v>80</v>
      </c>
    </row>
    <row r="60" ht="30" customHeight="1" spans="1:14">
      <c r="A60" s="8">
        <v>58</v>
      </c>
      <c r="B60" s="10" t="s">
        <v>43</v>
      </c>
      <c r="C60" s="10" t="s">
        <v>257</v>
      </c>
      <c r="D60" s="10" t="s">
        <v>73</v>
      </c>
      <c r="E60" s="10" t="s">
        <v>82</v>
      </c>
      <c r="F60" s="10" t="s">
        <v>258</v>
      </c>
      <c r="G60" s="10" t="s">
        <v>231</v>
      </c>
      <c r="H60" s="10" t="s">
        <v>85</v>
      </c>
      <c r="I60" s="10" t="s">
        <v>85</v>
      </c>
      <c r="J60" s="10" t="s">
        <v>51</v>
      </c>
      <c r="K60" s="8" t="s">
        <v>79</v>
      </c>
      <c r="L60" s="8"/>
      <c r="M60" s="17" t="s">
        <v>80</v>
      </c>
      <c r="N60" s="4" t="s">
        <v>80</v>
      </c>
    </row>
    <row r="61" ht="30" customHeight="1" spans="1:14">
      <c r="A61" s="8">
        <v>59</v>
      </c>
      <c r="B61" s="9" t="s">
        <v>19</v>
      </c>
      <c r="C61" s="9" t="s">
        <v>259</v>
      </c>
      <c r="D61" s="9" t="s">
        <v>130</v>
      </c>
      <c r="E61" s="9" t="s">
        <v>260</v>
      </c>
      <c r="F61" s="9" t="s">
        <v>261</v>
      </c>
      <c r="G61" s="9" t="s">
        <v>262</v>
      </c>
      <c r="H61" s="9" t="s">
        <v>263</v>
      </c>
      <c r="I61" s="9" t="s">
        <v>264</v>
      </c>
      <c r="J61" s="9" t="s">
        <v>51</v>
      </c>
      <c r="K61" s="8" t="s">
        <v>79</v>
      </c>
      <c r="L61" s="8"/>
      <c r="M61" s="17" t="s">
        <v>80</v>
      </c>
      <c r="N61" s="4" t="s">
        <v>80</v>
      </c>
    </row>
    <row r="62" ht="30" customHeight="1" spans="1:14">
      <c r="A62" s="8">
        <v>60</v>
      </c>
      <c r="B62" s="10" t="s">
        <v>49</v>
      </c>
      <c r="C62" s="10" t="s">
        <v>265</v>
      </c>
      <c r="D62" s="10" t="s">
        <v>130</v>
      </c>
      <c r="E62" s="10" t="s">
        <v>266</v>
      </c>
      <c r="F62" s="10" t="s">
        <v>261</v>
      </c>
      <c r="G62" s="10" t="s">
        <v>234</v>
      </c>
      <c r="H62" s="10" t="s">
        <v>85</v>
      </c>
      <c r="I62" s="10" t="s">
        <v>85</v>
      </c>
      <c r="J62" s="10" t="s">
        <v>51</v>
      </c>
      <c r="K62" s="8" t="s">
        <v>79</v>
      </c>
      <c r="L62" s="8"/>
      <c r="M62" s="17" t="s">
        <v>80</v>
      </c>
      <c r="N62" s="4" t="s">
        <v>80</v>
      </c>
    </row>
    <row r="63" ht="30" customHeight="1" spans="1:14">
      <c r="A63" s="8">
        <v>61</v>
      </c>
      <c r="B63" s="11" t="s">
        <v>53</v>
      </c>
      <c r="C63" s="11" t="s">
        <v>267</v>
      </c>
      <c r="D63" s="11" t="s">
        <v>73</v>
      </c>
      <c r="E63" s="11" t="s">
        <v>268</v>
      </c>
      <c r="F63" s="11" t="s">
        <v>269</v>
      </c>
      <c r="G63" s="11" t="s">
        <v>270</v>
      </c>
      <c r="H63" s="11" t="s">
        <v>85</v>
      </c>
      <c r="I63" s="11" t="s">
        <v>85</v>
      </c>
      <c r="J63" s="11" t="s">
        <v>51</v>
      </c>
      <c r="K63" s="12" t="s">
        <v>79</v>
      </c>
      <c r="L63" s="12" t="s">
        <v>80</v>
      </c>
      <c r="M63" s="22" t="s">
        <v>80</v>
      </c>
      <c r="N63" s="23" t="s">
        <v>80</v>
      </c>
    </row>
    <row r="64" ht="30" customHeight="1" spans="1:14">
      <c r="A64" s="8">
        <v>62</v>
      </c>
      <c r="B64" s="8" t="s">
        <v>54</v>
      </c>
      <c r="C64" s="8" t="s">
        <v>271</v>
      </c>
      <c r="D64" s="8" t="s">
        <v>73</v>
      </c>
      <c r="E64" s="8" t="s">
        <v>90</v>
      </c>
      <c r="F64" s="8" t="s">
        <v>272</v>
      </c>
      <c r="G64" s="8" t="s">
        <v>273</v>
      </c>
      <c r="H64" s="8" t="s">
        <v>85</v>
      </c>
      <c r="I64" s="8" t="s">
        <v>85</v>
      </c>
      <c r="J64" s="8" t="s">
        <v>51</v>
      </c>
      <c r="K64" s="8" t="s">
        <v>79</v>
      </c>
      <c r="L64" s="8"/>
      <c r="M64" s="17" t="s">
        <v>80</v>
      </c>
      <c r="N64" s="4" t="s">
        <v>80</v>
      </c>
    </row>
    <row r="65" ht="30" customHeight="1" spans="1:14">
      <c r="A65" s="8">
        <v>63</v>
      </c>
      <c r="B65" s="14" t="s">
        <v>52</v>
      </c>
      <c r="C65" s="14" t="s">
        <v>274</v>
      </c>
      <c r="D65" s="14" t="s">
        <v>130</v>
      </c>
      <c r="E65" s="14" t="s">
        <v>135</v>
      </c>
      <c r="F65" s="14" t="s">
        <v>215</v>
      </c>
      <c r="G65" s="14" t="s">
        <v>275</v>
      </c>
      <c r="H65" s="14" t="s">
        <v>85</v>
      </c>
      <c r="I65" s="14" t="s">
        <v>85</v>
      </c>
      <c r="J65" s="14" t="s">
        <v>51</v>
      </c>
      <c r="K65" s="8" t="s">
        <v>79</v>
      </c>
      <c r="L65" s="8"/>
      <c r="M65" s="17" t="s">
        <v>80</v>
      </c>
      <c r="N65" s="4" t="s">
        <v>80</v>
      </c>
    </row>
    <row r="66" ht="30" customHeight="1" spans="1:14">
      <c r="A66" s="8">
        <v>64</v>
      </c>
      <c r="B66" s="10" t="s">
        <v>55</v>
      </c>
      <c r="C66" s="10" t="s">
        <v>276</v>
      </c>
      <c r="D66" s="10" t="s">
        <v>73</v>
      </c>
      <c r="E66" s="10" t="s">
        <v>277</v>
      </c>
      <c r="F66" s="10" t="s">
        <v>215</v>
      </c>
      <c r="G66" s="10" t="s">
        <v>110</v>
      </c>
      <c r="H66" s="10" t="s">
        <v>85</v>
      </c>
      <c r="I66" s="10" t="s">
        <v>85</v>
      </c>
      <c r="J66" s="10" t="s">
        <v>51</v>
      </c>
      <c r="K66" s="8" t="s">
        <v>79</v>
      </c>
      <c r="L66" s="8"/>
      <c r="M66" s="17" t="s">
        <v>80</v>
      </c>
      <c r="N66" s="4" t="s">
        <v>80</v>
      </c>
    </row>
    <row r="67" ht="30" customHeight="1" spans="1:14">
      <c r="A67" s="8">
        <v>65</v>
      </c>
      <c r="B67" s="8" t="s">
        <v>47</v>
      </c>
      <c r="C67" s="8" t="s">
        <v>278</v>
      </c>
      <c r="D67" s="8" t="s">
        <v>73</v>
      </c>
      <c r="E67" s="8" t="s">
        <v>82</v>
      </c>
      <c r="F67" s="8" t="s">
        <v>263</v>
      </c>
      <c r="G67" s="8" t="s">
        <v>229</v>
      </c>
      <c r="H67" s="8" t="s">
        <v>85</v>
      </c>
      <c r="I67" s="8" t="s">
        <v>85</v>
      </c>
      <c r="J67" s="8" t="s">
        <v>51</v>
      </c>
      <c r="K67" s="8" t="s">
        <v>79</v>
      </c>
      <c r="L67" s="24"/>
      <c r="M67" s="17" t="s">
        <v>80</v>
      </c>
      <c r="N67" s="4" t="s">
        <v>80</v>
      </c>
    </row>
    <row r="68" ht="30" customHeight="1" spans="1:14">
      <c r="A68" s="8">
        <v>66</v>
      </c>
      <c r="B68" s="9" t="s">
        <v>14</v>
      </c>
      <c r="C68" s="9" t="s">
        <v>279</v>
      </c>
      <c r="D68" s="9" t="s">
        <v>73</v>
      </c>
      <c r="E68" s="9" t="s">
        <v>147</v>
      </c>
      <c r="F68" s="9" t="s">
        <v>280</v>
      </c>
      <c r="G68" s="9" t="s">
        <v>281</v>
      </c>
      <c r="H68" s="9" t="s">
        <v>85</v>
      </c>
      <c r="I68" s="9" t="s">
        <v>85</v>
      </c>
      <c r="J68" s="9" t="s">
        <v>56</v>
      </c>
      <c r="K68" s="8" t="s">
        <v>79</v>
      </c>
      <c r="L68" s="24"/>
      <c r="M68" s="17" t="s">
        <v>80</v>
      </c>
      <c r="N68" s="4" t="s">
        <v>80</v>
      </c>
    </row>
    <row r="69" ht="30" customHeight="1" spans="1:14">
      <c r="A69" s="8">
        <v>67</v>
      </c>
      <c r="B69" s="9" t="s">
        <v>25</v>
      </c>
      <c r="C69" s="9" t="s">
        <v>282</v>
      </c>
      <c r="D69" s="9" t="s">
        <v>73</v>
      </c>
      <c r="E69" s="9" t="s">
        <v>94</v>
      </c>
      <c r="F69" s="9" t="s">
        <v>272</v>
      </c>
      <c r="G69" s="9" t="s">
        <v>283</v>
      </c>
      <c r="H69" s="9" t="s">
        <v>85</v>
      </c>
      <c r="I69" s="9" t="s">
        <v>85</v>
      </c>
      <c r="J69" s="9" t="s">
        <v>56</v>
      </c>
      <c r="K69" s="8" t="s">
        <v>79</v>
      </c>
      <c r="L69" s="24"/>
      <c r="M69" s="17" t="s">
        <v>80</v>
      </c>
      <c r="N69" s="4" t="s">
        <v>80</v>
      </c>
    </row>
    <row r="70" ht="30" customHeight="1" spans="1:14">
      <c r="A70" s="8">
        <v>68</v>
      </c>
      <c r="B70" s="9" t="s">
        <v>25</v>
      </c>
      <c r="C70" s="9" t="s">
        <v>284</v>
      </c>
      <c r="D70" s="9" t="s">
        <v>130</v>
      </c>
      <c r="E70" s="9" t="s">
        <v>90</v>
      </c>
      <c r="F70" s="9" t="s">
        <v>285</v>
      </c>
      <c r="G70" s="9" t="s">
        <v>157</v>
      </c>
      <c r="H70" s="9" t="s">
        <v>85</v>
      </c>
      <c r="I70" s="9" t="s">
        <v>85</v>
      </c>
      <c r="J70" s="9" t="s">
        <v>56</v>
      </c>
      <c r="K70" s="8" t="s">
        <v>79</v>
      </c>
      <c r="L70" s="24"/>
      <c r="M70" s="17" t="s">
        <v>80</v>
      </c>
      <c r="N70" s="4" t="s">
        <v>80</v>
      </c>
    </row>
    <row r="71" ht="30" customHeight="1" spans="1:14">
      <c r="A71" s="8">
        <v>69</v>
      </c>
      <c r="B71" s="9" t="s">
        <v>30</v>
      </c>
      <c r="C71" s="9" t="s">
        <v>286</v>
      </c>
      <c r="D71" s="9" t="s">
        <v>130</v>
      </c>
      <c r="E71" s="9" t="s">
        <v>287</v>
      </c>
      <c r="F71" s="9" t="s">
        <v>151</v>
      </c>
      <c r="G71" s="9" t="s">
        <v>262</v>
      </c>
      <c r="H71" s="9" t="s">
        <v>83</v>
      </c>
      <c r="I71" s="9" t="s">
        <v>153</v>
      </c>
      <c r="J71" s="9" t="s">
        <v>56</v>
      </c>
      <c r="K71" s="8" t="s">
        <v>79</v>
      </c>
      <c r="L71" s="24"/>
      <c r="M71" s="17" t="s">
        <v>80</v>
      </c>
      <c r="N71" s="4" t="s">
        <v>80</v>
      </c>
    </row>
    <row r="72" ht="30" customHeight="1" spans="1:14">
      <c r="A72" s="8">
        <v>70</v>
      </c>
      <c r="B72" s="9" t="s">
        <v>17</v>
      </c>
      <c r="C72" s="9" t="s">
        <v>288</v>
      </c>
      <c r="D72" s="9" t="s">
        <v>73</v>
      </c>
      <c r="E72" s="9" t="s">
        <v>289</v>
      </c>
      <c r="F72" s="9" t="s">
        <v>290</v>
      </c>
      <c r="G72" s="9" t="s">
        <v>84</v>
      </c>
      <c r="H72" s="9" t="s">
        <v>291</v>
      </c>
      <c r="I72" s="9" t="s">
        <v>292</v>
      </c>
      <c r="J72" s="9" t="s">
        <v>56</v>
      </c>
      <c r="K72" s="8" t="s">
        <v>79</v>
      </c>
      <c r="L72" s="24"/>
      <c r="M72" s="17" t="s">
        <v>80</v>
      </c>
      <c r="N72" s="4" t="s">
        <v>80</v>
      </c>
    </row>
    <row r="73" ht="30" customHeight="1" spans="1:14">
      <c r="A73" s="8">
        <v>71</v>
      </c>
      <c r="B73" s="9" t="s">
        <v>17</v>
      </c>
      <c r="C73" s="9" t="s">
        <v>293</v>
      </c>
      <c r="D73" s="9" t="s">
        <v>73</v>
      </c>
      <c r="E73" s="9" t="s">
        <v>294</v>
      </c>
      <c r="F73" s="9" t="s">
        <v>83</v>
      </c>
      <c r="G73" s="9" t="s">
        <v>84</v>
      </c>
      <c r="H73" s="9" t="s">
        <v>85</v>
      </c>
      <c r="I73" s="9" t="s">
        <v>85</v>
      </c>
      <c r="J73" s="9" t="s">
        <v>56</v>
      </c>
      <c r="K73" s="8" t="s">
        <v>79</v>
      </c>
      <c r="L73" s="24"/>
      <c r="M73" s="17" t="s">
        <v>80</v>
      </c>
      <c r="N73" s="4" t="s">
        <v>80</v>
      </c>
    </row>
    <row r="74" ht="30" customHeight="1" spans="1:14">
      <c r="A74" s="8">
        <v>72</v>
      </c>
      <c r="B74" s="8" t="s">
        <v>34</v>
      </c>
      <c r="C74" s="8" t="s">
        <v>295</v>
      </c>
      <c r="D74" s="8" t="s">
        <v>130</v>
      </c>
      <c r="E74" s="8" t="s">
        <v>147</v>
      </c>
      <c r="F74" s="8" t="s">
        <v>296</v>
      </c>
      <c r="G74" s="8" t="s">
        <v>157</v>
      </c>
      <c r="H74" s="8" t="s">
        <v>85</v>
      </c>
      <c r="I74" s="8" t="s">
        <v>85</v>
      </c>
      <c r="J74" s="9" t="s">
        <v>56</v>
      </c>
      <c r="K74" s="8" t="s">
        <v>79</v>
      </c>
      <c r="L74" s="8"/>
      <c r="M74" s="17" t="s">
        <v>80</v>
      </c>
      <c r="N74" s="4" t="s">
        <v>80</v>
      </c>
    </row>
    <row r="75" ht="30" customHeight="1" spans="1:14">
      <c r="A75" s="8">
        <v>73</v>
      </c>
      <c r="B75" s="8" t="s">
        <v>34</v>
      </c>
      <c r="C75" s="8" t="s">
        <v>297</v>
      </c>
      <c r="D75" s="8" t="s">
        <v>130</v>
      </c>
      <c r="E75" s="8" t="s">
        <v>90</v>
      </c>
      <c r="F75" s="8" t="s">
        <v>298</v>
      </c>
      <c r="G75" s="8" t="s">
        <v>299</v>
      </c>
      <c r="H75" s="8" t="s">
        <v>85</v>
      </c>
      <c r="I75" s="8" t="s">
        <v>85</v>
      </c>
      <c r="J75" s="9" t="s">
        <v>56</v>
      </c>
      <c r="K75" s="8" t="s">
        <v>79</v>
      </c>
      <c r="L75" s="8"/>
      <c r="M75" s="17" t="s">
        <v>80</v>
      </c>
      <c r="N75" s="4" t="s">
        <v>80</v>
      </c>
    </row>
    <row r="76" ht="30" customHeight="1" spans="1:14">
      <c r="A76" s="8">
        <v>74</v>
      </c>
      <c r="B76" s="13" t="s">
        <v>35</v>
      </c>
      <c r="C76" s="13" t="s">
        <v>300</v>
      </c>
      <c r="D76" s="13" t="s">
        <v>73</v>
      </c>
      <c r="E76" s="13" t="s">
        <v>301</v>
      </c>
      <c r="F76" s="13" t="s">
        <v>302</v>
      </c>
      <c r="G76" s="13" t="s">
        <v>199</v>
      </c>
      <c r="H76" s="13" t="s">
        <v>85</v>
      </c>
      <c r="I76" s="13" t="s">
        <v>85</v>
      </c>
      <c r="J76" s="13" t="s">
        <v>56</v>
      </c>
      <c r="K76" s="12" t="s">
        <v>79</v>
      </c>
      <c r="L76" s="12" t="s">
        <v>80</v>
      </c>
      <c r="M76" s="22" t="s">
        <v>80</v>
      </c>
      <c r="N76" s="23" t="s">
        <v>80</v>
      </c>
    </row>
    <row r="77" ht="30" customHeight="1" spans="1:14">
      <c r="A77" s="8">
        <v>75</v>
      </c>
      <c r="B77" s="9" t="s">
        <v>43</v>
      </c>
      <c r="C77" s="9" t="s">
        <v>303</v>
      </c>
      <c r="D77" s="9" t="s">
        <v>73</v>
      </c>
      <c r="E77" s="9" t="s">
        <v>147</v>
      </c>
      <c r="F77" s="9" t="s">
        <v>91</v>
      </c>
      <c r="G77" s="9" t="s">
        <v>304</v>
      </c>
      <c r="H77" s="9" t="s">
        <v>85</v>
      </c>
      <c r="I77" s="9" t="s">
        <v>85</v>
      </c>
      <c r="J77" s="9" t="s">
        <v>56</v>
      </c>
      <c r="K77" s="8" t="s">
        <v>79</v>
      </c>
      <c r="L77" s="8"/>
      <c r="M77" s="17" t="s">
        <v>80</v>
      </c>
      <c r="N77" s="4" t="s">
        <v>80</v>
      </c>
    </row>
    <row r="78" ht="30" customHeight="1" spans="1:14">
      <c r="A78" s="8">
        <v>76</v>
      </c>
      <c r="B78" s="9" t="s">
        <v>20</v>
      </c>
      <c r="C78" s="9" t="s">
        <v>305</v>
      </c>
      <c r="D78" s="9" t="s">
        <v>73</v>
      </c>
      <c r="E78" s="9" t="s">
        <v>144</v>
      </c>
      <c r="F78" s="9" t="s">
        <v>83</v>
      </c>
      <c r="G78" s="9" t="s">
        <v>168</v>
      </c>
      <c r="H78" s="9" t="s">
        <v>85</v>
      </c>
      <c r="I78" s="9" t="s">
        <v>85</v>
      </c>
      <c r="J78" s="9" t="s">
        <v>56</v>
      </c>
      <c r="K78" s="8" t="s">
        <v>79</v>
      </c>
      <c r="L78" s="8"/>
      <c r="M78" s="17" t="s">
        <v>80</v>
      </c>
      <c r="N78" s="4" t="s">
        <v>80</v>
      </c>
    </row>
    <row r="79" ht="30" customHeight="1" spans="1:14">
      <c r="A79" s="8">
        <v>77</v>
      </c>
      <c r="B79" s="8" t="s">
        <v>36</v>
      </c>
      <c r="C79" s="8" t="s">
        <v>306</v>
      </c>
      <c r="D79" s="8" t="s">
        <v>73</v>
      </c>
      <c r="E79" s="8" t="s">
        <v>90</v>
      </c>
      <c r="F79" s="8" t="s">
        <v>307</v>
      </c>
      <c r="G79" s="8" t="s">
        <v>308</v>
      </c>
      <c r="H79" s="8" t="s">
        <v>85</v>
      </c>
      <c r="I79" s="8" t="s">
        <v>85</v>
      </c>
      <c r="J79" s="9" t="s">
        <v>56</v>
      </c>
      <c r="K79" s="8" t="s">
        <v>79</v>
      </c>
      <c r="L79" s="8"/>
      <c r="M79" s="17" t="s">
        <v>80</v>
      </c>
      <c r="N79" s="4" t="s">
        <v>80</v>
      </c>
    </row>
    <row r="80" ht="30" customHeight="1" spans="1:14">
      <c r="A80" s="8">
        <v>78</v>
      </c>
      <c r="B80" s="8" t="s">
        <v>37</v>
      </c>
      <c r="C80" s="8" t="s">
        <v>309</v>
      </c>
      <c r="D80" s="8" t="s">
        <v>73</v>
      </c>
      <c r="E80" s="8" t="s">
        <v>310</v>
      </c>
      <c r="F80" s="8" t="s">
        <v>311</v>
      </c>
      <c r="G80" s="8" t="s">
        <v>124</v>
      </c>
      <c r="H80" s="8" t="s">
        <v>85</v>
      </c>
      <c r="I80" s="8" t="s">
        <v>85</v>
      </c>
      <c r="J80" s="9" t="s">
        <v>56</v>
      </c>
      <c r="K80" s="8" t="s">
        <v>79</v>
      </c>
      <c r="L80" s="8"/>
      <c r="M80" s="17" t="s">
        <v>80</v>
      </c>
      <c r="N80" s="4" t="s">
        <v>80</v>
      </c>
    </row>
    <row r="81" ht="30" customHeight="1" spans="1:14">
      <c r="A81" s="8">
        <v>79</v>
      </c>
      <c r="B81" s="8" t="s">
        <v>52</v>
      </c>
      <c r="C81" s="8" t="s">
        <v>312</v>
      </c>
      <c r="D81" s="8" t="s">
        <v>130</v>
      </c>
      <c r="E81" s="8" t="s">
        <v>82</v>
      </c>
      <c r="F81" s="8" t="s">
        <v>313</v>
      </c>
      <c r="G81" s="8" t="s">
        <v>133</v>
      </c>
      <c r="H81" s="8" t="s">
        <v>85</v>
      </c>
      <c r="I81" s="8" t="s">
        <v>85</v>
      </c>
      <c r="J81" s="8" t="s">
        <v>56</v>
      </c>
      <c r="K81" s="8" t="s">
        <v>79</v>
      </c>
      <c r="L81" s="8"/>
      <c r="M81" s="17" t="s">
        <v>80</v>
      </c>
      <c r="N81" s="4" t="s">
        <v>80</v>
      </c>
    </row>
    <row r="82" ht="30" customHeight="1" spans="1:14">
      <c r="A82" s="8">
        <v>80</v>
      </c>
      <c r="B82" s="10" t="s">
        <v>54</v>
      </c>
      <c r="C82" s="10" t="s">
        <v>314</v>
      </c>
      <c r="D82" s="10" t="s">
        <v>73</v>
      </c>
      <c r="E82" s="10" t="s">
        <v>144</v>
      </c>
      <c r="F82" s="10" t="s">
        <v>315</v>
      </c>
      <c r="G82" s="10" t="s">
        <v>273</v>
      </c>
      <c r="H82" s="10" t="s">
        <v>85</v>
      </c>
      <c r="I82" s="10" t="s">
        <v>85</v>
      </c>
      <c r="J82" s="10" t="s">
        <v>56</v>
      </c>
      <c r="K82" s="8" t="s">
        <v>79</v>
      </c>
      <c r="L82" s="8"/>
      <c r="M82" s="17" t="s">
        <v>80</v>
      </c>
      <c r="N82" s="4" t="s">
        <v>80</v>
      </c>
    </row>
    <row r="83" ht="30" customHeight="1" spans="1:14">
      <c r="A83" s="8">
        <v>81</v>
      </c>
      <c r="B83" s="8" t="s">
        <v>55</v>
      </c>
      <c r="C83" s="8" t="s">
        <v>316</v>
      </c>
      <c r="D83" s="8" t="s">
        <v>130</v>
      </c>
      <c r="E83" s="8" t="s">
        <v>82</v>
      </c>
      <c r="F83" s="8" t="s">
        <v>313</v>
      </c>
      <c r="G83" s="8" t="s">
        <v>317</v>
      </c>
      <c r="H83" s="8" t="s">
        <v>85</v>
      </c>
      <c r="I83" s="8" t="s">
        <v>85</v>
      </c>
      <c r="J83" s="8" t="s">
        <v>56</v>
      </c>
      <c r="K83" s="8" t="s">
        <v>79</v>
      </c>
      <c r="L83" s="8"/>
      <c r="M83" s="17" t="s">
        <v>80</v>
      </c>
      <c r="N83" s="4" t="s">
        <v>80</v>
      </c>
    </row>
    <row r="84" ht="30" customHeight="1" spans="1:14">
      <c r="A84" s="8">
        <v>82</v>
      </c>
      <c r="B84" s="8" t="s">
        <v>58</v>
      </c>
      <c r="C84" s="8" t="s">
        <v>318</v>
      </c>
      <c r="D84" s="8" t="s">
        <v>73</v>
      </c>
      <c r="E84" s="8" t="s">
        <v>82</v>
      </c>
      <c r="F84" s="8" t="s">
        <v>319</v>
      </c>
      <c r="G84" s="8" t="s">
        <v>320</v>
      </c>
      <c r="H84" s="8" t="s">
        <v>85</v>
      </c>
      <c r="I84" s="8" t="s">
        <v>85</v>
      </c>
      <c r="J84" s="8" t="s">
        <v>56</v>
      </c>
      <c r="K84" s="8" t="s">
        <v>79</v>
      </c>
      <c r="L84" s="8"/>
      <c r="M84" s="17" t="s">
        <v>80</v>
      </c>
      <c r="N84" s="4" t="s">
        <v>80</v>
      </c>
    </row>
    <row r="85" ht="30" customHeight="1" spans="1:14">
      <c r="A85" s="8">
        <v>83</v>
      </c>
      <c r="B85" s="8" t="s">
        <v>47</v>
      </c>
      <c r="C85" s="8" t="s">
        <v>321</v>
      </c>
      <c r="D85" s="8" t="s">
        <v>73</v>
      </c>
      <c r="E85" s="8" t="s">
        <v>322</v>
      </c>
      <c r="F85" s="8" t="s">
        <v>83</v>
      </c>
      <c r="G85" s="8" t="s">
        <v>323</v>
      </c>
      <c r="H85" s="8" t="s">
        <v>85</v>
      </c>
      <c r="I85" s="8" t="s">
        <v>85</v>
      </c>
      <c r="J85" s="8" t="s">
        <v>56</v>
      </c>
      <c r="K85" s="8" t="s">
        <v>79</v>
      </c>
      <c r="L85" s="8"/>
      <c r="M85" s="17" t="s">
        <v>80</v>
      </c>
      <c r="N85" s="4" t="s">
        <v>80</v>
      </c>
    </row>
    <row r="86" ht="30" customHeight="1" spans="1:14">
      <c r="A86" s="8">
        <v>84</v>
      </c>
      <c r="B86" s="8" t="s">
        <v>59</v>
      </c>
      <c r="C86" s="8" t="s">
        <v>324</v>
      </c>
      <c r="D86" s="8" t="s">
        <v>73</v>
      </c>
      <c r="E86" s="8" t="s">
        <v>184</v>
      </c>
      <c r="F86" s="8" t="s">
        <v>325</v>
      </c>
      <c r="G86" s="8" t="s">
        <v>323</v>
      </c>
      <c r="H86" s="8" t="s">
        <v>85</v>
      </c>
      <c r="I86" s="8" t="s">
        <v>85</v>
      </c>
      <c r="J86" s="8" t="s">
        <v>56</v>
      </c>
      <c r="K86" s="8" t="s">
        <v>79</v>
      </c>
      <c r="L86" s="8"/>
      <c r="M86" s="17" t="s">
        <v>80</v>
      </c>
      <c r="N86" s="4" t="s">
        <v>80</v>
      </c>
    </row>
    <row r="87" ht="30" customHeight="1" spans="1:14">
      <c r="A87" s="8">
        <v>85</v>
      </c>
      <c r="B87" s="12" t="s">
        <v>53</v>
      </c>
      <c r="C87" s="12" t="s">
        <v>326</v>
      </c>
      <c r="D87" s="12" t="s">
        <v>73</v>
      </c>
      <c r="E87" s="12" t="s">
        <v>82</v>
      </c>
      <c r="F87" s="12" t="s">
        <v>103</v>
      </c>
      <c r="G87" s="12" t="s">
        <v>181</v>
      </c>
      <c r="H87" s="12" t="s">
        <v>85</v>
      </c>
      <c r="I87" s="12" t="s">
        <v>85</v>
      </c>
      <c r="J87" s="12" t="s">
        <v>56</v>
      </c>
      <c r="K87" s="12" t="s">
        <v>79</v>
      </c>
      <c r="L87" s="12" t="s">
        <v>80</v>
      </c>
      <c r="M87" s="22" t="s">
        <v>80</v>
      </c>
      <c r="N87" s="23" t="s">
        <v>80</v>
      </c>
    </row>
    <row r="88" ht="30" customHeight="1" spans="1:14">
      <c r="A88" s="8">
        <v>86</v>
      </c>
      <c r="B88" s="10" t="s">
        <v>34</v>
      </c>
      <c r="C88" s="10" t="s">
        <v>327</v>
      </c>
      <c r="D88" s="10" t="s">
        <v>73</v>
      </c>
      <c r="E88" s="10" t="s">
        <v>328</v>
      </c>
      <c r="F88" s="10" t="s">
        <v>83</v>
      </c>
      <c r="G88" s="10" t="s">
        <v>157</v>
      </c>
      <c r="H88" s="10" t="s">
        <v>83</v>
      </c>
      <c r="I88" s="10" t="s">
        <v>329</v>
      </c>
      <c r="J88" s="10" t="s">
        <v>60</v>
      </c>
      <c r="K88" s="8" t="s">
        <v>79</v>
      </c>
      <c r="L88" s="8"/>
      <c r="M88" s="17" t="s">
        <v>80</v>
      </c>
      <c r="N88" s="4" t="s">
        <v>80</v>
      </c>
    </row>
    <row r="89" ht="30" customHeight="1" spans="1:14">
      <c r="A89" s="8">
        <v>87</v>
      </c>
      <c r="B89" s="9" t="s">
        <v>34</v>
      </c>
      <c r="C89" s="9" t="s">
        <v>330</v>
      </c>
      <c r="D89" s="9" t="s">
        <v>130</v>
      </c>
      <c r="E89" s="9" t="s">
        <v>331</v>
      </c>
      <c r="F89" s="9" t="s">
        <v>296</v>
      </c>
      <c r="G89" s="9" t="s">
        <v>157</v>
      </c>
      <c r="H89" s="9" t="s">
        <v>85</v>
      </c>
      <c r="I89" s="9" t="s">
        <v>85</v>
      </c>
      <c r="J89" s="9" t="s">
        <v>60</v>
      </c>
      <c r="K89" s="8" t="s">
        <v>79</v>
      </c>
      <c r="L89" s="8"/>
      <c r="M89" s="17" t="s">
        <v>80</v>
      </c>
      <c r="N89" s="4" t="s">
        <v>80</v>
      </c>
    </row>
    <row r="90" ht="30" customHeight="1" spans="1:14">
      <c r="A90" s="8">
        <v>88</v>
      </c>
      <c r="B90" s="10" t="s">
        <v>19</v>
      </c>
      <c r="C90" s="10" t="s">
        <v>332</v>
      </c>
      <c r="D90" s="10" t="s">
        <v>73</v>
      </c>
      <c r="E90" s="10" t="s">
        <v>90</v>
      </c>
      <c r="F90" s="10" t="s">
        <v>91</v>
      </c>
      <c r="G90" s="10" t="s">
        <v>225</v>
      </c>
      <c r="H90" s="10" t="s">
        <v>85</v>
      </c>
      <c r="I90" s="10" t="s">
        <v>85</v>
      </c>
      <c r="J90" s="10" t="s">
        <v>60</v>
      </c>
      <c r="K90" s="8" t="s">
        <v>79</v>
      </c>
      <c r="L90" s="8"/>
      <c r="M90" s="17" t="s">
        <v>80</v>
      </c>
      <c r="N90" s="4" t="s">
        <v>80</v>
      </c>
    </row>
    <row r="91" ht="30" customHeight="1" spans="1:14">
      <c r="A91" s="8">
        <v>89</v>
      </c>
      <c r="B91" s="8" t="s">
        <v>44</v>
      </c>
      <c r="C91" s="8" t="s">
        <v>333</v>
      </c>
      <c r="D91" s="8" t="s">
        <v>130</v>
      </c>
      <c r="E91" s="8" t="s">
        <v>334</v>
      </c>
      <c r="F91" s="8" t="s">
        <v>335</v>
      </c>
      <c r="G91" s="8" t="s">
        <v>336</v>
      </c>
      <c r="H91" s="8" t="s">
        <v>116</v>
      </c>
      <c r="I91" s="8" t="s">
        <v>337</v>
      </c>
      <c r="J91" s="9" t="s">
        <v>60</v>
      </c>
      <c r="K91" s="8" t="s">
        <v>79</v>
      </c>
      <c r="L91" s="8"/>
      <c r="M91" s="17" t="s">
        <v>80</v>
      </c>
      <c r="N91" s="4" t="s">
        <v>80</v>
      </c>
    </row>
    <row r="92" ht="30" customHeight="1" spans="1:14">
      <c r="A92" s="8">
        <v>90</v>
      </c>
      <c r="B92" s="8" t="s">
        <v>59</v>
      </c>
      <c r="C92" s="8" t="s">
        <v>338</v>
      </c>
      <c r="D92" s="8" t="s">
        <v>73</v>
      </c>
      <c r="E92" s="8" t="s">
        <v>184</v>
      </c>
      <c r="F92" s="8" t="s">
        <v>307</v>
      </c>
      <c r="G92" s="8" t="s">
        <v>339</v>
      </c>
      <c r="H92" s="8" t="s">
        <v>85</v>
      </c>
      <c r="I92" s="8" t="s">
        <v>85</v>
      </c>
      <c r="J92" s="8" t="s">
        <v>60</v>
      </c>
      <c r="K92" s="8" t="s">
        <v>79</v>
      </c>
      <c r="L92" s="8"/>
      <c r="M92" s="17" t="s">
        <v>80</v>
      </c>
      <c r="N92" s="4" t="s">
        <v>80</v>
      </c>
    </row>
    <row r="93" ht="30" customHeight="1" spans="1:14">
      <c r="A93" s="8">
        <v>91</v>
      </c>
      <c r="B93" s="8" t="s">
        <v>55</v>
      </c>
      <c r="C93" s="8" t="s">
        <v>340</v>
      </c>
      <c r="D93" s="8" t="s">
        <v>73</v>
      </c>
      <c r="E93" s="8" t="s">
        <v>341</v>
      </c>
      <c r="F93" s="8" t="s">
        <v>342</v>
      </c>
      <c r="G93" s="8" t="s">
        <v>343</v>
      </c>
      <c r="H93" s="8" t="s">
        <v>77</v>
      </c>
      <c r="I93" s="8" t="s">
        <v>166</v>
      </c>
      <c r="J93" s="8" t="s">
        <v>60</v>
      </c>
      <c r="K93" s="8" t="s">
        <v>79</v>
      </c>
      <c r="L93" s="8"/>
      <c r="M93" s="17" t="s">
        <v>80</v>
      </c>
      <c r="N93" s="4" t="s">
        <v>80</v>
      </c>
    </row>
    <row r="94" ht="30" customHeight="1" spans="1:14">
      <c r="A94" s="8">
        <v>92</v>
      </c>
      <c r="B94" s="9" t="s">
        <v>33</v>
      </c>
      <c r="C94" s="9" t="s">
        <v>344</v>
      </c>
      <c r="D94" s="9" t="s">
        <v>73</v>
      </c>
      <c r="E94" s="9" t="s">
        <v>172</v>
      </c>
      <c r="F94" s="9" t="s">
        <v>345</v>
      </c>
      <c r="G94" s="9" t="s">
        <v>346</v>
      </c>
      <c r="H94" s="9" t="s">
        <v>83</v>
      </c>
      <c r="I94" s="9" t="s">
        <v>347</v>
      </c>
      <c r="J94" s="9" t="s">
        <v>61</v>
      </c>
      <c r="K94" s="8" t="s">
        <v>79</v>
      </c>
      <c r="L94" s="8"/>
      <c r="M94" s="17" t="s">
        <v>80</v>
      </c>
      <c r="N94" s="4" t="s">
        <v>80</v>
      </c>
    </row>
    <row r="95" ht="30" customHeight="1" spans="1:14">
      <c r="A95" s="8">
        <v>93</v>
      </c>
      <c r="B95" s="9" t="s">
        <v>33</v>
      </c>
      <c r="C95" s="9" t="s">
        <v>348</v>
      </c>
      <c r="D95" s="9" t="s">
        <v>73</v>
      </c>
      <c r="E95" s="9" t="s">
        <v>349</v>
      </c>
      <c r="F95" s="9" t="s">
        <v>350</v>
      </c>
      <c r="G95" s="9" t="s">
        <v>351</v>
      </c>
      <c r="H95" s="9" t="s">
        <v>247</v>
      </c>
      <c r="I95" s="9" t="s">
        <v>352</v>
      </c>
      <c r="J95" s="9" t="s">
        <v>61</v>
      </c>
      <c r="K95" s="8" t="s">
        <v>79</v>
      </c>
      <c r="L95" s="8"/>
      <c r="M95" s="17" t="s">
        <v>80</v>
      </c>
      <c r="N95" s="4" t="s">
        <v>80</v>
      </c>
    </row>
    <row r="96" ht="30" customHeight="1" spans="1:14">
      <c r="A96" s="8">
        <v>94</v>
      </c>
      <c r="B96" s="9" t="s">
        <v>30</v>
      </c>
      <c r="C96" s="9" t="s">
        <v>353</v>
      </c>
      <c r="D96" s="9" t="s">
        <v>130</v>
      </c>
      <c r="E96" s="9" t="s">
        <v>90</v>
      </c>
      <c r="F96" s="9" t="s">
        <v>132</v>
      </c>
      <c r="G96" s="9" t="s">
        <v>133</v>
      </c>
      <c r="H96" s="9" t="s">
        <v>85</v>
      </c>
      <c r="I96" s="9" t="s">
        <v>85</v>
      </c>
      <c r="J96" s="9" t="s">
        <v>61</v>
      </c>
      <c r="K96" s="8" t="s">
        <v>79</v>
      </c>
      <c r="L96" s="8"/>
      <c r="M96" s="17" t="s">
        <v>80</v>
      </c>
      <c r="N96" s="4" t="s">
        <v>80</v>
      </c>
    </row>
    <row r="97" ht="30" customHeight="1" spans="1:14">
      <c r="A97" s="8">
        <v>95</v>
      </c>
      <c r="B97" s="9" t="s">
        <v>17</v>
      </c>
      <c r="C97" s="9" t="s">
        <v>354</v>
      </c>
      <c r="D97" s="9" t="s">
        <v>73</v>
      </c>
      <c r="E97" s="9" t="s">
        <v>74</v>
      </c>
      <c r="F97" s="9" t="s">
        <v>83</v>
      </c>
      <c r="G97" s="9" t="s">
        <v>355</v>
      </c>
      <c r="H97" s="9" t="s">
        <v>83</v>
      </c>
      <c r="I97" s="9" t="s">
        <v>356</v>
      </c>
      <c r="J97" s="9" t="s">
        <v>61</v>
      </c>
      <c r="K97" s="8" t="s">
        <v>79</v>
      </c>
      <c r="L97" s="8"/>
      <c r="M97" s="17" t="s">
        <v>80</v>
      </c>
      <c r="N97" s="4" t="s">
        <v>80</v>
      </c>
    </row>
    <row r="98" ht="30" customHeight="1" spans="1:14">
      <c r="A98" s="8">
        <v>96</v>
      </c>
      <c r="B98" s="9" t="s">
        <v>17</v>
      </c>
      <c r="C98" s="9" t="s">
        <v>357</v>
      </c>
      <c r="D98" s="9" t="s">
        <v>73</v>
      </c>
      <c r="E98" s="9" t="s">
        <v>90</v>
      </c>
      <c r="F98" s="9" t="s">
        <v>83</v>
      </c>
      <c r="G98" s="9" t="s">
        <v>84</v>
      </c>
      <c r="H98" s="9" t="s">
        <v>85</v>
      </c>
      <c r="I98" s="9" t="s">
        <v>85</v>
      </c>
      <c r="J98" s="9" t="s">
        <v>61</v>
      </c>
      <c r="K98" s="8" t="s">
        <v>79</v>
      </c>
      <c r="L98" s="8"/>
      <c r="M98" s="17" t="s">
        <v>80</v>
      </c>
      <c r="N98" s="4" t="s">
        <v>80</v>
      </c>
    </row>
    <row r="99" ht="30" customHeight="1" spans="1:14">
      <c r="A99" s="8">
        <v>97</v>
      </c>
      <c r="B99" s="10" t="s">
        <v>34</v>
      </c>
      <c r="C99" s="10" t="s">
        <v>358</v>
      </c>
      <c r="D99" s="10" t="s">
        <v>73</v>
      </c>
      <c r="E99" s="10" t="s">
        <v>359</v>
      </c>
      <c r="F99" s="10" t="s">
        <v>83</v>
      </c>
      <c r="G99" s="10" t="s">
        <v>157</v>
      </c>
      <c r="H99" s="10" t="s">
        <v>85</v>
      </c>
      <c r="I99" s="10" t="s">
        <v>85</v>
      </c>
      <c r="J99" s="10" t="s">
        <v>61</v>
      </c>
      <c r="K99" s="8" t="s">
        <v>79</v>
      </c>
      <c r="L99" s="8"/>
      <c r="M99" s="17" t="s">
        <v>80</v>
      </c>
      <c r="N99" s="4" t="s">
        <v>80</v>
      </c>
    </row>
    <row r="100" ht="30" customHeight="1" spans="1:14">
      <c r="A100" s="8">
        <v>98</v>
      </c>
      <c r="B100" s="13" t="s">
        <v>35</v>
      </c>
      <c r="C100" s="13" t="s">
        <v>360</v>
      </c>
      <c r="D100" s="13" t="s">
        <v>73</v>
      </c>
      <c r="E100" s="13" t="s">
        <v>361</v>
      </c>
      <c r="F100" s="13" t="s">
        <v>83</v>
      </c>
      <c r="G100" s="13" t="s">
        <v>188</v>
      </c>
      <c r="H100" s="13" t="s">
        <v>85</v>
      </c>
      <c r="I100" s="13" t="s">
        <v>85</v>
      </c>
      <c r="J100" s="13" t="s">
        <v>61</v>
      </c>
      <c r="K100" s="12" t="s">
        <v>79</v>
      </c>
      <c r="L100" s="12" t="s">
        <v>80</v>
      </c>
      <c r="M100" s="22" t="s">
        <v>80</v>
      </c>
      <c r="N100" s="23" t="s">
        <v>80</v>
      </c>
    </row>
    <row r="101" ht="30" customHeight="1" spans="1:14">
      <c r="A101" s="8">
        <v>99</v>
      </c>
      <c r="B101" s="10" t="s">
        <v>14</v>
      </c>
      <c r="C101" s="10" t="s">
        <v>362</v>
      </c>
      <c r="D101" s="10" t="s">
        <v>73</v>
      </c>
      <c r="E101" s="10" t="s">
        <v>363</v>
      </c>
      <c r="F101" s="10" t="s">
        <v>83</v>
      </c>
      <c r="G101" s="10" t="s">
        <v>84</v>
      </c>
      <c r="H101" s="10" t="s">
        <v>85</v>
      </c>
      <c r="I101" s="10" t="s">
        <v>85</v>
      </c>
      <c r="J101" s="10" t="s">
        <v>61</v>
      </c>
      <c r="K101" s="8" t="s">
        <v>79</v>
      </c>
      <c r="L101" s="8"/>
      <c r="M101" s="17" t="s">
        <v>80</v>
      </c>
      <c r="N101" s="4" t="s">
        <v>80</v>
      </c>
    </row>
    <row r="102" ht="30" customHeight="1" spans="1:14">
      <c r="A102" s="8">
        <v>100</v>
      </c>
      <c r="B102" s="10" t="s">
        <v>43</v>
      </c>
      <c r="C102" s="10" t="s">
        <v>364</v>
      </c>
      <c r="D102" s="10" t="s">
        <v>73</v>
      </c>
      <c r="E102" s="10" t="s">
        <v>365</v>
      </c>
      <c r="F102" s="10" t="s">
        <v>83</v>
      </c>
      <c r="G102" s="10" t="s">
        <v>231</v>
      </c>
      <c r="H102" s="10" t="s">
        <v>85</v>
      </c>
      <c r="I102" s="10" t="s">
        <v>85</v>
      </c>
      <c r="J102" s="10" t="s">
        <v>61</v>
      </c>
      <c r="K102" s="8" t="s">
        <v>79</v>
      </c>
      <c r="L102" s="8"/>
      <c r="M102" s="17" t="s">
        <v>80</v>
      </c>
      <c r="N102" s="4" t="s">
        <v>80</v>
      </c>
    </row>
    <row r="103" ht="30" customHeight="1" spans="1:14">
      <c r="A103" s="8">
        <v>101</v>
      </c>
      <c r="B103" s="9" t="s">
        <v>19</v>
      </c>
      <c r="C103" s="9" t="s">
        <v>366</v>
      </c>
      <c r="D103" s="9" t="s">
        <v>73</v>
      </c>
      <c r="E103" s="9" t="s">
        <v>367</v>
      </c>
      <c r="F103" s="9" t="s">
        <v>83</v>
      </c>
      <c r="G103" s="9" t="s">
        <v>225</v>
      </c>
      <c r="H103" s="9" t="s">
        <v>85</v>
      </c>
      <c r="I103" s="9" t="s">
        <v>85</v>
      </c>
      <c r="J103" s="9" t="s">
        <v>61</v>
      </c>
      <c r="K103" s="8" t="s">
        <v>79</v>
      </c>
      <c r="L103" s="8"/>
      <c r="M103" s="17" t="s">
        <v>80</v>
      </c>
      <c r="N103" s="4" t="s">
        <v>80</v>
      </c>
    </row>
    <row r="104" ht="30" customHeight="1" spans="1:14">
      <c r="A104" s="8">
        <v>102</v>
      </c>
      <c r="B104" s="9" t="s">
        <v>44</v>
      </c>
      <c r="C104" s="9" t="s">
        <v>368</v>
      </c>
      <c r="D104" s="9" t="s">
        <v>73</v>
      </c>
      <c r="E104" s="9" t="s">
        <v>94</v>
      </c>
      <c r="F104" s="9" t="s">
        <v>369</v>
      </c>
      <c r="G104" s="9" t="s">
        <v>207</v>
      </c>
      <c r="H104" s="9" t="s">
        <v>83</v>
      </c>
      <c r="I104" s="9" t="s">
        <v>370</v>
      </c>
      <c r="J104" s="9" t="s">
        <v>61</v>
      </c>
      <c r="K104" s="8" t="s">
        <v>79</v>
      </c>
      <c r="L104" s="8"/>
      <c r="M104" s="17" t="s">
        <v>80</v>
      </c>
      <c r="N104" s="4" t="s">
        <v>80</v>
      </c>
    </row>
    <row r="105" ht="30" customHeight="1" spans="1:14">
      <c r="A105" s="8">
        <v>103</v>
      </c>
      <c r="B105" s="8" t="s">
        <v>20</v>
      </c>
      <c r="C105" s="8" t="s">
        <v>371</v>
      </c>
      <c r="D105" s="8" t="s">
        <v>73</v>
      </c>
      <c r="E105" s="8" t="s">
        <v>144</v>
      </c>
      <c r="F105" s="8" t="s">
        <v>83</v>
      </c>
      <c r="G105" s="8" t="s">
        <v>168</v>
      </c>
      <c r="H105" s="8" t="s">
        <v>85</v>
      </c>
      <c r="I105" s="8" t="s">
        <v>85</v>
      </c>
      <c r="J105" s="9" t="s">
        <v>61</v>
      </c>
      <c r="K105" s="8" t="s">
        <v>79</v>
      </c>
      <c r="L105" s="8"/>
      <c r="M105" s="17" t="s">
        <v>80</v>
      </c>
      <c r="N105" s="4" t="s">
        <v>80</v>
      </c>
    </row>
    <row r="106" ht="30" customHeight="1" spans="1:14">
      <c r="A106" s="8">
        <v>104</v>
      </c>
      <c r="B106" s="10" t="s">
        <v>20</v>
      </c>
      <c r="C106" s="10" t="s">
        <v>372</v>
      </c>
      <c r="D106" s="10" t="s">
        <v>73</v>
      </c>
      <c r="E106" s="10" t="s">
        <v>147</v>
      </c>
      <c r="F106" s="10" t="s">
        <v>83</v>
      </c>
      <c r="G106" s="10" t="s">
        <v>373</v>
      </c>
      <c r="H106" s="10" t="s">
        <v>83</v>
      </c>
      <c r="I106" s="10" t="s">
        <v>210</v>
      </c>
      <c r="J106" s="10" t="s">
        <v>61</v>
      </c>
      <c r="K106" s="8" t="s">
        <v>79</v>
      </c>
      <c r="L106" s="8"/>
      <c r="M106" s="17" t="s">
        <v>80</v>
      </c>
      <c r="N106" s="4" t="s">
        <v>80</v>
      </c>
    </row>
    <row r="107" ht="30" customHeight="1" spans="1:14">
      <c r="A107" s="8">
        <v>105</v>
      </c>
      <c r="B107" s="10" t="s">
        <v>27</v>
      </c>
      <c r="C107" s="10" t="s">
        <v>374</v>
      </c>
      <c r="D107" s="10" t="s">
        <v>73</v>
      </c>
      <c r="E107" s="10" t="s">
        <v>82</v>
      </c>
      <c r="F107" s="10" t="s">
        <v>215</v>
      </c>
      <c r="G107" s="10" t="s">
        <v>88</v>
      </c>
      <c r="H107" s="10" t="s">
        <v>85</v>
      </c>
      <c r="I107" s="10" t="s">
        <v>85</v>
      </c>
      <c r="J107" s="10" t="s">
        <v>61</v>
      </c>
      <c r="K107" s="8" t="s">
        <v>79</v>
      </c>
      <c r="L107" s="8"/>
      <c r="M107" s="17" t="s">
        <v>80</v>
      </c>
      <c r="N107" s="4" t="s">
        <v>80</v>
      </c>
    </row>
    <row r="108" ht="30" customHeight="1" spans="1:14">
      <c r="A108" s="8">
        <v>106</v>
      </c>
      <c r="B108" s="8" t="s">
        <v>28</v>
      </c>
      <c r="C108" s="8" t="s">
        <v>375</v>
      </c>
      <c r="D108" s="8" t="s">
        <v>73</v>
      </c>
      <c r="E108" s="8" t="s">
        <v>209</v>
      </c>
      <c r="F108" s="8" t="s">
        <v>91</v>
      </c>
      <c r="G108" s="8" t="s">
        <v>124</v>
      </c>
      <c r="H108" s="8" t="s">
        <v>85</v>
      </c>
      <c r="I108" s="8" t="s">
        <v>85</v>
      </c>
      <c r="J108" s="8" t="s">
        <v>61</v>
      </c>
      <c r="K108" s="8" t="s">
        <v>79</v>
      </c>
      <c r="L108" s="8"/>
      <c r="M108" s="17" t="s">
        <v>80</v>
      </c>
      <c r="N108" s="4" t="s">
        <v>80</v>
      </c>
    </row>
    <row r="109" ht="30" customHeight="1" spans="1:14">
      <c r="A109" s="8">
        <v>107</v>
      </c>
      <c r="B109" s="8" t="s">
        <v>31</v>
      </c>
      <c r="C109" s="8" t="s">
        <v>376</v>
      </c>
      <c r="D109" s="8" t="s">
        <v>73</v>
      </c>
      <c r="E109" s="8" t="s">
        <v>209</v>
      </c>
      <c r="F109" s="8" t="s">
        <v>377</v>
      </c>
      <c r="G109" s="8" t="s">
        <v>133</v>
      </c>
      <c r="H109" s="8" t="s">
        <v>85</v>
      </c>
      <c r="I109" s="8" t="s">
        <v>85</v>
      </c>
      <c r="J109" s="8" t="s">
        <v>61</v>
      </c>
      <c r="K109" s="8" t="s">
        <v>79</v>
      </c>
      <c r="L109" s="8"/>
      <c r="M109" s="17" t="s">
        <v>80</v>
      </c>
      <c r="N109" s="4" t="s">
        <v>80</v>
      </c>
    </row>
    <row r="110" ht="30" customHeight="1" spans="1:14">
      <c r="A110" s="8">
        <v>108</v>
      </c>
      <c r="B110" s="10" t="s">
        <v>23</v>
      </c>
      <c r="C110" s="10" t="s">
        <v>378</v>
      </c>
      <c r="D110" s="10" t="s">
        <v>73</v>
      </c>
      <c r="E110" s="10" t="s">
        <v>379</v>
      </c>
      <c r="F110" s="10" t="s">
        <v>380</v>
      </c>
      <c r="G110" s="10" t="s">
        <v>381</v>
      </c>
      <c r="H110" s="10" t="s">
        <v>85</v>
      </c>
      <c r="I110" s="10" t="s">
        <v>85</v>
      </c>
      <c r="J110" s="10" t="s">
        <v>61</v>
      </c>
      <c r="K110" s="8" t="s">
        <v>79</v>
      </c>
      <c r="L110" s="24"/>
      <c r="M110" s="17" t="s">
        <v>80</v>
      </c>
      <c r="N110" s="4" t="s">
        <v>80</v>
      </c>
    </row>
    <row r="111" ht="30" customHeight="1" spans="1:14">
      <c r="A111" s="8">
        <v>109</v>
      </c>
      <c r="B111" s="8" t="s">
        <v>21</v>
      </c>
      <c r="C111" s="8" t="s">
        <v>382</v>
      </c>
      <c r="D111" s="8" t="s">
        <v>130</v>
      </c>
      <c r="E111" s="8" t="s">
        <v>383</v>
      </c>
      <c r="F111" s="8" t="s">
        <v>313</v>
      </c>
      <c r="G111" s="8" t="s">
        <v>273</v>
      </c>
      <c r="H111" s="8" t="s">
        <v>85</v>
      </c>
      <c r="I111" s="8" t="s">
        <v>85</v>
      </c>
      <c r="J111" s="8" t="s">
        <v>61</v>
      </c>
      <c r="K111" s="8" t="s">
        <v>79</v>
      </c>
      <c r="L111" s="24"/>
      <c r="M111" s="17" t="s">
        <v>80</v>
      </c>
      <c r="N111" s="4" t="s">
        <v>80</v>
      </c>
    </row>
    <row r="112" ht="30" customHeight="1" spans="1:14">
      <c r="A112" s="8">
        <v>110</v>
      </c>
      <c r="B112" s="8" t="s">
        <v>63</v>
      </c>
      <c r="C112" s="8" t="s">
        <v>384</v>
      </c>
      <c r="D112" s="8" t="s">
        <v>73</v>
      </c>
      <c r="E112" s="8" t="s">
        <v>385</v>
      </c>
      <c r="F112" s="8" t="s">
        <v>83</v>
      </c>
      <c r="G112" s="8" t="s">
        <v>168</v>
      </c>
      <c r="H112" s="8" t="s">
        <v>386</v>
      </c>
      <c r="I112" s="8" t="s">
        <v>210</v>
      </c>
      <c r="J112" s="8" t="s">
        <v>61</v>
      </c>
      <c r="K112" s="8" t="s">
        <v>79</v>
      </c>
      <c r="L112" s="24"/>
      <c r="M112" s="17" t="s">
        <v>80</v>
      </c>
      <c r="N112" s="4" t="s">
        <v>80</v>
      </c>
    </row>
    <row r="113" ht="30" customHeight="1" spans="1:14">
      <c r="A113" s="8">
        <v>111</v>
      </c>
      <c r="B113" s="9" t="s">
        <v>14</v>
      </c>
      <c r="C113" s="9" t="s">
        <v>387</v>
      </c>
      <c r="D113" s="9" t="s">
        <v>73</v>
      </c>
      <c r="E113" s="9" t="s">
        <v>90</v>
      </c>
      <c r="F113" s="9" t="s">
        <v>83</v>
      </c>
      <c r="G113" s="9" t="s">
        <v>84</v>
      </c>
      <c r="H113" s="9" t="s">
        <v>85</v>
      </c>
      <c r="I113" s="9" t="s">
        <v>85</v>
      </c>
      <c r="J113" s="9" t="s">
        <v>64</v>
      </c>
      <c r="K113" s="8" t="s">
        <v>79</v>
      </c>
      <c r="L113" s="24"/>
      <c r="M113" s="17" t="s">
        <v>80</v>
      </c>
      <c r="N113" s="4" t="s">
        <v>80</v>
      </c>
    </row>
    <row r="114" ht="30" customHeight="1" spans="1:14">
      <c r="A114" s="8">
        <v>112</v>
      </c>
      <c r="B114" s="8" t="s">
        <v>33</v>
      </c>
      <c r="C114" s="8" t="s">
        <v>388</v>
      </c>
      <c r="D114" s="8" t="s">
        <v>73</v>
      </c>
      <c r="E114" s="8" t="s">
        <v>82</v>
      </c>
      <c r="F114" s="8" t="s">
        <v>91</v>
      </c>
      <c r="G114" s="8" t="s">
        <v>157</v>
      </c>
      <c r="H114" s="8" t="s">
        <v>85</v>
      </c>
      <c r="I114" s="8" t="s">
        <v>85</v>
      </c>
      <c r="J114" s="9" t="s">
        <v>64</v>
      </c>
      <c r="K114" s="8" t="s">
        <v>79</v>
      </c>
      <c r="L114" s="24"/>
      <c r="M114" s="17" t="s">
        <v>80</v>
      </c>
      <c r="N114" s="4" t="s">
        <v>80</v>
      </c>
    </row>
    <row r="115" ht="30" customHeight="1" spans="1:14">
      <c r="A115" s="8">
        <v>113</v>
      </c>
      <c r="B115" s="10" t="s">
        <v>16</v>
      </c>
      <c r="C115" s="10" t="s">
        <v>389</v>
      </c>
      <c r="D115" s="10" t="s">
        <v>73</v>
      </c>
      <c r="E115" s="10" t="s">
        <v>301</v>
      </c>
      <c r="F115" s="10" t="s">
        <v>390</v>
      </c>
      <c r="G115" s="10" t="s">
        <v>391</v>
      </c>
      <c r="H115" s="10" t="s">
        <v>85</v>
      </c>
      <c r="I115" s="10" t="s">
        <v>85</v>
      </c>
      <c r="J115" s="10" t="s">
        <v>64</v>
      </c>
      <c r="K115" s="24" t="s">
        <v>79</v>
      </c>
      <c r="L115" s="24"/>
      <c r="M115" s="17" t="s">
        <v>80</v>
      </c>
      <c r="N115" s="4" t="s">
        <v>80</v>
      </c>
    </row>
    <row r="116" ht="30" customHeight="1" spans="1:14">
      <c r="A116" s="8">
        <v>114</v>
      </c>
      <c r="B116" s="12" t="s">
        <v>26</v>
      </c>
      <c r="C116" s="12" t="s">
        <v>392</v>
      </c>
      <c r="D116" s="12" t="s">
        <v>73</v>
      </c>
      <c r="E116" s="12" t="s">
        <v>393</v>
      </c>
      <c r="F116" s="12" t="s">
        <v>394</v>
      </c>
      <c r="G116" s="12" t="s">
        <v>181</v>
      </c>
      <c r="H116" s="12" t="s">
        <v>291</v>
      </c>
      <c r="I116" s="12" t="s">
        <v>395</v>
      </c>
      <c r="J116" s="13" t="s">
        <v>64</v>
      </c>
      <c r="K116" s="12" t="s">
        <v>79</v>
      </c>
      <c r="L116" s="12" t="s">
        <v>80</v>
      </c>
      <c r="M116" s="22" t="s">
        <v>80</v>
      </c>
      <c r="N116" s="23" t="s">
        <v>80</v>
      </c>
    </row>
    <row r="117" ht="30" customHeight="1" spans="1:14">
      <c r="A117" s="8">
        <v>115</v>
      </c>
      <c r="B117" s="9" t="s">
        <v>14</v>
      </c>
      <c r="C117" s="9" t="s">
        <v>396</v>
      </c>
      <c r="D117" s="9" t="s">
        <v>73</v>
      </c>
      <c r="E117" s="9" t="s">
        <v>90</v>
      </c>
      <c r="F117" s="9" t="s">
        <v>397</v>
      </c>
      <c r="G117" s="9" t="s">
        <v>84</v>
      </c>
      <c r="H117" s="9" t="s">
        <v>85</v>
      </c>
      <c r="I117" s="9" t="s">
        <v>85</v>
      </c>
      <c r="J117" s="9" t="s">
        <v>65</v>
      </c>
      <c r="K117" s="8" t="s">
        <v>79</v>
      </c>
      <c r="L117" s="24"/>
      <c r="M117" s="17" t="s">
        <v>80</v>
      </c>
      <c r="N117" s="4" t="s">
        <v>80</v>
      </c>
    </row>
    <row r="118" ht="30" customHeight="1" spans="1:14">
      <c r="A118" s="8">
        <v>116</v>
      </c>
      <c r="B118" s="8" t="s">
        <v>14</v>
      </c>
      <c r="C118" s="8" t="s">
        <v>398</v>
      </c>
      <c r="D118" s="8" t="s">
        <v>73</v>
      </c>
      <c r="E118" s="8" t="s">
        <v>399</v>
      </c>
      <c r="F118" s="8" t="s">
        <v>83</v>
      </c>
      <c r="G118" s="8" t="s">
        <v>84</v>
      </c>
      <c r="H118" s="8" t="s">
        <v>85</v>
      </c>
      <c r="I118" s="8" t="s">
        <v>85</v>
      </c>
      <c r="J118" s="9" t="s">
        <v>65</v>
      </c>
      <c r="K118" s="8" t="s">
        <v>79</v>
      </c>
      <c r="L118" s="24"/>
      <c r="M118" s="17" t="s">
        <v>80</v>
      </c>
      <c r="N118" s="4" t="s">
        <v>80</v>
      </c>
    </row>
    <row r="119" ht="30" customHeight="1" spans="1:14">
      <c r="A119" s="8">
        <v>117</v>
      </c>
      <c r="B119" s="9" t="s">
        <v>33</v>
      </c>
      <c r="C119" s="9" t="s">
        <v>400</v>
      </c>
      <c r="D119" s="9" t="s">
        <v>73</v>
      </c>
      <c r="E119" s="9" t="s">
        <v>90</v>
      </c>
      <c r="F119" s="9" t="s">
        <v>91</v>
      </c>
      <c r="G119" s="9" t="s">
        <v>401</v>
      </c>
      <c r="H119" s="9" t="s">
        <v>85</v>
      </c>
      <c r="I119" s="9" t="s">
        <v>85</v>
      </c>
      <c r="J119" s="9" t="s">
        <v>65</v>
      </c>
      <c r="K119" s="8" t="s">
        <v>79</v>
      </c>
      <c r="L119" s="24"/>
      <c r="M119" s="17" t="s">
        <v>80</v>
      </c>
      <c r="N119" s="4" t="s">
        <v>80</v>
      </c>
    </row>
    <row r="120" ht="30" customHeight="1" spans="1:14">
      <c r="A120" s="8">
        <v>118</v>
      </c>
      <c r="B120" s="10" t="s">
        <v>33</v>
      </c>
      <c r="C120" s="10" t="s">
        <v>402</v>
      </c>
      <c r="D120" s="10" t="s">
        <v>130</v>
      </c>
      <c r="E120" s="10" t="s">
        <v>294</v>
      </c>
      <c r="F120" s="10" t="s">
        <v>83</v>
      </c>
      <c r="G120" s="10" t="s">
        <v>128</v>
      </c>
      <c r="H120" s="10" t="s">
        <v>85</v>
      </c>
      <c r="I120" s="10" t="s">
        <v>85</v>
      </c>
      <c r="J120" s="10" t="s">
        <v>65</v>
      </c>
      <c r="K120" s="8" t="s">
        <v>79</v>
      </c>
      <c r="L120" s="24"/>
      <c r="M120" s="17" t="s">
        <v>80</v>
      </c>
      <c r="N120" s="4" t="s">
        <v>80</v>
      </c>
    </row>
    <row r="121" ht="30" customHeight="1" spans="1:14">
      <c r="A121" s="8">
        <v>119</v>
      </c>
      <c r="B121" s="8" t="s">
        <v>16</v>
      </c>
      <c r="C121" s="8" t="s">
        <v>403</v>
      </c>
      <c r="D121" s="8" t="s">
        <v>73</v>
      </c>
      <c r="E121" s="8" t="s">
        <v>82</v>
      </c>
      <c r="F121" s="8" t="s">
        <v>404</v>
      </c>
      <c r="G121" s="8" t="s">
        <v>84</v>
      </c>
      <c r="H121" s="8" t="s">
        <v>85</v>
      </c>
      <c r="I121" s="8" t="s">
        <v>85</v>
      </c>
      <c r="J121" s="8" t="s">
        <v>65</v>
      </c>
      <c r="K121" s="8" t="s">
        <v>79</v>
      </c>
      <c r="L121" s="24"/>
      <c r="M121" s="17" t="s">
        <v>80</v>
      </c>
      <c r="N121" s="4" t="s">
        <v>80</v>
      </c>
    </row>
    <row r="122" ht="30" customHeight="1" spans="1:14">
      <c r="A122" s="8">
        <v>120</v>
      </c>
      <c r="B122" s="12" t="s">
        <v>41</v>
      </c>
      <c r="C122" s="12" t="s">
        <v>405</v>
      </c>
      <c r="D122" s="12" t="s">
        <v>73</v>
      </c>
      <c r="E122" s="12" t="s">
        <v>406</v>
      </c>
      <c r="F122" s="12" t="s">
        <v>407</v>
      </c>
      <c r="G122" s="12" t="s">
        <v>408</v>
      </c>
      <c r="H122" s="12" t="s">
        <v>409</v>
      </c>
      <c r="I122" s="12" t="s">
        <v>410</v>
      </c>
      <c r="J122" s="12" t="s">
        <v>65</v>
      </c>
      <c r="K122" s="12" t="s">
        <v>79</v>
      </c>
      <c r="L122" s="12" t="s">
        <v>80</v>
      </c>
      <c r="M122" s="22" t="s">
        <v>80</v>
      </c>
      <c r="N122" s="23" t="s">
        <v>80</v>
      </c>
    </row>
    <row r="123" ht="30" customHeight="1" spans="1:14">
      <c r="A123" s="8">
        <v>121</v>
      </c>
      <c r="B123" s="8" t="s">
        <v>66</v>
      </c>
      <c r="C123" s="8" t="s">
        <v>411</v>
      </c>
      <c r="D123" s="8" t="s">
        <v>130</v>
      </c>
      <c r="E123" s="8" t="s">
        <v>412</v>
      </c>
      <c r="F123" s="8" t="s">
        <v>413</v>
      </c>
      <c r="G123" s="8" t="s">
        <v>414</v>
      </c>
      <c r="H123" s="8" t="s">
        <v>85</v>
      </c>
      <c r="I123" s="8" t="s">
        <v>85</v>
      </c>
      <c r="J123" s="8" t="s">
        <v>65</v>
      </c>
      <c r="K123" s="8" t="s">
        <v>79</v>
      </c>
      <c r="L123" s="24"/>
      <c r="M123" s="17" t="s">
        <v>80</v>
      </c>
      <c r="N123" s="4" t="s">
        <v>80</v>
      </c>
    </row>
    <row r="124" ht="30" customHeight="1" spans="1:1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24"/>
      <c r="M124" s="17"/>
      <c r="N124" s="4"/>
    </row>
    <row r="125" ht="30" customHeight="1" spans="1:14">
      <c r="A125" s="8">
        <v>1</v>
      </c>
      <c r="B125" s="14" t="s">
        <v>19</v>
      </c>
      <c r="C125" s="14" t="s">
        <v>415</v>
      </c>
      <c r="D125" s="14" t="s">
        <v>73</v>
      </c>
      <c r="E125" s="14" t="s">
        <v>416</v>
      </c>
      <c r="F125" s="14" t="s">
        <v>83</v>
      </c>
      <c r="G125" s="14" t="s">
        <v>225</v>
      </c>
      <c r="H125" s="14" t="s">
        <v>85</v>
      </c>
      <c r="I125" s="14" t="s">
        <v>85</v>
      </c>
      <c r="J125" s="14" t="s">
        <v>18</v>
      </c>
      <c r="K125" s="8" t="s">
        <v>417</v>
      </c>
      <c r="L125" s="8"/>
      <c r="M125" s="17" t="s">
        <v>80</v>
      </c>
      <c r="N125" s="4" t="s">
        <v>80</v>
      </c>
    </row>
    <row r="126" ht="30" customHeight="1" spans="1:14">
      <c r="A126" s="8">
        <v>2</v>
      </c>
      <c r="B126" s="14" t="s">
        <v>57</v>
      </c>
      <c r="C126" s="14" t="s">
        <v>418</v>
      </c>
      <c r="D126" s="14" t="s">
        <v>73</v>
      </c>
      <c r="E126" s="14" t="s">
        <v>90</v>
      </c>
      <c r="F126" s="14" t="s">
        <v>419</v>
      </c>
      <c r="G126" s="14" t="s">
        <v>84</v>
      </c>
      <c r="H126" s="14" t="s">
        <v>85</v>
      </c>
      <c r="I126" s="14" t="s">
        <v>85</v>
      </c>
      <c r="J126" s="14" t="s">
        <v>56</v>
      </c>
      <c r="K126" s="8" t="s">
        <v>420</v>
      </c>
      <c r="L126" s="8"/>
      <c r="M126" s="17" t="s">
        <v>80</v>
      </c>
      <c r="N126" s="4" t="s">
        <v>80</v>
      </c>
    </row>
    <row r="127" ht="30" customHeight="1" spans="1:14">
      <c r="A127" s="8">
        <v>3</v>
      </c>
      <c r="B127" s="14" t="s">
        <v>62</v>
      </c>
      <c r="C127" s="14" t="s">
        <v>421</v>
      </c>
      <c r="D127" s="14" t="s">
        <v>73</v>
      </c>
      <c r="E127" s="14" t="s">
        <v>422</v>
      </c>
      <c r="F127" s="14" t="s">
        <v>141</v>
      </c>
      <c r="G127" s="14" t="s">
        <v>423</v>
      </c>
      <c r="H127" s="14" t="s">
        <v>85</v>
      </c>
      <c r="I127" s="14" t="s">
        <v>85</v>
      </c>
      <c r="J127" s="14" t="s">
        <v>61</v>
      </c>
      <c r="K127" s="8" t="s">
        <v>420</v>
      </c>
      <c r="L127" s="24"/>
      <c r="M127" s="17" t="s">
        <v>80</v>
      </c>
      <c r="N127" s="4" t="s">
        <v>80</v>
      </c>
    </row>
    <row r="128" ht="30" customHeight="1" spans="1:14">
      <c r="A128" s="8">
        <v>4</v>
      </c>
      <c r="B128" s="14" t="s">
        <v>41</v>
      </c>
      <c r="C128" s="14" t="s">
        <v>424</v>
      </c>
      <c r="D128" s="14" t="s">
        <v>73</v>
      </c>
      <c r="E128" s="14" t="s">
        <v>82</v>
      </c>
      <c r="F128" s="14" t="s">
        <v>425</v>
      </c>
      <c r="G128" s="14" t="s">
        <v>181</v>
      </c>
      <c r="H128" s="14" t="s">
        <v>85</v>
      </c>
      <c r="I128" s="14" t="s">
        <v>85</v>
      </c>
      <c r="J128" s="14" t="s">
        <v>40</v>
      </c>
      <c r="K128" s="8" t="s">
        <v>79</v>
      </c>
      <c r="L128" s="25" t="s">
        <v>426</v>
      </c>
      <c r="M128" s="17" t="s">
        <v>80</v>
      </c>
      <c r="N128" s="4" t="s">
        <v>80</v>
      </c>
    </row>
    <row r="129" ht="30" customHeight="1" spans="1:14">
      <c r="A129" s="8">
        <v>5</v>
      </c>
      <c r="B129" s="14" t="s">
        <v>427</v>
      </c>
      <c r="C129" s="14" t="s">
        <v>428</v>
      </c>
      <c r="D129" s="14" t="s">
        <v>73</v>
      </c>
      <c r="E129" s="14" t="s">
        <v>94</v>
      </c>
      <c r="F129" s="14" t="s">
        <v>103</v>
      </c>
      <c r="G129" s="14" t="s">
        <v>181</v>
      </c>
      <c r="H129" s="14" t="s">
        <v>85</v>
      </c>
      <c r="I129" s="14" t="s">
        <v>85</v>
      </c>
      <c r="J129" s="14" t="s">
        <v>24</v>
      </c>
      <c r="K129" s="10" t="s">
        <v>79</v>
      </c>
      <c r="L129" s="8" t="s">
        <v>429</v>
      </c>
      <c r="M129" s="17" t="s">
        <v>80</v>
      </c>
      <c r="N129" s="4" t="s">
        <v>80</v>
      </c>
    </row>
    <row r="130" ht="30" customHeight="1" spans="1:14">
      <c r="A130" s="8">
        <v>6</v>
      </c>
      <c r="B130" s="14" t="s">
        <v>26</v>
      </c>
      <c r="C130" s="14" t="s">
        <v>430</v>
      </c>
      <c r="D130" s="14" t="s">
        <v>73</v>
      </c>
      <c r="E130" s="14" t="s">
        <v>301</v>
      </c>
      <c r="F130" s="14" t="s">
        <v>83</v>
      </c>
      <c r="G130" s="14" t="s">
        <v>431</v>
      </c>
      <c r="H130" s="14" t="s">
        <v>85</v>
      </c>
      <c r="I130" s="14" t="s">
        <v>85</v>
      </c>
      <c r="J130" s="14" t="s">
        <v>32</v>
      </c>
      <c r="K130" s="10" t="s">
        <v>79</v>
      </c>
      <c r="L130" s="25" t="s">
        <v>426</v>
      </c>
      <c r="M130" s="17" t="s">
        <v>80</v>
      </c>
      <c r="N130" s="4" t="s">
        <v>80</v>
      </c>
    </row>
    <row r="131" ht="30" customHeight="1" spans="1:14">
      <c r="A131" s="8">
        <v>7</v>
      </c>
      <c r="B131" s="14" t="s">
        <v>432</v>
      </c>
      <c r="C131" s="14" t="s">
        <v>433</v>
      </c>
      <c r="D131" s="14" t="s">
        <v>73</v>
      </c>
      <c r="E131" s="14" t="s">
        <v>90</v>
      </c>
      <c r="F131" s="14" t="s">
        <v>434</v>
      </c>
      <c r="G131" s="14" t="s">
        <v>181</v>
      </c>
      <c r="H131" s="14" t="s">
        <v>85</v>
      </c>
      <c r="I131" s="14" t="s">
        <v>85</v>
      </c>
      <c r="J131" s="14" t="s">
        <v>32</v>
      </c>
      <c r="K131" s="10" t="s">
        <v>79</v>
      </c>
      <c r="L131" s="8" t="s">
        <v>429</v>
      </c>
      <c r="M131" s="17" t="s">
        <v>80</v>
      </c>
      <c r="N131" s="4" t="s">
        <v>80</v>
      </c>
    </row>
    <row r="132" ht="30" customHeight="1" spans="1:14">
      <c r="A132" s="8">
        <v>8</v>
      </c>
      <c r="B132" s="14" t="s">
        <v>26</v>
      </c>
      <c r="C132" s="14" t="s">
        <v>435</v>
      </c>
      <c r="D132" s="14" t="s">
        <v>73</v>
      </c>
      <c r="E132" s="14" t="s">
        <v>301</v>
      </c>
      <c r="F132" s="14" t="s">
        <v>83</v>
      </c>
      <c r="G132" s="14" t="s">
        <v>436</v>
      </c>
      <c r="H132" s="14" t="s">
        <v>85</v>
      </c>
      <c r="I132" s="14" t="s">
        <v>85</v>
      </c>
      <c r="J132" s="14" t="s">
        <v>61</v>
      </c>
      <c r="K132" s="10" t="s">
        <v>79</v>
      </c>
      <c r="L132" s="8" t="s">
        <v>429</v>
      </c>
      <c r="M132" s="17" t="s">
        <v>80</v>
      </c>
      <c r="N132" s="4" t="s">
        <v>80</v>
      </c>
    </row>
    <row r="133" ht="30" customHeight="1" spans="1:14">
      <c r="A133" s="8">
        <v>9</v>
      </c>
      <c r="B133" s="14" t="s">
        <v>427</v>
      </c>
      <c r="C133" s="14" t="s">
        <v>437</v>
      </c>
      <c r="D133" s="14" t="s">
        <v>73</v>
      </c>
      <c r="E133" s="14" t="s">
        <v>82</v>
      </c>
      <c r="F133" s="14" t="s">
        <v>91</v>
      </c>
      <c r="G133" s="14" t="s">
        <v>438</v>
      </c>
      <c r="H133" s="14" t="s">
        <v>85</v>
      </c>
      <c r="I133" s="14" t="s">
        <v>85</v>
      </c>
      <c r="J133" s="14" t="s">
        <v>61</v>
      </c>
      <c r="K133" s="10" t="s">
        <v>79</v>
      </c>
      <c r="L133" s="8" t="s">
        <v>429</v>
      </c>
      <c r="M133" s="17" t="s">
        <v>80</v>
      </c>
      <c r="N133" s="4" t="s">
        <v>80</v>
      </c>
    </row>
    <row r="134" ht="30" customHeight="1" spans="1:14">
      <c r="A134" s="8">
        <v>10</v>
      </c>
      <c r="B134" s="14" t="s">
        <v>41</v>
      </c>
      <c r="C134" s="14" t="s">
        <v>439</v>
      </c>
      <c r="D134" s="14" t="s">
        <v>73</v>
      </c>
      <c r="E134" s="14" t="s">
        <v>94</v>
      </c>
      <c r="F134" s="14" t="s">
        <v>440</v>
      </c>
      <c r="G134" s="14" t="s">
        <v>199</v>
      </c>
      <c r="H134" s="14" t="s">
        <v>85</v>
      </c>
      <c r="I134" s="14" t="s">
        <v>85</v>
      </c>
      <c r="J134" s="14" t="s">
        <v>64</v>
      </c>
      <c r="K134" s="10" t="s">
        <v>79</v>
      </c>
      <c r="L134" s="8" t="s">
        <v>429</v>
      </c>
      <c r="M134" s="17" t="s">
        <v>80</v>
      </c>
      <c r="N134" s="4" t="s">
        <v>80</v>
      </c>
    </row>
    <row r="135" ht="30" customHeight="1" spans="1:14">
      <c r="A135" s="8">
        <v>11</v>
      </c>
      <c r="B135" s="14" t="s">
        <v>26</v>
      </c>
      <c r="C135" s="14" t="s">
        <v>441</v>
      </c>
      <c r="D135" s="14" t="s">
        <v>73</v>
      </c>
      <c r="E135" s="14" t="s">
        <v>442</v>
      </c>
      <c r="F135" s="14" t="s">
        <v>83</v>
      </c>
      <c r="G135" s="14" t="s">
        <v>188</v>
      </c>
      <c r="H135" s="14" t="s">
        <v>85</v>
      </c>
      <c r="I135" s="14" t="s">
        <v>85</v>
      </c>
      <c r="J135" s="14" t="s">
        <v>65</v>
      </c>
      <c r="K135" s="10" t="s">
        <v>79</v>
      </c>
      <c r="L135" s="25" t="s">
        <v>426</v>
      </c>
      <c r="M135" s="17" t="s">
        <v>80</v>
      </c>
      <c r="N135" s="4" t="s">
        <v>80</v>
      </c>
    </row>
  </sheetData>
  <autoFilter ref="A2:N135">
    <extLst/>
  </autoFilter>
  <mergeCells count="1">
    <mergeCell ref="A1:N1"/>
  </mergeCells>
  <conditionalFormatting sqref="C$1:C$1048576">
    <cfRule type="duplicateValues" dxfId="1" priority="1"/>
  </conditionalFormatting>
  <pageMargins left="0.751388888888889" right="0.751388888888889" top="0.511805555555556" bottom="0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2023年校招签约考生信息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谟谟</cp:lastModifiedBy>
  <dcterms:created xsi:type="dcterms:W3CDTF">2023-02-27T10:05:00Z</dcterms:created>
  <cp:lastPrinted>2023-04-24T04:38:00Z</cp:lastPrinted>
  <dcterms:modified xsi:type="dcterms:W3CDTF">2023-08-16T09:10:39Z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EF10D543ABA641D998566EF95F1AF3EF</vt:lpwstr>
  </property>
  <property fmtid="{D5CDD505-2E9C-101B-9397-08002B2CF9AE}" pid="3" name="KSOProductBuildVer">
    <vt:lpwstr>2052-11.1.0.12980</vt:lpwstr>
  </property>
</Properties>
</file>