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45"/>
  </bookViews>
  <sheets>
    <sheet name="5607_64cc6077e1646" sheetId="1" r:id="rId1"/>
  </sheets>
  <calcPr calcId="144525"/>
</workbook>
</file>

<file path=xl/sharedStrings.xml><?xml version="1.0" encoding="utf-8"?>
<sst xmlns="http://schemas.openxmlformats.org/spreadsheetml/2006/main" count="992" uniqueCount="338">
  <si>
    <t>2023年公开招聘特招医学院校毕业生和特岗全科医生报名情况统计表</t>
  </si>
  <si>
    <t>序号</t>
  </si>
  <si>
    <t>报考单位</t>
  </si>
  <si>
    <t>姓名</t>
  </si>
  <si>
    <t>性别</t>
  </si>
  <si>
    <t>民族</t>
  </si>
  <si>
    <t>身份证号</t>
  </si>
  <si>
    <t>学历</t>
  </si>
  <si>
    <t>毕业时间</t>
  </si>
  <si>
    <t>毕业院校</t>
  </si>
  <si>
    <t>专业</t>
  </si>
  <si>
    <t>康复治疗技术</t>
  </si>
  <si>
    <t>朱集镇卫生院</t>
  </si>
  <si>
    <t>412822********0059</t>
  </si>
  <si>
    <t>中医学</t>
  </si>
  <si>
    <t>唐庄乡卫生院</t>
  </si>
  <si>
    <t>411322********0342</t>
  </si>
  <si>
    <t>饶良镇卫生院</t>
  </si>
  <si>
    <t>411329********4416</t>
  </si>
  <si>
    <t>临床医学</t>
  </si>
  <si>
    <t>李店镇卫生院</t>
  </si>
  <si>
    <t>410522********9472</t>
  </si>
  <si>
    <t>医学影像技术</t>
  </si>
  <si>
    <t>下洼镇卫生院</t>
  </si>
  <si>
    <t>152102********1210</t>
  </si>
  <si>
    <t>晋庄镇卫生院</t>
  </si>
  <si>
    <t>410726********5467</t>
  </si>
  <si>
    <t>411322********210X</t>
  </si>
  <si>
    <t>医学检验技术</t>
  </si>
  <si>
    <t>田庄卫生院</t>
  </si>
  <si>
    <t>411325********1322</t>
  </si>
  <si>
    <t>社旗县人民医院</t>
  </si>
  <si>
    <t>411329********0329</t>
  </si>
  <si>
    <t>410222********0011</t>
  </si>
  <si>
    <t>411329********1957</t>
  </si>
  <si>
    <t>411329********0744</t>
  </si>
  <si>
    <t>411329********5016</t>
  </si>
  <si>
    <t>411329********0718</t>
  </si>
  <si>
    <t>411329********5061</t>
  </si>
  <si>
    <t>赊店镇卫生院</t>
  </si>
  <si>
    <t>411381********6374</t>
  </si>
  <si>
    <t>411329********311X</t>
  </si>
  <si>
    <t>411329********0030</t>
  </si>
  <si>
    <t>411329********1623</t>
  </si>
  <si>
    <t>411326********3324</t>
  </si>
  <si>
    <t>411329********3526</t>
  </si>
  <si>
    <t>大冯营卫生院</t>
  </si>
  <si>
    <t>411325********4528</t>
  </si>
  <si>
    <t>411627********4010</t>
  </si>
  <si>
    <t>411327********5405</t>
  </si>
  <si>
    <t>口腔医学</t>
  </si>
  <si>
    <t>桥头镇卫生院</t>
  </si>
  <si>
    <t>411329********0014</t>
  </si>
  <si>
    <t>411329********0726</t>
  </si>
  <si>
    <t>411322********0041</t>
  </si>
  <si>
    <t>411329********5341</t>
  </si>
  <si>
    <t>411329********0058</t>
  </si>
  <si>
    <t>412821********3311</t>
  </si>
  <si>
    <t>411303********1037</t>
  </si>
  <si>
    <t>411303********6874</t>
  </si>
  <si>
    <t>411322********1018</t>
  </si>
  <si>
    <t>411329********0056</t>
  </si>
  <si>
    <t>兴隆镇卫生院</t>
  </si>
  <si>
    <t>411329********2821</t>
  </si>
  <si>
    <t>411322********531X</t>
  </si>
  <si>
    <t>411322********2411</t>
  </si>
  <si>
    <t>410881********0025</t>
  </si>
  <si>
    <t>410511********0082</t>
  </si>
  <si>
    <t>411329********4144</t>
  </si>
  <si>
    <t>411329********0026</t>
  </si>
  <si>
    <t>411327********4182</t>
  </si>
  <si>
    <t>太和镇卫生院</t>
  </si>
  <si>
    <t>411329********0036</t>
  </si>
  <si>
    <t>411329********1314</t>
  </si>
  <si>
    <t>411329********0717</t>
  </si>
  <si>
    <t>411329********312X</t>
  </si>
  <si>
    <t>411302********133X</t>
  </si>
  <si>
    <t>411328********0011</t>
  </si>
  <si>
    <t>411302********2349</t>
  </si>
  <si>
    <t>411329********0018</t>
  </si>
  <si>
    <t>411329********105X</t>
  </si>
  <si>
    <t>411329********0033</t>
  </si>
  <si>
    <t>411329********5328</t>
  </si>
  <si>
    <t>411329********002X</t>
  </si>
  <si>
    <t>411381********4232</t>
  </si>
  <si>
    <t>411325********0028</t>
  </si>
  <si>
    <t>411329********2540</t>
  </si>
  <si>
    <t>411329********1325</t>
  </si>
  <si>
    <t>411322********5321</t>
  </si>
  <si>
    <t>411323********5042</t>
  </si>
  <si>
    <t>411329********2514</t>
  </si>
  <si>
    <t>411329********3543</t>
  </si>
  <si>
    <t>410721********1543</t>
  </si>
  <si>
    <t>411329********5322</t>
  </si>
  <si>
    <t>411329********5320</t>
  </si>
  <si>
    <t>411303********676X</t>
  </si>
  <si>
    <t>411381********0020</t>
  </si>
  <si>
    <t>411381********7928</t>
  </si>
  <si>
    <t>411322********5739</t>
  </si>
  <si>
    <t>411322********3411</t>
  </si>
  <si>
    <t>411329********3529</t>
  </si>
  <si>
    <t>411329********0049</t>
  </si>
  <si>
    <t>410781********202X</t>
  </si>
  <si>
    <t>411329********535X</t>
  </si>
  <si>
    <t>411329********5321</t>
  </si>
  <si>
    <t>411321********0014</t>
  </si>
  <si>
    <t>411381********2217</t>
  </si>
  <si>
    <t>411303********4837</t>
  </si>
  <si>
    <t>411327********4423</t>
  </si>
  <si>
    <t>411322********004X</t>
  </si>
  <si>
    <t>411322********2415</t>
  </si>
  <si>
    <t>411329********004X</t>
  </si>
  <si>
    <t>411329********5351</t>
  </si>
  <si>
    <t>411329********3121</t>
  </si>
  <si>
    <t>411323********6331</t>
  </si>
  <si>
    <t>420625********002X</t>
  </si>
  <si>
    <t>411322********4284</t>
  </si>
  <si>
    <t>411329********2510</t>
  </si>
  <si>
    <t>411329********1313</t>
  </si>
  <si>
    <t>411322********500X</t>
  </si>
  <si>
    <t>411325********0015</t>
  </si>
  <si>
    <t>411329********0025</t>
  </si>
  <si>
    <t>411325********652X</t>
  </si>
  <si>
    <t>411329********1344</t>
  </si>
  <si>
    <t>411329********104X</t>
  </si>
  <si>
    <t>411329********0068</t>
  </si>
  <si>
    <t>411329********3511</t>
  </si>
  <si>
    <t>411303********513X</t>
  </si>
  <si>
    <t>411329********441X</t>
  </si>
  <si>
    <t>411323********002X</t>
  </si>
  <si>
    <t>411329********4413</t>
  </si>
  <si>
    <t>450481********0429</t>
  </si>
  <si>
    <t>411330********1127</t>
  </si>
  <si>
    <t>411322********0020</t>
  </si>
  <si>
    <t>411329********0028</t>
  </si>
  <si>
    <t>411327********5344</t>
  </si>
  <si>
    <t>411322********3811</t>
  </si>
  <si>
    <t>412822********0055</t>
  </si>
  <si>
    <t>411329********1317</t>
  </si>
  <si>
    <t>411329********0727</t>
  </si>
  <si>
    <t>411327********5056</t>
  </si>
  <si>
    <t>411329********1312</t>
  </si>
  <si>
    <t>411329********226X</t>
  </si>
  <si>
    <t>411327********5109</t>
  </si>
  <si>
    <t>411329********2584</t>
  </si>
  <si>
    <t>411327********0042</t>
  </si>
  <si>
    <t>411329********0314</t>
  </si>
  <si>
    <t>411329********0045</t>
  </si>
  <si>
    <t>411329********2524</t>
  </si>
  <si>
    <t>411328********001X</t>
  </si>
  <si>
    <t>410481********7522</t>
  </si>
  <si>
    <t>411326********0030</t>
  </si>
  <si>
    <t>411302********5426</t>
  </si>
  <si>
    <t>411329********0326</t>
  </si>
  <si>
    <t>620111********0011</t>
  </si>
  <si>
    <t>411329********5310</t>
  </si>
  <si>
    <t>411329********0021</t>
  </si>
  <si>
    <t>412822********3776</t>
  </si>
  <si>
    <t>411327********4123</t>
  </si>
  <si>
    <t>411329********2826</t>
  </si>
  <si>
    <t>411329********5338</t>
  </si>
  <si>
    <t>411329********4727</t>
  </si>
  <si>
    <t>411324********1124</t>
  </si>
  <si>
    <t>411329********0077</t>
  </si>
  <si>
    <t>411329********5026</t>
  </si>
  <si>
    <t>411322********1618</t>
  </si>
  <si>
    <t>411329********1311</t>
  </si>
  <si>
    <t>411322********2937</t>
  </si>
  <si>
    <t>411327********5039</t>
  </si>
  <si>
    <t>411329********3520</t>
  </si>
  <si>
    <t>411302********5710</t>
  </si>
  <si>
    <t>411329********2521</t>
  </si>
  <si>
    <t>411329********0023</t>
  </si>
  <si>
    <t>411329********4720</t>
  </si>
  <si>
    <t>411329********2212</t>
  </si>
  <si>
    <t>411329********4735</t>
  </si>
  <si>
    <t>411322********0019</t>
  </si>
  <si>
    <t>411327********0048</t>
  </si>
  <si>
    <t>411322********3822</t>
  </si>
  <si>
    <t>411329********1340</t>
  </si>
  <si>
    <t>411327********2539</t>
  </si>
  <si>
    <t>411322********5724</t>
  </si>
  <si>
    <t>411329********0016</t>
  </si>
  <si>
    <t>411323********3012</t>
  </si>
  <si>
    <t>411326********0710</t>
  </si>
  <si>
    <t>411325********1919</t>
  </si>
  <si>
    <t>411381********4880</t>
  </si>
  <si>
    <t>丁庄卫生院</t>
  </si>
  <si>
    <t>411329********0020</t>
  </si>
  <si>
    <t>411327********5069</t>
  </si>
  <si>
    <t>412825********3739</t>
  </si>
  <si>
    <t>411329********0013</t>
  </si>
  <si>
    <t>411322********0356</t>
  </si>
  <si>
    <t>411329********5317</t>
  </si>
  <si>
    <t>411322********0639</t>
  </si>
  <si>
    <t>411330********5130</t>
  </si>
  <si>
    <t>411321********2849</t>
  </si>
  <si>
    <t>410329********7010</t>
  </si>
  <si>
    <t>410821********4529</t>
  </si>
  <si>
    <t>410182********0313</t>
  </si>
  <si>
    <t>411328********0023</t>
  </si>
  <si>
    <t>陌陂镇卫生院</t>
  </si>
  <si>
    <t>411322********0359</t>
  </si>
  <si>
    <t>411724********0821</t>
  </si>
  <si>
    <t>411422********2418</t>
  </si>
  <si>
    <t>411329********2226</t>
  </si>
  <si>
    <t>411329********4119</t>
  </si>
  <si>
    <t>411330********2527</t>
  </si>
  <si>
    <t>411327********0632</t>
  </si>
  <si>
    <t>411328********3580</t>
  </si>
  <si>
    <t>411322********5710</t>
  </si>
  <si>
    <t>411329********2829</t>
  </si>
  <si>
    <t>411329********0042</t>
  </si>
  <si>
    <t>411329********5014</t>
  </si>
  <si>
    <t>411325********002X</t>
  </si>
  <si>
    <t>411327********5047</t>
  </si>
  <si>
    <t>411329********4125</t>
  </si>
  <si>
    <t>411329********034X</t>
  </si>
  <si>
    <t>411329********1013</t>
  </si>
  <si>
    <t>411329********2240</t>
  </si>
  <si>
    <t>411325********1348</t>
  </si>
  <si>
    <t>411323********0020</t>
  </si>
  <si>
    <t>411329********4724</t>
  </si>
  <si>
    <t>411329********1064</t>
  </si>
  <si>
    <t>411324********2826</t>
  </si>
  <si>
    <t>411303********2428</t>
  </si>
  <si>
    <t>411303********0274</t>
  </si>
  <si>
    <t>411325********042X</t>
  </si>
  <si>
    <t>411327********3143</t>
  </si>
  <si>
    <t>411329********1918</t>
  </si>
  <si>
    <t>411329********3131</t>
  </si>
  <si>
    <t>140524********8043</t>
  </si>
  <si>
    <t>411329********5019</t>
  </si>
  <si>
    <t>苗店镇卫生院</t>
  </si>
  <si>
    <t>411224********0060</t>
  </si>
  <si>
    <t>411327********3131</t>
  </si>
  <si>
    <t>411323********0013</t>
  </si>
  <si>
    <t>411329********0019</t>
  </si>
  <si>
    <t>411329********1927</t>
  </si>
  <si>
    <t>411328********0667</t>
  </si>
  <si>
    <t>411329********2824</t>
  </si>
  <si>
    <t>411322********2445</t>
  </si>
  <si>
    <t>411381********2012</t>
  </si>
  <si>
    <t>411327********5323</t>
  </si>
  <si>
    <t>411327********002X</t>
  </si>
  <si>
    <t>411303********1521</t>
  </si>
  <si>
    <t>411322********2419</t>
  </si>
  <si>
    <t>411322********242X</t>
  </si>
  <si>
    <t>411329********1931</t>
  </si>
  <si>
    <t>411329********4427</t>
  </si>
  <si>
    <t>411322********2018</t>
  </si>
  <si>
    <t>411302********0899</t>
  </si>
  <si>
    <t>411303********0026</t>
  </si>
  <si>
    <t>411329********4723</t>
  </si>
  <si>
    <t>411322********4227</t>
  </si>
  <si>
    <t>411327********0615</t>
  </si>
  <si>
    <t>411329********539X</t>
  </si>
  <si>
    <t>411327********2522</t>
  </si>
  <si>
    <t>511622********2222</t>
  </si>
  <si>
    <t>411329********3120</t>
  </si>
  <si>
    <t>411329********0050</t>
  </si>
  <si>
    <t>411302********0226</t>
  </si>
  <si>
    <t>411329********0722</t>
  </si>
  <si>
    <t>411329********3832</t>
  </si>
  <si>
    <t>622627********1417</t>
  </si>
  <si>
    <t>411302********5474</t>
  </si>
  <si>
    <t>411322********0320</t>
  </si>
  <si>
    <t>411329********7814</t>
  </si>
  <si>
    <t>412822********2601</t>
  </si>
  <si>
    <t>411329********0012</t>
  </si>
  <si>
    <t>411328********7768</t>
  </si>
  <si>
    <t>411327********5357</t>
  </si>
  <si>
    <t>411329********3820</t>
  </si>
  <si>
    <t>411322********3825</t>
  </si>
  <si>
    <t>411329********1911</t>
  </si>
  <si>
    <t>411381********062X</t>
  </si>
  <si>
    <t>411329********4447</t>
  </si>
  <si>
    <t>411329********4410</t>
  </si>
  <si>
    <t>411381********0013</t>
  </si>
  <si>
    <t>411381********6127</t>
  </si>
  <si>
    <t>412822********3157</t>
  </si>
  <si>
    <t>411322********0317</t>
  </si>
  <si>
    <t>412825********052X</t>
  </si>
  <si>
    <t>411322********1642</t>
  </si>
  <si>
    <t>411023********0029</t>
  </si>
  <si>
    <t>411329********2828</t>
  </si>
  <si>
    <t>411325********943X</t>
  </si>
  <si>
    <t>411330********5711</t>
  </si>
  <si>
    <t>411329********003X</t>
  </si>
  <si>
    <t>411322********2975</t>
  </si>
  <si>
    <t>411322********1033</t>
  </si>
  <si>
    <t>411322********3422</t>
  </si>
  <si>
    <t>411322********0336</t>
  </si>
  <si>
    <t>411329********2549</t>
  </si>
  <si>
    <t>411325********003X</t>
  </si>
  <si>
    <t>411322********2453</t>
  </si>
  <si>
    <t>411329********0327</t>
  </si>
  <si>
    <t>411322********571X</t>
  </si>
  <si>
    <t>411328********5043</t>
  </si>
  <si>
    <t>411524********5189</t>
  </si>
  <si>
    <t>411322********3812</t>
  </si>
  <si>
    <t>420921********4454</t>
  </si>
  <si>
    <t>411322********2958</t>
  </si>
  <si>
    <t>411302********0205</t>
  </si>
  <si>
    <t>411322********032X</t>
  </si>
  <si>
    <t>411329********3519</t>
  </si>
  <si>
    <t>411327********5017</t>
  </si>
  <si>
    <t>411328********6045</t>
  </si>
  <si>
    <t>411329********3813</t>
  </si>
  <si>
    <t>412826********4230</t>
  </si>
  <si>
    <t>411325********1321</t>
  </si>
  <si>
    <t>431121********0036</t>
  </si>
  <si>
    <t>411202********2516</t>
  </si>
  <si>
    <t>411329********3524</t>
  </si>
  <si>
    <t>411329********005X</t>
  </si>
  <si>
    <t>411327********4461</t>
  </si>
  <si>
    <t>411303********6783</t>
  </si>
  <si>
    <t>411326********402X</t>
  </si>
  <si>
    <t>411329********2222</t>
  </si>
  <si>
    <t>411322********3418</t>
  </si>
  <si>
    <t>411329********5325</t>
  </si>
  <si>
    <t>411322********3423</t>
  </si>
  <si>
    <t>411327********535X</t>
  </si>
  <si>
    <t>411303********3915</t>
  </si>
  <si>
    <t>411329********3527</t>
  </si>
  <si>
    <t>411329********4433</t>
  </si>
  <si>
    <t>410928********1810</t>
  </si>
  <si>
    <t>411322********1614</t>
  </si>
  <si>
    <t>411329********4113</t>
  </si>
  <si>
    <t>411329********3115</t>
  </si>
  <si>
    <t>411322********4212</t>
  </si>
  <si>
    <t>411329********0712</t>
  </si>
  <si>
    <t>411329********1315</t>
  </si>
  <si>
    <t>411329********3118</t>
  </si>
  <si>
    <t>411326********2444</t>
  </si>
  <si>
    <t>411322********0014</t>
  </si>
  <si>
    <t>411329********0035</t>
  </si>
  <si>
    <t>411327********0349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</si>
</sst>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7" fillId="16" borderId="7" applyNumberFormat="0" applyAlignment="0" applyProtection="0">
      <alignment vertical="center"/>
    </xf>
    <xf numFmtId="0" fontId="12" fillId="16" borderId="2" applyNumberFormat="0" applyAlignment="0" applyProtection="0">
      <alignment vertical="center"/>
    </xf>
    <xf numFmtId="0" fontId="5" fillId="3" borderId="3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29"/>
  <sheetViews>
    <sheetView tabSelected="1" topLeftCell="B1" workbookViewId="0">
      <selection activeCell="P3" sqref="P3"/>
    </sheetView>
  </sheetViews>
  <sheetFormatPr defaultColWidth="9" defaultRowHeight="13.5"/>
  <cols>
    <col min="1" max="1" width="14.5" customWidth="1"/>
    <col min="2" max="2" width="5.125" customWidth="1"/>
    <col min="3" max="3" width="16" customWidth="1"/>
    <col min="7" max="7" width="21.25" customWidth="1"/>
    <col min="9" max="9" width="12.75" customWidth="1"/>
    <col min="10" max="10" width="26.125" customWidth="1"/>
    <col min="11" max="11" width="19.75" customWidth="1"/>
  </cols>
  <sheetData>
    <row r="1" ht="35" customHeight="1" spans="2:1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ht="35" customHeight="1" spans="2:11"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</row>
    <row r="3" ht="25" customHeight="1" spans="1:11">
      <c r="A3" s="4" t="s">
        <v>11</v>
      </c>
      <c r="B3" s="5">
        <v>1</v>
      </c>
      <c r="C3" s="6" t="s">
        <v>12</v>
      </c>
      <c r="D3" s="6" t="str">
        <f>"赵春光"</f>
        <v>赵春光</v>
      </c>
      <c r="E3" s="6" t="str">
        <f t="shared" ref="E3:E7" si="0">"男"</f>
        <v>男</v>
      </c>
      <c r="F3" s="6" t="str">
        <f t="shared" ref="F3:F26" si="1">"汉族"</f>
        <v>汉族</v>
      </c>
      <c r="G3" s="6" t="s">
        <v>13</v>
      </c>
      <c r="H3" s="6" t="str">
        <f>"本科"</f>
        <v>本科</v>
      </c>
      <c r="I3" s="6" t="str">
        <f>"2020-07-01"</f>
        <v>2020-07-01</v>
      </c>
      <c r="J3" s="6" t="str">
        <f>"郑州工业应用技术学院"</f>
        <v>郑州工业应用技术学院</v>
      </c>
      <c r="K3" s="6" t="str">
        <f>"康复治疗学"</f>
        <v>康复治疗学</v>
      </c>
    </row>
    <row r="4" ht="25" customHeight="1" spans="1:11">
      <c r="A4" s="4" t="s">
        <v>14</v>
      </c>
      <c r="B4" s="5">
        <v>2</v>
      </c>
      <c r="C4" s="6" t="s">
        <v>15</v>
      </c>
      <c r="D4" s="6" t="str">
        <f>"张延桢"</f>
        <v>张延桢</v>
      </c>
      <c r="E4" s="6" t="str">
        <f t="shared" ref="E4:E11" si="2">"女"</f>
        <v>女</v>
      </c>
      <c r="F4" s="6" t="str">
        <f t="shared" si="1"/>
        <v>汉族</v>
      </c>
      <c r="G4" s="6" t="s">
        <v>16</v>
      </c>
      <c r="H4" s="6" t="str">
        <f t="shared" ref="H4:H7" si="3">"专科"</f>
        <v>专科</v>
      </c>
      <c r="I4" s="6" t="str">
        <f t="shared" ref="I4:I7" si="4">"2023-07-01"</f>
        <v>2023-07-01</v>
      </c>
      <c r="J4" s="6" t="str">
        <f>"南阳医学高等专科学校"</f>
        <v>南阳医学高等专科学校</v>
      </c>
      <c r="K4" s="6" t="str">
        <f>"中医学"</f>
        <v>中医学</v>
      </c>
    </row>
    <row r="5" ht="25" customHeight="1" spans="1:11">
      <c r="A5" s="4" t="s">
        <v>14</v>
      </c>
      <c r="B5" s="5">
        <v>3</v>
      </c>
      <c r="C5" s="6" t="s">
        <v>17</v>
      </c>
      <c r="D5" s="6" t="str">
        <f>"吕尊"</f>
        <v>吕尊</v>
      </c>
      <c r="E5" s="6" t="str">
        <f t="shared" si="0"/>
        <v>男</v>
      </c>
      <c r="F5" s="6" t="str">
        <f t="shared" si="1"/>
        <v>汉族</v>
      </c>
      <c r="G5" s="6" t="s">
        <v>18</v>
      </c>
      <c r="H5" s="6" t="str">
        <f t="shared" si="3"/>
        <v>专科</v>
      </c>
      <c r="I5" s="6" t="str">
        <f t="shared" si="4"/>
        <v>2023-07-01</v>
      </c>
      <c r="J5" s="6" t="str">
        <f>"河南推拿职业学院"</f>
        <v>河南推拿职业学院</v>
      </c>
      <c r="K5" s="6" t="str">
        <f>"中医学"</f>
        <v>中医学</v>
      </c>
    </row>
    <row r="6" ht="25" customHeight="1" spans="1:11">
      <c r="A6" s="4" t="s">
        <v>19</v>
      </c>
      <c r="B6" s="5">
        <v>4</v>
      </c>
      <c r="C6" s="6" t="s">
        <v>20</v>
      </c>
      <c r="D6" s="6" t="str">
        <f>"任安澜"</f>
        <v>任安澜</v>
      </c>
      <c r="E6" s="6" t="str">
        <f t="shared" si="0"/>
        <v>男</v>
      </c>
      <c r="F6" s="6" t="str">
        <f t="shared" si="1"/>
        <v>汉族</v>
      </c>
      <c r="G6" s="6" t="s">
        <v>21</v>
      </c>
      <c r="H6" s="6" t="str">
        <f t="shared" si="3"/>
        <v>专科</v>
      </c>
      <c r="I6" s="6" t="str">
        <f t="shared" si="4"/>
        <v>2023-07-01</v>
      </c>
      <c r="J6" s="6" t="str">
        <f>"郑州澍青医学高等专科学校"</f>
        <v>郑州澍青医学高等专科学校</v>
      </c>
      <c r="K6" s="6" t="str">
        <f>"临床医学"</f>
        <v>临床医学</v>
      </c>
    </row>
    <row r="7" ht="25" customHeight="1" spans="1:11">
      <c r="A7" s="4" t="s">
        <v>22</v>
      </c>
      <c r="B7" s="5">
        <v>5</v>
      </c>
      <c r="C7" s="6" t="s">
        <v>23</v>
      </c>
      <c r="D7" s="6" t="str">
        <f>"李兴"</f>
        <v>李兴</v>
      </c>
      <c r="E7" s="6" t="str">
        <f t="shared" si="0"/>
        <v>男</v>
      </c>
      <c r="F7" s="6" t="str">
        <f t="shared" si="1"/>
        <v>汉族</v>
      </c>
      <c r="G7" s="6" t="s">
        <v>24</v>
      </c>
      <c r="H7" s="6" t="str">
        <f t="shared" si="3"/>
        <v>专科</v>
      </c>
      <c r="I7" s="6" t="str">
        <f t="shared" si="4"/>
        <v>2023-07-01</v>
      </c>
      <c r="J7" s="6" t="str">
        <f>"齐鲁理工学院"</f>
        <v>齐鲁理工学院</v>
      </c>
      <c r="K7" s="6" t="str">
        <f t="shared" ref="K7:K9" si="5">"医学影像技术"</f>
        <v>医学影像技术</v>
      </c>
    </row>
    <row r="8" ht="25" customHeight="1" spans="1:11">
      <c r="A8" s="4" t="s">
        <v>22</v>
      </c>
      <c r="B8" s="5">
        <v>6</v>
      </c>
      <c r="C8" s="6" t="s">
        <v>25</v>
      </c>
      <c r="D8" s="6" t="str">
        <f>"张艺君"</f>
        <v>张艺君</v>
      </c>
      <c r="E8" s="6" t="str">
        <f t="shared" si="2"/>
        <v>女</v>
      </c>
      <c r="F8" s="6" t="str">
        <f t="shared" si="1"/>
        <v>汉族</v>
      </c>
      <c r="G8" s="6" t="s">
        <v>26</v>
      </c>
      <c r="H8" s="6" t="str">
        <f>"本科"</f>
        <v>本科</v>
      </c>
      <c r="I8" s="6" t="str">
        <f>"2023-06-15"</f>
        <v>2023-06-15</v>
      </c>
      <c r="J8" s="6" t="str">
        <f>"黄河科技学院"</f>
        <v>黄河科技学院</v>
      </c>
      <c r="K8" s="6" t="str">
        <f t="shared" si="5"/>
        <v>医学影像技术</v>
      </c>
    </row>
    <row r="9" ht="25" customHeight="1" spans="1:11">
      <c r="A9" s="4" t="s">
        <v>22</v>
      </c>
      <c r="B9" s="5">
        <v>7</v>
      </c>
      <c r="C9" s="6" t="s">
        <v>23</v>
      </c>
      <c r="D9" s="6" t="str">
        <f>"赵园梦"</f>
        <v>赵园梦</v>
      </c>
      <c r="E9" s="6" t="str">
        <f t="shared" si="2"/>
        <v>女</v>
      </c>
      <c r="F9" s="6" t="str">
        <f t="shared" si="1"/>
        <v>汉族</v>
      </c>
      <c r="G9" s="6" t="s">
        <v>27</v>
      </c>
      <c r="H9" s="6" t="str">
        <f t="shared" ref="H9:H19" si="6">"专科"</f>
        <v>专科</v>
      </c>
      <c r="I9" s="6" t="str">
        <f>"2021-07-01"</f>
        <v>2021-07-01</v>
      </c>
      <c r="J9" s="6" t="str">
        <f>"河南科技职业大学"</f>
        <v>河南科技职业大学</v>
      </c>
      <c r="K9" s="6" t="str">
        <f t="shared" si="5"/>
        <v>医学影像技术</v>
      </c>
    </row>
    <row r="10" ht="25" customHeight="1" spans="1:11">
      <c r="A10" s="4" t="s">
        <v>28</v>
      </c>
      <c r="B10" s="5">
        <v>8</v>
      </c>
      <c r="C10" s="6" t="s">
        <v>29</v>
      </c>
      <c r="D10" s="6" t="str">
        <f>"崔远"</f>
        <v>崔远</v>
      </c>
      <c r="E10" s="6" t="str">
        <f t="shared" si="2"/>
        <v>女</v>
      </c>
      <c r="F10" s="6" t="str">
        <f t="shared" si="1"/>
        <v>汉族</v>
      </c>
      <c r="G10" s="6" t="s">
        <v>30</v>
      </c>
      <c r="H10" s="6" t="str">
        <f t="shared" si="6"/>
        <v>专科</v>
      </c>
      <c r="I10" s="6" t="str">
        <f t="shared" ref="I10:I15" si="7">"2023-07-01"</f>
        <v>2023-07-01</v>
      </c>
      <c r="J10" s="6" t="str">
        <f>"河南护理职业学院"</f>
        <v>河南护理职业学院</v>
      </c>
      <c r="K10" s="6" t="str">
        <f t="shared" ref="K10:K15" si="8">"医学检验技术"</f>
        <v>医学检验技术</v>
      </c>
    </row>
    <row r="11" ht="25" customHeight="1" spans="1:11">
      <c r="A11" s="4" t="s">
        <v>19</v>
      </c>
      <c r="B11" s="5">
        <v>9</v>
      </c>
      <c r="C11" s="6" t="s">
        <v>31</v>
      </c>
      <c r="D11" s="6" t="str">
        <f>"刘晨阳"</f>
        <v>刘晨阳</v>
      </c>
      <c r="E11" s="6" t="str">
        <f t="shared" si="2"/>
        <v>女</v>
      </c>
      <c r="F11" s="6" t="str">
        <f t="shared" si="1"/>
        <v>汉族</v>
      </c>
      <c r="G11" s="6" t="s">
        <v>32</v>
      </c>
      <c r="H11" s="6" t="str">
        <f>"本科"</f>
        <v>本科</v>
      </c>
      <c r="I11" s="6" t="str">
        <f>"2023-06-30"</f>
        <v>2023-06-30</v>
      </c>
      <c r="J11" s="6" t="str">
        <f>"湖北科技学院"</f>
        <v>湖北科技学院</v>
      </c>
      <c r="K11" s="6" t="str">
        <f>"临床医学"</f>
        <v>临床医学</v>
      </c>
    </row>
    <row r="12" ht="25" customHeight="1" spans="1:11">
      <c r="A12" s="4" t="s">
        <v>22</v>
      </c>
      <c r="B12" s="5">
        <v>10</v>
      </c>
      <c r="C12" s="6" t="s">
        <v>23</v>
      </c>
      <c r="D12" s="6" t="str">
        <f>"陈信宇"</f>
        <v>陈信宇</v>
      </c>
      <c r="E12" s="6" t="str">
        <f t="shared" ref="E12:E16" si="9">"男"</f>
        <v>男</v>
      </c>
      <c r="F12" s="6" t="str">
        <f t="shared" si="1"/>
        <v>汉族</v>
      </c>
      <c r="G12" s="6" t="s">
        <v>33</v>
      </c>
      <c r="H12" s="6" t="str">
        <f t="shared" si="6"/>
        <v>专科</v>
      </c>
      <c r="I12" s="6" t="str">
        <f t="shared" si="7"/>
        <v>2023-07-01</v>
      </c>
      <c r="J12" s="6" t="str">
        <f>"周口职业技术学院"</f>
        <v>周口职业技术学院</v>
      </c>
      <c r="K12" s="6" t="str">
        <f t="shared" ref="K12:K17" si="10">"医学影像技术"</f>
        <v>医学影像技术</v>
      </c>
    </row>
    <row r="13" ht="25" customHeight="1" spans="1:11">
      <c r="A13" s="4" t="s">
        <v>22</v>
      </c>
      <c r="B13" s="5">
        <v>11</v>
      </c>
      <c r="C13" s="6" t="s">
        <v>25</v>
      </c>
      <c r="D13" s="6" t="str">
        <f>"李京"</f>
        <v>李京</v>
      </c>
      <c r="E13" s="6" t="str">
        <f t="shared" si="9"/>
        <v>男</v>
      </c>
      <c r="F13" s="6" t="str">
        <f t="shared" si="1"/>
        <v>汉族</v>
      </c>
      <c r="G13" s="6" t="s">
        <v>34</v>
      </c>
      <c r="H13" s="6" t="str">
        <f t="shared" si="6"/>
        <v>专科</v>
      </c>
      <c r="I13" s="6" t="str">
        <f>"2018-07-01"</f>
        <v>2018-07-01</v>
      </c>
      <c r="J13" s="6" t="str">
        <f>"鹤壁职业技术学院"</f>
        <v>鹤壁职业技术学院</v>
      </c>
      <c r="K13" s="6" t="str">
        <f t="shared" si="10"/>
        <v>医学影像技术</v>
      </c>
    </row>
    <row r="14" ht="25" customHeight="1" spans="1:11">
      <c r="A14" s="4" t="s">
        <v>28</v>
      </c>
      <c r="B14" s="5">
        <v>12</v>
      </c>
      <c r="C14" s="6" t="s">
        <v>29</v>
      </c>
      <c r="D14" s="6" t="str">
        <f>"冀鑫"</f>
        <v>冀鑫</v>
      </c>
      <c r="E14" s="6" t="str">
        <f>"女"</f>
        <v>女</v>
      </c>
      <c r="F14" s="6" t="str">
        <f t="shared" si="1"/>
        <v>汉族</v>
      </c>
      <c r="G14" s="6" t="s">
        <v>35</v>
      </c>
      <c r="H14" s="6" t="str">
        <f t="shared" si="6"/>
        <v>专科</v>
      </c>
      <c r="I14" s="6" t="str">
        <f t="shared" si="7"/>
        <v>2023-07-01</v>
      </c>
      <c r="J14" s="6" t="str">
        <f>"商丘工学院"</f>
        <v>商丘工学院</v>
      </c>
      <c r="K14" s="6" t="str">
        <f t="shared" si="8"/>
        <v>医学检验技术</v>
      </c>
    </row>
    <row r="15" ht="25" customHeight="1" spans="1:11">
      <c r="A15" s="4" t="s">
        <v>28</v>
      </c>
      <c r="B15" s="5">
        <v>13</v>
      </c>
      <c r="C15" s="6" t="s">
        <v>29</v>
      </c>
      <c r="D15" s="6" t="str">
        <f>"王辉"</f>
        <v>王辉</v>
      </c>
      <c r="E15" s="6" t="str">
        <f t="shared" si="9"/>
        <v>男</v>
      </c>
      <c r="F15" s="6" t="str">
        <f t="shared" si="1"/>
        <v>汉族</v>
      </c>
      <c r="G15" s="6" t="s">
        <v>36</v>
      </c>
      <c r="H15" s="6" t="str">
        <f t="shared" si="6"/>
        <v>专科</v>
      </c>
      <c r="I15" s="6" t="str">
        <f t="shared" si="7"/>
        <v>2023-07-01</v>
      </c>
      <c r="J15" s="6" t="str">
        <f>"商丘工学院"</f>
        <v>商丘工学院</v>
      </c>
      <c r="K15" s="6" t="str">
        <f t="shared" si="8"/>
        <v>医学检验技术</v>
      </c>
    </row>
    <row r="16" ht="25" customHeight="1" spans="1:11">
      <c r="A16" s="4" t="s">
        <v>14</v>
      </c>
      <c r="B16" s="5">
        <v>14</v>
      </c>
      <c r="C16" s="6" t="s">
        <v>15</v>
      </c>
      <c r="D16" s="6" t="str">
        <f>"郭泽远"</f>
        <v>郭泽远</v>
      </c>
      <c r="E16" s="6" t="str">
        <f t="shared" si="9"/>
        <v>男</v>
      </c>
      <c r="F16" s="6" t="str">
        <f t="shared" si="1"/>
        <v>汉族</v>
      </c>
      <c r="G16" s="6" t="s">
        <v>37</v>
      </c>
      <c r="H16" s="6" t="str">
        <f t="shared" si="6"/>
        <v>专科</v>
      </c>
      <c r="I16" s="6" t="str">
        <f>"2021-06-07"</f>
        <v>2021-06-07</v>
      </c>
      <c r="J16" s="6" t="str">
        <f>"郑州澍青医学高等专科学校"</f>
        <v>郑州澍青医学高等专科学校</v>
      </c>
      <c r="K16" s="6" t="str">
        <f>"中医学"</f>
        <v>中医学</v>
      </c>
    </row>
    <row r="17" ht="25" customHeight="1" spans="1:11">
      <c r="A17" s="4" t="s">
        <v>22</v>
      </c>
      <c r="B17" s="5">
        <v>15</v>
      </c>
      <c r="C17" s="6" t="s">
        <v>23</v>
      </c>
      <c r="D17" s="6" t="str">
        <f>"张荣幸"</f>
        <v>张荣幸</v>
      </c>
      <c r="E17" s="6" t="str">
        <f t="shared" ref="E17:E24" si="11">"女"</f>
        <v>女</v>
      </c>
      <c r="F17" s="6" t="str">
        <f t="shared" si="1"/>
        <v>汉族</v>
      </c>
      <c r="G17" s="6" t="s">
        <v>38</v>
      </c>
      <c r="H17" s="6" t="str">
        <f t="shared" si="6"/>
        <v>专科</v>
      </c>
      <c r="I17" s="6" t="str">
        <f>"2022-07-01"</f>
        <v>2022-07-01</v>
      </c>
      <c r="J17" s="6" t="str">
        <f>"漯河医学高等专科学校"</f>
        <v>漯河医学高等专科学校</v>
      </c>
      <c r="K17" s="6" t="str">
        <f t="shared" si="10"/>
        <v>医学影像技术</v>
      </c>
    </row>
    <row r="18" ht="25" customHeight="1" spans="1:11">
      <c r="A18" s="4" t="s">
        <v>19</v>
      </c>
      <c r="B18" s="5">
        <v>16</v>
      </c>
      <c r="C18" s="6" t="s">
        <v>39</v>
      </c>
      <c r="D18" s="6" t="str">
        <f>"吴应欢"</f>
        <v>吴应欢</v>
      </c>
      <c r="E18" s="6" t="str">
        <f t="shared" ref="E18:E20" si="12">"男"</f>
        <v>男</v>
      </c>
      <c r="F18" s="6" t="str">
        <f t="shared" si="1"/>
        <v>汉族</v>
      </c>
      <c r="G18" s="6" t="s">
        <v>40</v>
      </c>
      <c r="H18" s="6" t="str">
        <f t="shared" si="6"/>
        <v>专科</v>
      </c>
      <c r="I18" s="6" t="str">
        <f>"2016-07-07"</f>
        <v>2016-07-07</v>
      </c>
      <c r="J18" s="6" t="str">
        <f>"信阳职业技术学院"</f>
        <v>信阳职业技术学院</v>
      </c>
      <c r="K18" s="6" t="str">
        <f>"临床医学"</f>
        <v>临床医学</v>
      </c>
    </row>
    <row r="19" ht="25" customHeight="1" spans="1:11">
      <c r="A19" s="4" t="s">
        <v>28</v>
      </c>
      <c r="B19" s="5">
        <v>17</v>
      </c>
      <c r="C19" s="6" t="s">
        <v>29</v>
      </c>
      <c r="D19" s="6" t="str">
        <f>"彭巍"</f>
        <v>彭巍</v>
      </c>
      <c r="E19" s="6" t="str">
        <f t="shared" si="12"/>
        <v>男</v>
      </c>
      <c r="F19" s="6" t="str">
        <f t="shared" si="1"/>
        <v>汉族</v>
      </c>
      <c r="G19" s="6" t="s">
        <v>41</v>
      </c>
      <c r="H19" s="6" t="str">
        <f t="shared" si="6"/>
        <v>专科</v>
      </c>
      <c r="I19" s="6" t="str">
        <f>"2023.07"</f>
        <v>2023.07</v>
      </c>
      <c r="J19" s="6" t="str">
        <f>"南阳医学高等专科学校"</f>
        <v>南阳医学高等专科学校</v>
      </c>
      <c r="K19" s="6" t="str">
        <f t="shared" ref="K19:K23" si="13">"医学检验技术"</f>
        <v>医学检验技术</v>
      </c>
    </row>
    <row r="20" ht="25" customHeight="1" spans="1:11">
      <c r="A20" s="4" t="s">
        <v>19</v>
      </c>
      <c r="B20" s="5">
        <v>18</v>
      </c>
      <c r="C20" s="6" t="s">
        <v>31</v>
      </c>
      <c r="D20" s="6" t="str">
        <f>"杨鹏"</f>
        <v>杨鹏</v>
      </c>
      <c r="E20" s="6" t="str">
        <f t="shared" si="12"/>
        <v>男</v>
      </c>
      <c r="F20" s="6" t="str">
        <f t="shared" si="1"/>
        <v>汉族</v>
      </c>
      <c r="G20" s="6" t="s">
        <v>42</v>
      </c>
      <c r="H20" s="6" t="str">
        <f>"本科"</f>
        <v>本科</v>
      </c>
      <c r="I20" s="6" t="str">
        <f>"2019-07-01"</f>
        <v>2019-07-01</v>
      </c>
      <c r="J20" s="6" t="str">
        <f>"河南科技大学"</f>
        <v>河南科技大学</v>
      </c>
      <c r="K20" s="6" t="str">
        <f>"临床医学"</f>
        <v>临床医学</v>
      </c>
    </row>
    <row r="21" ht="25" customHeight="1" spans="1:11">
      <c r="A21" s="4" t="s">
        <v>28</v>
      </c>
      <c r="B21" s="5">
        <v>19</v>
      </c>
      <c r="C21" s="6" t="s">
        <v>31</v>
      </c>
      <c r="D21" s="6" t="str">
        <f>"李双"</f>
        <v>李双</v>
      </c>
      <c r="E21" s="6" t="str">
        <f t="shared" si="11"/>
        <v>女</v>
      </c>
      <c r="F21" s="6" t="str">
        <f t="shared" si="1"/>
        <v>汉族</v>
      </c>
      <c r="G21" s="6" t="s">
        <v>43</v>
      </c>
      <c r="H21" s="6" t="str">
        <f>"本科"</f>
        <v>本科</v>
      </c>
      <c r="I21" s="6" t="str">
        <f>"2020-07-31"</f>
        <v>2020-07-31</v>
      </c>
      <c r="J21" s="6" t="str">
        <f>"新乡医学院三全学院"</f>
        <v>新乡医学院三全学院</v>
      </c>
      <c r="K21" s="6" t="str">
        <f t="shared" si="13"/>
        <v>医学检验技术</v>
      </c>
    </row>
    <row r="22" ht="25" customHeight="1" spans="1:11">
      <c r="A22" s="4" t="s">
        <v>28</v>
      </c>
      <c r="B22" s="5">
        <v>20</v>
      </c>
      <c r="C22" s="6" t="s">
        <v>29</v>
      </c>
      <c r="D22" s="6" t="str">
        <f>"刘琳珺"</f>
        <v>刘琳珺</v>
      </c>
      <c r="E22" s="6" t="str">
        <f t="shared" si="11"/>
        <v>女</v>
      </c>
      <c r="F22" s="6" t="str">
        <f t="shared" si="1"/>
        <v>汉族</v>
      </c>
      <c r="G22" s="6" t="s">
        <v>44</v>
      </c>
      <c r="H22" s="6" t="str">
        <f t="shared" ref="H22:H40" si="14">"专科"</f>
        <v>专科</v>
      </c>
      <c r="I22" s="6" t="str">
        <f>"2023.07"</f>
        <v>2023.07</v>
      </c>
      <c r="J22" s="6" t="str">
        <f>"商丘医学高等专科学校"</f>
        <v>商丘医学高等专科学校</v>
      </c>
      <c r="K22" s="6" t="str">
        <f t="shared" si="13"/>
        <v>医学检验技术</v>
      </c>
    </row>
    <row r="23" ht="25" customHeight="1" spans="1:11">
      <c r="A23" s="4" t="s">
        <v>28</v>
      </c>
      <c r="B23" s="5">
        <v>21</v>
      </c>
      <c r="C23" s="6" t="s">
        <v>29</v>
      </c>
      <c r="D23" s="6" t="str">
        <f>"郭婷婷"</f>
        <v>郭婷婷</v>
      </c>
      <c r="E23" s="6" t="str">
        <f t="shared" si="11"/>
        <v>女</v>
      </c>
      <c r="F23" s="6" t="str">
        <f t="shared" si="1"/>
        <v>汉族</v>
      </c>
      <c r="G23" s="6" t="s">
        <v>45</v>
      </c>
      <c r="H23" s="6" t="str">
        <f t="shared" si="14"/>
        <v>专科</v>
      </c>
      <c r="I23" s="6" t="str">
        <f>"2020-07-01"</f>
        <v>2020-07-01</v>
      </c>
      <c r="J23" s="6" t="str">
        <f>"平顶山学院"</f>
        <v>平顶山学院</v>
      </c>
      <c r="K23" s="6" t="str">
        <f t="shared" si="13"/>
        <v>医学检验技术</v>
      </c>
    </row>
    <row r="24" ht="25" customHeight="1" spans="1:11">
      <c r="A24" s="4" t="s">
        <v>22</v>
      </c>
      <c r="B24" s="5">
        <v>22</v>
      </c>
      <c r="C24" s="6" t="s">
        <v>46</v>
      </c>
      <c r="D24" s="6" t="str">
        <f>"孙雪"</f>
        <v>孙雪</v>
      </c>
      <c r="E24" s="6" t="str">
        <f t="shared" si="11"/>
        <v>女</v>
      </c>
      <c r="F24" s="6" t="str">
        <f t="shared" si="1"/>
        <v>汉族</v>
      </c>
      <c r="G24" s="6" t="s">
        <v>47</v>
      </c>
      <c r="H24" s="6" t="str">
        <f t="shared" si="14"/>
        <v>专科</v>
      </c>
      <c r="I24" s="6" t="str">
        <f>"2023-07-01"</f>
        <v>2023-07-01</v>
      </c>
      <c r="J24" s="6" t="str">
        <f>"商丘医学高等专科学校"</f>
        <v>商丘医学高等专科学校</v>
      </c>
      <c r="K24" s="6" t="str">
        <f t="shared" ref="K24:K26" si="15">"医学影像技术"</f>
        <v>医学影像技术</v>
      </c>
    </row>
    <row r="25" ht="25" customHeight="1" spans="1:11">
      <c r="A25" s="4" t="s">
        <v>22</v>
      </c>
      <c r="B25" s="5">
        <v>23</v>
      </c>
      <c r="C25" s="6" t="s">
        <v>23</v>
      </c>
      <c r="D25" s="6" t="str">
        <f>"和龙龙"</f>
        <v>和龙龙</v>
      </c>
      <c r="E25" s="6" t="str">
        <f>"男"</f>
        <v>男</v>
      </c>
      <c r="F25" s="6" t="str">
        <f t="shared" si="1"/>
        <v>汉族</v>
      </c>
      <c r="G25" s="6" t="s">
        <v>48</v>
      </c>
      <c r="H25" s="6" t="str">
        <f t="shared" si="14"/>
        <v>专科</v>
      </c>
      <c r="I25" s="6" t="str">
        <f>"2022-07-01"</f>
        <v>2022-07-01</v>
      </c>
      <c r="J25" s="6" t="str">
        <f t="shared" ref="J25:J29" si="16">"南阳医学高等专科学校"</f>
        <v>南阳医学高等专科学校</v>
      </c>
      <c r="K25" s="6" t="str">
        <f t="shared" si="15"/>
        <v>医学影像技术</v>
      </c>
    </row>
    <row r="26" ht="25" customHeight="1" spans="1:11">
      <c r="A26" s="4" t="s">
        <v>22</v>
      </c>
      <c r="B26" s="5">
        <v>24</v>
      </c>
      <c r="C26" s="6" t="s">
        <v>25</v>
      </c>
      <c r="D26" s="6" t="str">
        <f>"赵佳琪"</f>
        <v>赵佳琪</v>
      </c>
      <c r="E26" s="6" t="str">
        <f t="shared" ref="E26:E30" si="17">"女"</f>
        <v>女</v>
      </c>
      <c r="F26" s="6" t="str">
        <f t="shared" si="1"/>
        <v>汉族</v>
      </c>
      <c r="G26" s="6" t="s">
        <v>49</v>
      </c>
      <c r="H26" s="6" t="str">
        <f t="shared" si="14"/>
        <v>专科</v>
      </c>
      <c r="I26" s="6" t="str">
        <f>"2021-07-01"</f>
        <v>2021-07-01</v>
      </c>
      <c r="J26" s="6" t="str">
        <f>"河南医学高等专科学校"</f>
        <v>河南医学高等专科学校</v>
      </c>
      <c r="K26" s="6" t="str">
        <f t="shared" si="15"/>
        <v>医学影像技术</v>
      </c>
    </row>
    <row r="27" ht="25" customHeight="1" spans="1:11">
      <c r="A27" s="4" t="s">
        <v>50</v>
      </c>
      <c r="B27" s="5">
        <v>25</v>
      </c>
      <c r="C27" s="6" t="s">
        <v>51</v>
      </c>
      <c r="D27" s="6" t="str">
        <f>"白新宇"</f>
        <v>白新宇</v>
      </c>
      <c r="E27" s="6" t="str">
        <f t="shared" ref="E27:E37" si="18">"男"</f>
        <v>男</v>
      </c>
      <c r="F27" s="6" t="str">
        <f>"回族"</f>
        <v>回族</v>
      </c>
      <c r="G27" s="6" t="s">
        <v>52</v>
      </c>
      <c r="H27" s="6" t="str">
        <f t="shared" si="14"/>
        <v>专科</v>
      </c>
      <c r="I27" s="6" t="str">
        <f>"201607"</f>
        <v>201607</v>
      </c>
      <c r="J27" s="6" t="str">
        <f t="shared" si="16"/>
        <v>南阳医学高等专科学校</v>
      </c>
      <c r="K27" s="6" t="str">
        <f>"口腔医学"</f>
        <v>口腔医学</v>
      </c>
    </row>
    <row r="28" ht="25" customHeight="1" spans="1:11">
      <c r="A28" s="4" t="s">
        <v>14</v>
      </c>
      <c r="B28" s="5">
        <v>26</v>
      </c>
      <c r="C28" s="6" t="s">
        <v>15</v>
      </c>
      <c r="D28" s="6" t="str">
        <f>"王培越"</f>
        <v>王培越</v>
      </c>
      <c r="E28" s="6" t="str">
        <f t="shared" si="17"/>
        <v>女</v>
      </c>
      <c r="F28" s="6" t="str">
        <f t="shared" ref="F28:F44" si="19">"汉族"</f>
        <v>汉族</v>
      </c>
      <c r="G28" s="6" t="s">
        <v>53</v>
      </c>
      <c r="H28" s="6" t="str">
        <f t="shared" si="14"/>
        <v>专科</v>
      </c>
      <c r="I28" s="6" t="str">
        <f>"2022-07-10"</f>
        <v>2022-07-10</v>
      </c>
      <c r="J28" s="6" t="str">
        <f>"洛阳职业技术学院"</f>
        <v>洛阳职业技术学院</v>
      </c>
      <c r="K28" s="6" t="str">
        <f>"中医学"</f>
        <v>中医学</v>
      </c>
    </row>
    <row r="29" ht="25" customHeight="1" spans="1:11">
      <c r="A29" s="4" t="s">
        <v>19</v>
      </c>
      <c r="B29" s="5">
        <v>27</v>
      </c>
      <c r="C29" s="6" t="s">
        <v>15</v>
      </c>
      <c r="D29" s="6" t="str">
        <f>"赵琼"</f>
        <v>赵琼</v>
      </c>
      <c r="E29" s="6" t="str">
        <f t="shared" si="17"/>
        <v>女</v>
      </c>
      <c r="F29" s="6" t="str">
        <f t="shared" si="19"/>
        <v>汉族</v>
      </c>
      <c r="G29" s="6" t="s">
        <v>54</v>
      </c>
      <c r="H29" s="6" t="str">
        <f t="shared" si="14"/>
        <v>专科</v>
      </c>
      <c r="I29" s="6" t="str">
        <f>"2022-07-01"</f>
        <v>2022-07-01</v>
      </c>
      <c r="J29" s="6" t="str">
        <f t="shared" si="16"/>
        <v>南阳医学高等专科学校</v>
      </c>
      <c r="K29" s="6" t="str">
        <f>"临床医学"</f>
        <v>临床医学</v>
      </c>
    </row>
    <row r="30" ht="25" customHeight="1" spans="1:11">
      <c r="A30" s="4" t="s">
        <v>22</v>
      </c>
      <c r="B30" s="5">
        <v>28</v>
      </c>
      <c r="C30" s="6" t="s">
        <v>23</v>
      </c>
      <c r="D30" s="6" t="str">
        <f>"候守淳"</f>
        <v>候守淳</v>
      </c>
      <c r="E30" s="6" t="str">
        <f t="shared" si="17"/>
        <v>女</v>
      </c>
      <c r="F30" s="6" t="str">
        <f t="shared" si="19"/>
        <v>汉族</v>
      </c>
      <c r="G30" s="6" t="s">
        <v>55</v>
      </c>
      <c r="H30" s="6" t="str">
        <f t="shared" si="14"/>
        <v>专科</v>
      </c>
      <c r="I30" s="6" t="str">
        <f>"2023-07-01"</f>
        <v>2023-07-01</v>
      </c>
      <c r="J30" s="6" t="str">
        <f>"安阳职业技术学院"</f>
        <v>安阳职业技术学院</v>
      </c>
      <c r="K30" s="6" t="str">
        <f>"医学影像技术"</f>
        <v>医学影像技术</v>
      </c>
    </row>
    <row r="31" ht="25" customHeight="1" spans="1:11">
      <c r="A31" s="4" t="s">
        <v>22</v>
      </c>
      <c r="B31" s="5">
        <v>29</v>
      </c>
      <c r="C31" s="6" t="s">
        <v>23</v>
      </c>
      <c r="D31" s="6" t="str">
        <f>"马天一"</f>
        <v>马天一</v>
      </c>
      <c r="E31" s="6" t="str">
        <f t="shared" si="18"/>
        <v>男</v>
      </c>
      <c r="F31" s="6" t="str">
        <f t="shared" si="19"/>
        <v>汉族</v>
      </c>
      <c r="G31" s="6" t="s">
        <v>56</v>
      </c>
      <c r="H31" s="6" t="str">
        <f t="shared" si="14"/>
        <v>专科</v>
      </c>
      <c r="I31" s="6" t="str">
        <f>"2022-06-01"</f>
        <v>2022-06-01</v>
      </c>
      <c r="J31" s="6" t="str">
        <f>"周口职业技术学院"</f>
        <v>周口职业技术学院</v>
      </c>
      <c r="K31" s="6" t="str">
        <f>"医学影像技术"</f>
        <v>医学影像技术</v>
      </c>
    </row>
    <row r="32" ht="25" customHeight="1" spans="1:11">
      <c r="A32" s="4" t="s">
        <v>19</v>
      </c>
      <c r="B32" s="5">
        <v>30</v>
      </c>
      <c r="C32" s="6" t="s">
        <v>39</v>
      </c>
      <c r="D32" s="6" t="str">
        <f>"崔航"</f>
        <v>崔航</v>
      </c>
      <c r="E32" s="6" t="str">
        <f t="shared" si="18"/>
        <v>男</v>
      </c>
      <c r="F32" s="6" t="str">
        <f t="shared" si="19"/>
        <v>汉族</v>
      </c>
      <c r="G32" s="6" t="s">
        <v>57</v>
      </c>
      <c r="H32" s="6" t="str">
        <f t="shared" si="14"/>
        <v>专科</v>
      </c>
      <c r="I32" s="6" t="str">
        <f>"2020-06-21"</f>
        <v>2020-06-21</v>
      </c>
      <c r="J32" s="6" t="str">
        <f>"信阳职业技术学院"</f>
        <v>信阳职业技术学院</v>
      </c>
      <c r="K32" s="6" t="str">
        <f>"临床医学"</f>
        <v>临床医学</v>
      </c>
    </row>
    <row r="33" ht="25" customHeight="1" spans="1:11">
      <c r="A33" s="4" t="s">
        <v>14</v>
      </c>
      <c r="B33" s="5">
        <v>31</v>
      </c>
      <c r="C33" s="6" t="s">
        <v>25</v>
      </c>
      <c r="D33" s="6" t="str">
        <f>"贺冠豪"</f>
        <v>贺冠豪</v>
      </c>
      <c r="E33" s="6" t="str">
        <f t="shared" si="18"/>
        <v>男</v>
      </c>
      <c r="F33" s="6" t="str">
        <f t="shared" si="19"/>
        <v>汉族</v>
      </c>
      <c r="G33" s="6" t="s">
        <v>58</v>
      </c>
      <c r="H33" s="6" t="str">
        <f t="shared" si="14"/>
        <v>专科</v>
      </c>
      <c r="I33" s="6" t="str">
        <f>"2022-07-01"</f>
        <v>2022-07-01</v>
      </c>
      <c r="J33" s="6" t="str">
        <f t="shared" ref="J33:J36" si="20">"南阳医学高等专科学校"</f>
        <v>南阳医学高等专科学校</v>
      </c>
      <c r="K33" s="6" t="str">
        <f>"中医学"</f>
        <v>中医学</v>
      </c>
    </row>
    <row r="34" ht="25" customHeight="1" spans="1:11">
      <c r="A34" s="4" t="s">
        <v>14</v>
      </c>
      <c r="B34" s="5">
        <v>32</v>
      </c>
      <c r="C34" s="6" t="s">
        <v>25</v>
      </c>
      <c r="D34" s="6" t="str">
        <f>"雷博"</f>
        <v>雷博</v>
      </c>
      <c r="E34" s="6" t="str">
        <f t="shared" si="18"/>
        <v>男</v>
      </c>
      <c r="F34" s="6" t="str">
        <f t="shared" si="19"/>
        <v>汉族</v>
      </c>
      <c r="G34" s="6" t="s">
        <v>59</v>
      </c>
      <c r="H34" s="6" t="str">
        <f t="shared" si="14"/>
        <v>专科</v>
      </c>
      <c r="I34" s="6" t="str">
        <f>"2020-07-01"</f>
        <v>2020-07-01</v>
      </c>
      <c r="J34" s="6" t="str">
        <f t="shared" si="20"/>
        <v>南阳医学高等专科学校</v>
      </c>
      <c r="K34" s="6" t="str">
        <f>"中医学"</f>
        <v>中医学</v>
      </c>
    </row>
    <row r="35" ht="25" customHeight="1" spans="1:11">
      <c r="A35" s="4" t="s">
        <v>19</v>
      </c>
      <c r="B35" s="5">
        <v>33</v>
      </c>
      <c r="C35" s="6" t="s">
        <v>15</v>
      </c>
      <c r="D35" s="6" t="str">
        <f>"齐元甲"</f>
        <v>齐元甲</v>
      </c>
      <c r="E35" s="6" t="str">
        <f t="shared" si="18"/>
        <v>男</v>
      </c>
      <c r="F35" s="6" t="str">
        <f t="shared" si="19"/>
        <v>汉族</v>
      </c>
      <c r="G35" s="6" t="s">
        <v>60</v>
      </c>
      <c r="H35" s="6" t="str">
        <f t="shared" si="14"/>
        <v>专科</v>
      </c>
      <c r="I35" s="6" t="str">
        <f>"2022-07-31"</f>
        <v>2022-07-31</v>
      </c>
      <c r="J35" s="6" t="str">
        <f t="shared" si="20"/>
        <v>南阳医学高等专科学校</v>
      </c>
      <c r="K35" s="6" t="str">
        <f>"临床医学"</f>
        <v>临床医学</v>
      </c>
    </row>
    <row r="36" ht="25" customHeight="1" spans="1:11">
      <c r="A36" s="4" t="s">
        <v>22</v>
      </c>
      <c r="B36" s="5">
        <v>34</v>
      </c>
      <c r="C36" s="6" t="s">
        <v>46</v>
      </c>
      <c r="D36" s="6" t="str">
        <f>"杨巍然"</f>
        <v>杨巍然</v>
      </c>
      <c r="E36" s="6" t="str">
        <f t="shared" si="18"/>
        <v>男</v>
      </c>
      <c r="F36" s="6" t="str">
        <f t="shared" si="19"/>
        <v>汉族</v>
      </c>
      <c r="G36" s="6" t="s">
        <v>61</v>
      </c>
      <c r="H36" s="6" t="str">
        <f t="shared" si="14"/>
        <v>专科</v>
      </c>
      <c r="I36" s="6" t="str">
        <f>"2017-07-01"</f>
        <v>2017-07-01</v>
      </c>
      <c r="J36" s="6" t="str">
        <f t="shared" si="20"/>
        <v>南阳医学高等专科学校</v>
      </c>
      <c r="K36" s="6" t="str">
        <f t="shared" ref="K36:K39" si="21">"医学影像技术"</f>
        <v>医学影像技术</v>
      </c>
    </row>
    <row r="37" ht="25" customHeight="1" spans="1:11">
      <c r="A37" s="4" t="s">
        <v>22</v>
      </c>
      <c r="B37" s="5">
        <v>35</v>
      </c>
      <c r="C37" s="6" t="s">
        <v>23</v>
      </c>
      <c r="D37" s="6" t="str">
        <f>"周兵政"</f>
        <v>周兵政</v>
      </c>
      <c r="E37" s="6" t="str">
        <f t="shared" si="18"/>
        <v>男</v>
      </c>
      <c r="F37" s="6" t="str">
        <f t="shared" si="19"/>
        <v>汉族</v>
      </c>
      <c r="G37" s="6" t="s">
        <v>52</v>
      </c>
      <c r="H37" s="6" t="str">
        <f t="shared" si="14"/>
        <v>专科</v>
      </c>
      <c r="I37" s="6" t="str">
        <f>"2022-07-01"</f>
        <v>2022-07-01</v>
      </c>
      <c r="J37" s="6" t="str">
        <f>"周口职业技术学院"</f>
        <v>周口职业技术学院</v>
      </c>
      <c r="K37" s="6" t="str">
        <f t="shared" si="21"/>
        <v>医学影像技术</v>
      </c>
    </row>
    <row r="38" ht="25" customHeight="1" spans="1:11">
      <c r="A38" s="4" t="s">
        <v>22</v>
      </c>
      <c r="B38" s="5">
        <v>36</v>
      </c>
      <c r="C38" s="6" t="s">
        <v>62</v>
      </c>
      <c r="D38" s="6" t="str">
        <f>"李静茹"</f>
        <v>李静茹</v>
      </c>
      <c r="E38" s="6" t="str">
        <f t="shared" ref="E38:E43" si="22">"女"</f>
        <v>女</v>
      </c>
      <c r="F38" s="6" t="str">
        <f t="shared" si="19"/>
        <v>汉族</v>
      </c>
      <c r="G38" s="6" t="s">
        <v>63</v>
      </c>
      <c r="H38" s="6" t="str">
        <f t="shared" si="14"/>
        <v>专科</v>
      </c>
      <c r="I38" s="6" t="str">
        <f>"2023-07-01"</f>
        <v>2023-07-01</v>
      </c>
      <c r="J38" s="6" t="str">
        <f>"濮阳医学高等专科学校"</f>
        <v>濮阳医学高等专科学校</v>
      </c>
      <c r="K38" s="6" t="str">
        <f t="shared" si="21"/>
        <v>医学影像技术</v>
      </c>
    </row>
    <row r="39" ht="25" customHeight="1" spans="1:11">
      <c r="A39" s="4" t="s">
        <v>22</v>
      </c>
      <c r="B39" s="5">
        <v>37</v>
      </c>
      <c r="C39" s="6" t="s">
        <v>23</v>
      </c>
      <c r="D39" s="6" t="str">
        <f>"万鹏飞"</f>
        <v>万鹏飞</v>
      </c>
      <c r="E39" s="6" t="str">
        <f t="shared" ref="E39:E44" si="23">"男"</f>
        <v>男</v>
      </c>
      <c r="F39" s="6" t="str">
        <f t="shared" si="19"/>
        <v>汉族</v>
      </c>
      <c r="G39" s="6" t="s">
        <v>64</v>
      </c>
      <c r="H39" s="6" t="str">
        <f t="shared" si="14"/>
        <v>专科</v>
      </c>
      <c r="I39" s="6" t="str">
        <f>"2021-07-01"</f>
        <v>2021-07-01</v>
      </c>
      <c r="J39" s="6" t="str">
        <f>"郑州澍青医学高等专科学校"</f>
        <v>郑州澍青医学高等专科学校</v>
      </c>
      <c r="K39" s="6" t="str">
        <f t="shared" si="21"/>
        <v>医学影像技术</v>
      </c>
    </row>
    <row r="40" ht="25" customHeight="1" spans="1:11">
      <c r="A40" s="4" t="s">
        <v>14</v>
      </c>
      <c r="B40" s="5">
        <v>38</v>
      </c>
      <c r="C40" s="6" t="s">
        <v>25</v>
      </c>
      <c r="D40" s="6" t="str">
        <f>"袁展鹏"</f>
        <v>袁展鹏</v>
      </c>
      <c r="E40" s="6" t="str">
        <f t="shared" si="23"/>
        <v>男</v>
      </c>
      <c r="F40" s="6" t="str">
        <f t="shared" si="19"/>
        <v>汉族</v>
      </c>
      <c r="G40" s="6" t="s">
        <v>65</v>
      </c>
      <c r="H40" s="6" t="str">
        <f t="shared" si="14"/>
        <v>专科</v>
      </c>
      <c r="I40" s="6" t="str">
        <f>"2021-07-01"</f>
        <v>2021-07-01</v>
      </c>
      <c r="J40" s="6" t="str">
        <f>"南阳医学高等专科学校"</f>
        <v>南阳医学高等专科学校</v>
      </c>
      <c r="K40" s="6" t="str">
        <f>"中医学"</f>
        <v>中医学</v>
      </c>
    </row>
    <row r="41" ht="25" customHeight="1" spans="1:11">
      <c r="A41" s="4" t="s">
        <v>22</v>
      </c>
      <c r="B41" s="5">
        <v>39</v>
      </c>
      <c r="C41" s="6" t="s">
        <v>25</v>
      </c>
      <c r="D41" s="6" t="str">
        <f>"周子曦"</f>
        <v>周子曦</v>
      </c>
      <c r="E41" s="6" t="str">
        <f t="shared" si="22"/>
        <v>女</v>
      </c>
      <c r="F41" s="6" t="str">
        <f t="shared" si="19"/>
        <v>汉族</v>
      </c>
      <c r="G41" s="6" t="s">
        <v>66</v>
      </c>
      <c r="H41" s="6" t="str">
        <f t="shared" ref="H41:H44" si="24">"本科"</f>
        <v>本科</v>
      </c>
      <c r="I41" s="6" t="str">
        <f>"2023-07-01"</f>
        <v>2023-07-01</v>
      </c>
      <c r="J41" s="6" t="str">
        <f>"新乡医学院三全学院"</f>
        <v>新乡医学院三全学院</v>
      </c>
      <c r="K41" s="6" t="str">
        <f t="shared" ref="K41:K44" si="25">"医学影像技术"</f>
        <v>医学影像技术</v>
      </c>
    </row>
    <row r="42" ht="25" customHeight="1" spans="1:11">
      <c r="A42" s="4" t="s">
        <v>22</v>
      </c>
      <c r="B42" s="5">
        <v>40</v>
      </c>
      <c r="C42" s="6" t="s">
        <v>25</v>
      </c>
      <c r="D42" s="6" t="str">
        <f>"张紫凡"</f>
        <v>张紫凡</v>
      </c>
      <c r="E42" s="6" t="str">
        <f t="shared" si="22"/>
        <v>女</v>
      </c>
      <c r="F42" s="6" t="str">
        <f t="shared" si="19"/>
        <v>汉族</v>
      </c>
      <c r="G42" s="6" t="s">
        <v>67</v>
      </c>
      <c r="H42" s="6" t="str">
        <f t="shared" si="24"/>
        <v>本科</v>
      </c>
      <c r="I42" s="6" t="str">
        <f>"2021-07-30"</f>
        <v>2021-07-30</v>
      </c>
      <c r="J42" s="6" t="str">
        <f>"河南医学高等专科学校"</f>
        <v>河南医学高等专科学校</v>
      </c>
      <c r="K42" s="6" t="str">
        <f t="shared" si="25"/>
        <v>医学影像技术</v>
      </c>
    </row>
    <row r="43" ht="25" customHeight="1" spans="1:11">
      <c r="A43" s="4" t="s">
        <v>28</v>
      </c>
      <c r="B43" s="5">
        <v>41</v>
      </c>
      <c r="C43" s="6" t="s">
        <v>29</v>
      </c>
      <c r="D43" s="6" t="str">
        <f>"曹艺珊"</f>
        <v>曹艺珊</v>
      </c>
      <c r="E43" s="6" t="str">
        <f t="shared" si="22"/>
        <v>女</v>
      </c>
      <c r="F43" s="6" t="str">
        <f t="shared" si="19"/>
        <v>汉族</v>
      </c>
      <c r="G43" s="6" t="s">
        <v>68</v>
      </c>
      <c r="H43" s="6" t="str">
        <f t="shared" ref="H43:H49" si="26">"专科"</f>
        <v>专科</v>
      </c>
      <c r="I43" s="6" t="str">
        <f>"2022-07-01"</f>
        <v>2022-07-01</v>
      </c>
      <c r="J43" s="6" t="str">
        <f>"信阳职业技术学院"</f>
        <v>信阳职业技术学院</v>
      </c>
      <c r="K43" s="6" t="str">
        <f>"医学检验技术"</f>
        <v>医学检验技术</v>
      </c>
    </row>
    <row r="44" ht="25" customHeight="1" spans="1:11">
      <c r="A44" s="4" t="s">
        <v>22</v>
      </c>
      <c r="B44" s="5">
        <v>42</v>
      </c>
      <c r="C44" s="6" t="s">
        <v>25</v>
      </c>
      <c r="D44" s="6" t="str">
        <f>"王汉平"</f>
        <v>王汉平</v>
      </c>
      <c r="E44" s="6" t="str">
        <f t="shared" si="23"/>
        <v>男</v>
      </c>
      <c r="F44" s="6" t="str">
        <f t="shared" si="19"/>
        <v>汉族</v>
      </c>
      <c r="G44" s="6" t="s">
        <v>52</v>
      </c>
      <c r="H44" s="6" t="str">
        <f t="shared" si="24"/>
        <v>本科</v>
      </c>
      <c r="I44" s="6" t="str">
        <f>"2022-07-01"</f>
        <v>2022-07-01</v>
      </c>
      <c r="J44" s="6" t="str">
        <f>"新乡医学院三全学院"</f>
        <v>新乡医学院三全学院</v>
      </c>
      <c r="K44" s="6" t="str">
        <f t="shared" si="25"/>
        <v>医学影像技术</v>
      </c>
    </row>
    <row r="45" ht="25" customHeight="1" spans="1:11">
      <c r="A45" s="4" t="s">
        <v>19</v>
      </c>
      <c r="B45" s="5">
        <v>43</v>
      </c>
      <c r="C45" s="6" t="s">
        <v>39</v>
      </c>
      <c r="D45" s="6" t="str">
        <f>"李欣益"</f>
        <v>李欣益</v>
      </c>
      <c r="E45" s="6" t="str">
        <f t="shared" ref="E45:E50" si="27">"女"</f>
        <v>女</v>
      </c>
      <c r="F45" s="6" t="str">
        <f>"蒙古族"</f>
        <v>蒙古族</v>
      </c>
      <c r="G45" s="6" t="s">
        <v>69</v>
      </c>
      <c r="H45" s="6" t="str">
        <f t="shared" si="26"/>
        <v>专科</v>
      </c>
      <c r="I45" s="6" t="str">
        <f t="shared" ref="I45:I48" si="28">"2021-07-01"</f>
        <v>2021-07-01</v>
      </c>
      <c r="J45" s="6" t="str">
        <f>"郑州澍青医学高等专科学校"</f>
        <v>郑州澍青医学高等专科学校</v>
      </c>
      <c r="K45" s="6" t="str">
        <f t="shared" ref="K45:K50" si="29">"临床医学"</f>
        <v>临床医学</v>
      </c>
    </row>
    <row r="46" ht="25" customHeight="1" spans="1:11">
      <c r="A46" s="4" t="s">
        <v>14</v>
      </c>
      <c r="B46" s="5">
        <v>44</v>
      </c>
      <c r="C46" s="6" t="s">
        <v>15</v>
      </c>
      <c r="D46" s="6" t="str">
        <f>"冯琴惠"</f>
        <v>冯琴惠</v>
      </c>
      <c r="E46" s="6" t="str">
        <f t="shared" si="27"/>
        <v>女</v>
      </c>
      <c r="F46" s="6" t="str">
        <f t="shared" ref="F46:F56" si="30">"汉族"</f>
        <v>汉族</v>
      </c>
      <c r="G46" s="6" t="s">
        <v>70</v>
      </c>
      <c r="H46" s="6" t="str">
        <f t="shared" si="26"/>
        <v>专科</v>
      </c>
      <c r="I46" s="6" t="str">
        <f t="shared" si="28"/>
        <v>2021-07-01</v>
      </c>
      <c r="J46" s="6" t="str">
        <f>"南阳医学高等专科学校"</f>
        <v>南阳医学高等专科学校</v>
      </c>
      <c r="K46" s="6" t="str">
        <f>"中医学"</f>
        <v>中医学</v>
      </c>
    </row>
    <row r="47" ht="25" customHeight="1" spans="1:11">
      <c r="A47" s="4" t="s">
        <v>19</v>
      </c>
      <c r="B47" s="5">
        <v>45</v>
      </c>
      <c r="C47" s="6" t="s">
        <v>71</v>
      </c>
      <c r="D47" s="6" t="str">
        <f>"祝可桢"</f>
        <v>祝可桢</v>
      </c>
      <c r="E47" s="6" t="str">
        <f t="shared" ref="E47:E49" si="31">"男"</f>
        <v>男</v>
      </c>
      <c r="F47" s="6" t="str">
        <f t="shared" si="30"/>
        <v>汉族</v>
      </c>
      <c r="G47" s="6" t="s">
        <v>72</v>
      </c>
      <c r="H47" s="6" t="str">
        <f t="shared" si="26"/>
        <v>专科</v>
      </c>
      <c r="I47" s="6" t="str">
        <f>"2019-07-01"</f>
        <v>2019-07-01</v>
      </c>
      <c r="J47" s="6" t="str">
        <f>"南阳医学高等专科学校"</f>
        <v>南阳医学高等专科学校</v>
      </c>
      <c r="K47" s="6" t="str">
        <f t="shared" si="29"/>
        <v>临床医学</v>
      </c>
    </row>
    <row r="48" ht="25" customHeight="1" spans="1:11">
      <c r="A48" s="4" t="s">
        <v>19</v>
      </c>
      <c r="B48" s="5">
        <v>46</v>
      </c>
      <c r="C48" s="6" t="s">
        <v>39</v>
      </c>
      <c r="D48" s="6" t="str">
        <f>"史英明"</f>
        <v>史英明</v>
      </c>
      <c r="E48" s="6" t="str">
        <f t="shared" si="31"/>
        <v>男</v>
      </c>
      <c r="F48" s="6" t="str">
        <f t="shared" si="30"/>
        <v>汉族</v>
      </c>
      <c r="G48" s="6" t="s">
        <v>73</v>
      </c>
      <c r="H48" s="6" t="str">
        <f t="shared" si="26"/>
        <v>专科</v>
      </c>
      <c r="I48" s="6" t="str">
        <f t="shared" si="28"/>
        <v>2021-07-01</v>
      </c>
      <c r="J48" s="6" t="str">
        <f>"邢台医学高等专科学校"</f>
        <v>邢台医学高等专科学校</v>
      </c>
      <c r="K48" s="6" t="str">
        <f t="shared" si="29"/>
        <v>临床医学</v>
      </c>
    </row>
    <row r="49" ht="25" customHeight="1" spans="1:11">
      <c r="A49" s="4" t="s">
        <v>19</v>
      </c>
      <c r="B49" s="5">
        <v>47</v>
      </c>
      <c r="C49" s="6" t="s">
        <v>15</v>
      </c>
      <c r="D49" s="6" t="str">
        <f>"陈仁敬"</f>
        <v>陈仁敬</v>
      </c>
      <c r="E49" s="6" t="str">
        <f t="shared" si="31"/>
        <v>男</v>
      </c>
      <c r="F49" s="6" t="str">
        <f t="shared" si="30"/>
        <v>汉族</v>
      </c>
      <c r="G49" s="6" t="s">
        <v>74</v>
      </c>
      <c r="H49" s="6" t="str">
        <f t="shared" si="26"/>
        <v>专科</v>
      </c>
      <c r="I49" s="6" t="str">
        <f t="shared" ref="I49:I54" si="32">"2020-07-01"</f>
        <v>2020-07-01</v>
      </c>
      <c r="J49" s="6" t="str">
        <f>"平顶山学院"</f>
        <v>平顶山学院</v>
      </c>
      <c r="K49" s="6" t="str">
        <f t="shared" si="29"/>
        <v>临床医学</v>
      </c>
    </row>
    <row r="50" ht="25" customHeight="1" spans="1:11">
      <c r="A50" s="4" t="s">
        <v>19</v>
      </c>
      <c r="B50" s="5">
        <v>48</v>
      </c>
      <c r="C50" s="6" t="s">
        <v>31</v>
      </c>
      <c r="D50" s="6" t="str">
        <f>"董业"</f>
        <v>董业</v>
      </c>
      <c r="E50" s="6" t="str">
        <f t="shared" si="27"/>
        <v>女</v>
      </c>
      <c r="F50" s="6" t="str">
        <f t="shared" si="30"/>
        <v>汉族</v>
      </c>
      <c r="G50" s="6" t="s">
        <v>75</v>
      </c>
      <c r="H50" s="6" t="str">
        <f>"本科"</f>
        <v>本科</v>
      </c>
      <c r="I50" s="6" t="str">
        <f t="shared" si="32"/>
        <v>2020-07-01</v>
      </c>
      <c r="J50" s="6" t="str">
        <f>"新乡医学院三全学院"</f>
        <v>新乡医学院三全学院</v>
      </c>
      <c r="K50" s="6" t="str">
        <f t="shared" si="29"/>
        <v>临床医学</v>
      </c>
    </row>
    <row r="51" ht="25" customHeight="1" spans="1:11">
      <c r="A51" s="4" t="s">
        <v>50</v>
      </c>
      <c r="B51" s="5">
        <v>49</v>
      </c>
      <c r="C51" s="6" t="s">
        <v>39</v>
      </c>
      <c r="D51" s="6" t="str">
        <f>"吕宗权"</f>
        <v>吕宗权</v>
      </c>
      <c r="E51" s="6" t="str">
        <f t="shared" ref="E51:E53" si="33">"男"</f>
        <v>男</v>
      </c>
      <c r="F51" s="6" t="str">
        <f t="shared" si="30"/>
        <v>汉族</v>
      </c>
      <c r="G51" s="6" t="s">
        <v>18</v>
      </c>
      <c r="H51" s="6" t="str">
        <f t="shared" ref="H51:H57" si="34">"专科"</f>
        <v>专科</v>
      </c>
      <c r="I51" s="6" t="str">
        <f>"2021-07-01"</f>
        <v>2021-07-01</v>
      </c>
      <c r="J51" s="6" t="str">
        <f>"河南护理职业学院"</f>
        <v>河南护理职业学院</v>
      </c>
      <c r="K51" s="6" t="str">
        <f>"口腔医学"</f>
        <v>口腔医学</v>
      </c>
    </row>
    <row r="52" ht="25" customHeight="1" spans="1:11">
      <c r="A52" s="4" t="s">
        <v>22</v>
      </c>
      <c r="B52" s="5">
        <v>50</v>
      </c>
      <c r="C52" s="6" t="s">
        <v>25</v>
      </c>
      <c r="D52" s="6" t="str">
        <f>"高祥博"</f>
        <v>高祥博</v>
      </c>
      <c r="E52" s="6" t="str">
        <f t="shared" si="33"/>
        <v>男</v>
      </c>
      <c r="F52" s="6" t="str">
        <f t="shared" si="30"/>
        <v>汉族</v>
      </c>
      <c r="G52" s="6" t="s">
        <v>76</v>
      </c>
      <c r="H52" s="6" t="str">
        <f t="shared" si="34"/>
        <v>专科</v>
      </c>
      <c r="I52" s="6" t="str">
        <f>"2016.07"</f>
        <v>2016.07</v>
      </c>
      <c r="J52" s="6" t="str">
        <f t="shared" ref="J52:J55" si="35">"南阳医学高等专科学校"</f>
        <v>南阳医学高等专科学校</v>
      </c>
      <c r="K52" s="6" t="str">
        <f>"医学影像技术"</f>
        <v>医学影像技术</v>
      </c>
    </row>
    <row r="53" ht="25" customHeight="1" spans="1:11">
      <c r="A53" s="4" t="s">
        <v>19</v>
      </c>
      <c r="B53" s="5">
        <v>51</v>
      </c>
      <c r="C53" s="6" t="s">
        <v>39</v>
      </c>
      <c r="D53" s="6" t="str">
        <f>"杜一鑫"</f>
        <v>杜一鑫</v>
      </c>
      <c r="E53" s="6" t="str">
        <f t="shared" si="33"/>
        <v>男</v>
      </c>
      <c r="F53" s="6" t="str">
        <f t="shared" si="30"/>
        <v>汉族</v>
      </c>
      <c r="G53" s="6" t="s">
        <v>77</v>
      </c>
      <c r="H53" s="6" t="str">
        <f t="shared" si="34"/>
        <v>专科</v>
      </c>
      <c r="I53" s="6" t="str">
        <f t="shared" ref="I53:I57" si="36">"2023-07-01"</f>
        <v>2023-07-01</v>
      </c>
      <c r="J53" s="6" t="str">
        <f t="shared" si="35"/>
        <v>南阳医学高等专科学校</v>
      </c>
      <c r="K53" s="6" t="str">
        <f t="shared" ref="K53:K57" si="37">"临床医学"</f>
        <v>临床医学</v>
      </c>
    </row>
    <row r="54" ht="25" customHeight="1" spans="1:11">
      <c r="A54" s="4" t="s">
        <v>28</v>
      </c>
      <c r="B54" s="5">
        <v>52</v>
      </c>
      <c r="C54" s="6" t="s">
        <v>29</v>
      </c>
      <c r="D54" s="6" t="str">
        <f>"吴妍"</f>
        <v>吴妍</v>
      </c>
      <c r="E54" s="6" t="str">
        <f t="shared" ref="E54:E59" si="38">"女"</f>
        <v>女</v>
      </c>
      <c r="F54" s="6" t="str">
        <f t="shared" si="30"/>
        <v>汉族</v>
      </c>
      <c r="G54" s="6" t="s">
        <v>78</v>
      </c>
      <c r="H54" s="6" t="str">
        <f t="shared" si="34"/>
        <v>专科</v>
      </c>
      <c r="I54" s="6" t="str">
        <f t="shared" si="32"/>
        <v>2020-07-01</v>
      </c>
      <c r="J54" s="6" t="str">
        <f>"济源职业技术学院"</f>
        <v>济源职业技术学院</v>
      </c>
      <c r="K54" s="6" t="str">
        <f t="shared" ref="K54:K58" si="39">"医学检验技术"</f>
        <v>医学检验技术</v>
      </c>
    </row>
    <row r="55" ht="25" customHeight="1" spans="1:11">
      <c r="A55" s="4" t="s">
        <v>19</v>
      </c>
      <c r="B55" s="5">
        <v>53</v>
      </c>
      <c r="C55" s="6" t="s">
        <v>39</v>
      </c>
      <c r="D55" s="6" t="str">
        <f>"邓威"</f>
        <v>邓威</v>
      </c>
      <c r="E55" s="6" t="str">
        <f t="shared" ref="E55:E57" si="40">"男"</f>
        <v>男</v>
      </c>
      <c r="F55" s="6" t="str">
        <f t="shared" si="30"/>
        <v>汉族</v>
      </c>
      <c r="G55" s="6" t="s">
        <v>79</v>
      </c>
      <c r="H55" s="6" t="str">
        <f t="shared" si="34"/>
        <v>专科</v>
      </c>
      <c r="I55" s="6" t="str">
        <f>"2018-07-01"</f>
        <v>2018-07-01</v>
      </c>
      <c r="J55" s="6" t="str">
        <f t="shared" si="35"/>
        <v>南阳医学高等专科学校</v>
      </c>
      <c r="K55" s="6" t="str">
        <f t="shared" si="37"/>
        <v>临床医学</v>
      </c>
    </row>
    <row r="56" ht="25" customHeight="1" spans="1:11">
      <c r="A56" s="4" t="s">
        <v>28</v>
      </c>
      <c r="B56" s="5">
        <v>54</v>
      </c>
      <c r="C56" s="6" t="s">
        <v>29</v>
      </c>
      <c r="D56" s="6" t="str">
        <f>"王远卓"</f>
        <v>王远卓</v>
      </c>
      <c r="E56" s="6" t="str">
        <f t="shared" si="40"/>
        <v>男</v>
      </c>
      <c r="F56" s="6" t="str">
        <f t="shared" si="30"/>
        <v>汉族</v>
      </c>
      <c r="G56" s="6" t="s">
        <v>80</v>
      </c>
      <c r="H56" s="6" t="str">
        <f t="shared" si="34"/>
        <v>专科</v>
      </c>
      <c r="I56" s="6" t="str">
        <f t="shared" si="36"/>
        <v>2023-07-01</v>
      </c>
      <c r="J56" s="6" t="str">
        <f>"商丘工学院"</f>
        <v>商丘工学院</v>
      </c>
      <c r="K56" s="6" t="str">
        <f t="shared" si="39"/>
        <v>医学检验技术</v>
      </c>
    </row>
    <row r="57" ht="25" customHeight="1" spans="1:11">
      <c r="A57" s="4" t="s">
        <v>19</v>
      </c>
      <c r="B57" s="5">
        <v>55</v>
      </c>
      <c r="C57" s="6" t="s">
        <v>15</v>
      </c>
      <c r="D57" s="6" t="str">
        <f>"王振宇"</f>
        <v>王振宇</v>
      </c>
      <c r="E57" s="6" t="str">
        <f t="shared" si="40"/>
        <v>男</v>
      </c>
      <c r="F57" s="6" t="str">
        <f>"回族"</f>
        <v>回族</v>
      </c>
      <c r="G57" s="6" t="s">
        <v>81</v>
      </c>
      <c r="H57" s="6" t="str">
        <f t="shared" si="34"/>
        <v>专科</v>
      </c>
      <c r="I57" s="6" t="str">
        <f t="shared" si="36"/>
        <v>2023-07-01</v>
      </c>
      <c r="J57" s="6" t="str">
        <f>"郑州澍青医学高等专科学校"</f>
        <v>郑州澍青医学高等专科学校</v>
      </c>
      <c r="K57" s="6" t="str">
        <f t="shared" si="37"/>
        <v>临床医学</v>
      </c>
    </row>
    <row r="58" ht="25" customHeight="1" spans="1:11">
      <c r="A58" s="4" t="s">
        <v>28</v>
      </c>
      <c r="B58" s="5">
        <v>56</v>
      </c>
      <c r="C58" s="6" t="s">
        <v>31</v>
      </c>
      <c r="D58" s="6" t="str">
        <f>"王慧敏"</f>
        <v>王慧敏</v>
      </c>
      <c r="E58" s="6" t="str">
        <f t="shared" si="38"/>
        <v>女</v>
      </c>
      <c r="F58" s="6" t="str">
        <f t="shared" ref="F58:F95" si="41">"汉族"</f>
        <v>汉族</v>
      </c>
      <c r="G58" s="6" t="s">
        <v>82</v>
      </c>
      <c r="H58" s="6" t="str">
        <f>"本科"</f>
        <v>本科</v>
      </c>
      <c r="I58" s="6" t="str">
        <f>"2022-07-01"</f>
        <v>2022-07-01</v>
      </c>
      <c r="J58" s="6" t="str">
        <f>"新乡医学院三全学院"</f>
        <v>新乡医学院三全学院</v>
      </c>
      <c r="K58" s="6" t="str">
        <f t="shared" si="39"/>
        <v>医学检验技术</v>
      </c>
    </row>
    <row r="59" ht="25" customHeight="1" spans="1:11">
      <c r="A59" s="4" t="s">
        <v>22</v>
      </c>
      <c r="B59" s="5">
        <v>57</v>
      </c>
      <c r="C59" s="6" t="s">
        <v>62</v>
      </c>
      <c r="D59" s="6" t="str">
        <f>"王幸"</f>
        <v>王幸</v>
      </c>
      <c r="E59" s="6" t="str">
        <f t="shared" si="38"/>
        <v>女</v>
      </c>
      <c r="F59" s="6" t="str">
        <f t="shared" si="41"/>
        <v>汉族</v>
      </c>
      <c r="G59" s="6" t="s">
        <v>83</v>
      </c>
      <c r="H59" s="6" t="str">
        <f t="shared" ref="H59:H63" si="42">"专科"</f>
        <v>专科</v>
      </c>
      <c r="I59" s="6" t="str">
        <f t="shared" ref="I59:I64" si="43">"2023-07-01"</f>
        <v>2023-07-01</v>
      </c>
      <c r="J59" s="6" t="str">
        <f>"洛阳职业技术学院"</f>
        <v>洛阳职业技术学院</v>
      </c>
      <c r="K59" s="6" t="str">
        <f t="shared" ref="K59:K66" si="44">"医学影像技术"</f>
        <v>医学影像技术</v>
      </c>
    </row>
    <row r="60" ht="25" customHeight="1" spans="1:11">
      <c r="A60" s="4" t="s">
        <v>19</v>
      </c>
      <c r="B60" s="5">
        <v>58</v>
      </c>
      <c r="C60" s="6" t="s">
        <v>39</v>
      </c>
      <c r="D60" s="6" t="str">
        <f>"李沛"</f>
        <v>李沛</v>
      </c>
      <c r="E60" s="6" t="str">
        <f>"男"</f>
        <v>男</v>
      </c>
      <c r="F60" s="6" t="str">
        <f t="shared" si="41"/>
        <v>汉族</v>
      </c>
      <c r="G60" s="6" t="s">
        <v>84</v>
      </c>
      <c r="H60" s="6" t="str">
        <f t="shared" si="42"/>
        <v>专科</v>
      </c>
      <c r="I60" s="6" t="str">
        <f>"2018-07-01"</f>
        <v>2018-07-01</v>
      </c>
      <c r="J60" s="6" t="str">
        <f>"平顶山学院"</f>
        <v>平顶山学院</v>
      </c>
      <c r="K60" s="6" t="str">
        <f>"临床医学"</f>
        <v>临床医学</v>
      </c>
    </row>
    <row r="61" ht="25" customHeight="1" spans="1:11">
      <c r="A61" s="4" t="s">
        <v>22</v>
      </c>
      <c r="B61" s="5">
        <v>59</v>
      </c>
      <c r="C61" s="6" t="s">
        <v>23</v>
      </c>
      <c r="D61" s="6" t="str">
        <f>"牛雅娴"</f>
        <v>牛雅娴</v>
      </c>
      <c r="E61" s="6" t="str">
        <f t="shared" ref="E61:E65" si="45">"女"</f>
        <v>女</v>
      </c>
      <c r="F61" s="6" t="str">
        <f t="shared" si="41"/>
        <v>汉族</v>
      </c>
      <c r="G61" s="6" t="s">
        <v>85</v>
      </c>
      <c r="H61" s="6" t="str">
        <f t="shared" si="42"/>
        <v>专科</v>
      </c>
      <c r="I61" s="6" t="str">
        <f>"2021-07-01"</f>
        <v>2021-07-01</v>
      </c>
      <c r="J61" s="6" t="str">
        <f>"南阳医学高等专科学校"</f>
        <v>南阳医学高等专科学校</v>
      </c>
      <c r="K61" s="6" t="str">
        <f t="shared" si="44"/>
        <v>医学影像技术</v>
      </c>
    </row>
    <row r="62" ht="25" customHeight="1" spans="1:11">
      <c r="A62" s="4" t="s">
        <v>28</v>
      </c>
      <c r="B62" s="5">
        <v>60</v>
      </c>
      <c r="C62" s="6" t="s">
        <v>29</v>
      </c>
      <c r="D62" s="6" t="str">
        <f>"薛洁"</f>
        <v>薛洁</v>
      </c>
      <c r="E62" s="6" t="str">
        <f t="shared" si="45"/>
        <v>女</v>
      </c>
      <c r="F62" s="6" t="str">
        <f t="shared" si="41"/>
        <v>汉族</v>
      </c>
      <c r="G62" s="6" t="s">
        <v>86</v>
      </c>
      <c r="H62" s="6" t="str">
        <f t="shared" si="42"/>
        <v>专科</v>
      </c>
      <c r="I62" s="6" t="str">
        <f t="shared" si="43"/>
        <v>2023-07-01</v>
      </c>
      <c r="J62" s="6" t="str">
        <f>"郑州澍青医学高等专科学校"</f>
        <v>郑州澍青医学高等专科学校</v>
      </c>
      <c r="K62" s="6" t="str">
        <f>"医学检验技术"</f>
        <v>医学检验技术</v>
      </c>
    </row>
    <row r="63" ht="25" customHeight="1" spans="1:11">
      <c r="A63" s="4" t="s">
        <v>50</v>
      </c>
      <c r="B63" s="5">
        <v>61</v>
      </c>
      <c r="C63" s="6" t="s">
        <v>39</v>
      </c>
      <c r="D63" s="6" t="str">
        <f>"屠沉沉"</f>
        <v>屠沉沉</v>
      </c>
      <c r="E63" s="6" t="str">
        <f t="shared" si="45"/>
        <v>女</v>
      </c>
      <c r="F63" s="6" t="str">
        <f t="shared" si="41"/>
        <v>汉族</v>
      </c>
      <c r="G63" s="6" t="s">
        <v>87</v>
      </c>
      <c r="H63" s="6" t="str">
        <f t="shared" si="42"/>
        <v>专科</v>
      </c>
      <c r="I63" s="6" t="str">
        <f>"2017-07-30"</f>
        <v>2017-07-30</v>
      </c>
      <c r="J63" s="6" t="str">
        <f>"商丘医学高等专科学校"</f>
        <v>商丘医学高等专科学校</v>
      </c>
      <c r="K63" s="6" t="str">
        <f>"口腔医学"</f>
        <v>口腔医学</v>
      </c>
    </row>
    <row r="64" ht="25" customHeight="1" spans="1:11">
      <c r="A64" s="4" t="s">
        <v>22</v>
      </c>
      <c r="B64" s="5">
        <v>62</v>
      </c>
      <c r="C64" s="6" t="s">
        <v>31</v>
      </c>
      <c r="D64" s="6" t="str">
        <f>"丁云飞"</f>
        <v>丁云飞</v>
      </c>
      <c r="E64" s="6" t="str">
        <f t="shared" si="45"/>
        <v>女</v>
      </c>
      <c r="F64" s="6" t="str">
        <f t="shared" si="41"/>
        <v>汉族</v>
      </c>
      <c r="G64" s="6" t="s">
        <v>88</v>
      </c>
      <c r="H64" s="6" t="str">
        <f>"本科"</f>
        <v>本科</v>
      </c>
      <c r="I64" s="6" t="str">
        <f t="shared" si="43"/>
        <v>2023-07-01</v>
      </c>
      <c r="J64" s="6" t="str">
        <f>"新乡医学院三全学院"</f>
        <v>新乡医学院三全学院</v>
      </c>
      <c r="K64" s="6" t="str">
        <f t="shared" si="44"/>
        <v>医学影像技术</v>
      </c>
    </row>
    <row r="65" ht="25" customHeight="1" spans="1:11">
      <c r="A65" s="4" t="s">
        <v>22</v>
      </c>
      <c r="B65" s="5">
        <v>63</v>
      </c>
      <c r="C65" s="6" t="s">
        <v>62</v>
      </c>
      <c r="D65" s="6" t="str">
        <f>"程姣姣"</f>
        <v>程姣姣</v>
      </c>
      <c r="E65" s="6" t="str">
        <f t="shared" si="45"/>
        <v>女</v>
      </c>
      <c r="F65" s="6" t="str">
        <f t="shared" si="41"/>
        <v>汉族</v>
      </c>
      <c r="G65" s="6" t="s">
        <v>89</v>
      </c>
      <c r="H65" s="6" t="str">
        <f t="shared" ref="H65:H71" si="46">"专科"</f>
        <v>专科</v>
      </c>
      <c r="I65" s="6" t="str">
        <f>"2023-06-25"</f>
        <v>2023-06-25</v>
      </c>
      <c r="J65" s="6" t="str">
        <f t="shared" ref="J65:J69" si="47">"南阳医学高等专科学校"</f>
        <v>南阳医学高等专科学校</v>
      </c>
      <c r="K65" s="6" t="str">
        <f t="shared" si="44"/>
        <v>医学影像技术</v>
      </c>
    </row>
    <row r="66" ht="25" customHeight="1" spans="1:11">
      <c r="A66" s="4" t="s">
        <v>22</v>
      </c>
      <c r="B66" s="5">
        <v>64</v>
      </c>
      <c r="C66" s="6" t="s">
        <v>25</v>
      </c>
      <c r="D66" s="6" t="str">
        <f>"李涛"</f>
        <v>李涛</v>
      </c>
      <c r="E66" s="6" t="str">
        <f>"男"</f>
        <v>男</v>
      </c>
      <c r="F66" s="6" t="str">
        <f t="shared" si="41"/>
        <v>汉族</v>
      </c>
      <c r="G66" s="6" t="s">
        <v>90</v>
      </c>
      <c r="H66" s="6" t="str">
        <f t="shared" si="46"/>
        <v>专科</v>
      </c>
      <c r="I66" s="6" t="str">
        <f t="shared" ref="I66:I70" si="48">"2023-07-01"</f>
        <v>2023-07-01</v>
      </c>
      <c r="J66" s="6" t="str">
        <f>"鹤壁职业技术学院"</f>
        <v>鹤壁职业技术学院</v>
      </c>
      <c r="K66" s="6" t="str">
        <f t="shared" si="44"/>
        <v>医学影像技术</v>
      </c>
    </row>
    <row r="67" ht="25" customHeight="1" spans="1:11">
      <c r="A67" s="4" t="s">
        <v>28</v>
      </c>
      <c r="B67" s="5">
        <v>65</v>
      </c>
      <c r="C67" s="6" t="s">
        <v>29</v>
      </c>
      <c r="D67" s="6" t="str">
        <f>"魏璐瑶"</f>
        <v>魏璐瑶</v>
      </c>
      <c r="E67" s="6" t="str">
        <f t="shared" ref="E67:E74" si="49">"女"</f>
        <v>女</v>
      </c>
      <c r="F67" s="6" t="str">
        <f t="shared" si="41"/>
        <v>汉族</v>
      </c>
      <c r="G67" s="6" t="s">
        <v>91</v>
      </c>
      <c r="H67" s="6" t="str">
        <f t="shared" si="46"/>
        <v>专科</v>
      </c>
      <c r="I67" s="6" t="str">
        <f>"2022-06-06"</f>
        <v>2022-06-06</v>
      </c>
      <c r="J67" s="6" t="str">
        <f t="shared" si="47"/>
        <v>南阳医学高等专科学校</v>
      </c>
      <c r="K67" s="6" t="str">
        <f>"医学检验技术"</f>
        <v>医学检验技术</v>
      </c>
    </row>
    <row r="68" ht="25" customHeight="1" spans="1:11">
      <c r="A68" s="4" t="s">
        <v>22</v>
      </c>
      <c r="B68" s="5">
        <v>66</v>
      </c>
      <c r="C68" s="6" t="s">
        <v>25</v>
      </c>
      <c r="D68" s="6" t="str">
        <f>"郜雅婕"</f>
        <v>郜雅婕</v>
      </c>
      <c r="E68" s="6" t="str">
        <f t="shared" si="49"/>
        <v>女</v>
      </c>
      <c r="F68" s="6" t="str">
        <f t="shared" si="41"/>
        <v>汉族</v>
      </c>
      <c r="G68" s="6" t="s">
        <v>92</v>
      </c>
      <c r="H68" s="6" t="str">
        <f t="shared" si="46"/>
        <v>专科</v>
      </c>
      <c r="I68" s="6" t="str">
        <f t="shared" si="48"/>
        <v>2023-07-01</v>
      </c>
      <c r="J68" s="6" t="str">
        <f>"黄淮学院"</f>
        <v>黄淮学院</v>
      </c>
      <c r="K68" s="6" t="str">
        <f>"医学影像技术"</f>
        <v>医学影像技术</v>
      </c>
    </row>
    <row r="69" ht="25" customHeight="1" spans="1:11">
      <c r="A69" s="4" t="s">
        <v>14</v>
      </c>
      <c r="B69" s="5">
        <v>67</v>
      </c>
      <c r="C69" s="6" t="s">
        <v>15</v>
      </c>
      <c r="D69" s="6" t="str">
        <f>"张丹"</f>
        <v>张丹</v>
      </c>
      <c r="E69" s="6" t="str">
        <f t="shared" si="49"/>
        <v>女</v>
      </c>
      <c r="F69" s="6" t="str">
        <f t="shared" si="41"/>
        <v>汉族</v>
      </c>
      <c r="G69" s="6" t="s">
        <v>93</v>
      </c>
      <c r="H69" s="6" t="str">
        <f t="shared" si="46"/>
        <v>专科</v>
      </c>
      <c r="I69" s="6" t="str">
        <f t="shared" si="48"/>
        <v>2023-07-01</v>
      </c>
      <c r="J69" s="6" t="str">
        <f t="shared" si="47"/>
        <v>南阳医学高等专科学校</v>
      </c>
      <c r="K69" s="6" t="str">
        <f>"中医学"</f>
        <v>中医学</v>
      </c>
    </row>
    <row r="70" ht="25" customHeight="1" spans="1:11">
      <c r="A70" s="4" t="s">
        <v>50</v>
      </c>
      <c r="B70" s="5">
        <v>68</v>
      </c>
      <c r="C70" s="6" t="s">
        <v>46</v>
      </c>
      <c r="D70" s="6" t="str">
        <f>"李文征"</f>
        <v>李文征</v>
      </c>
      <c r="E70" s="6" t="str">
        <f t="shared" si="49"/>
        <v>女</v>
      </c>
      <c r="F70" s="6" t="str">
        <f t="shared" si="41"/>
        <v>汉族</v>
      </c>
      <c r="G70" s="6" t="s">
        <v>94</v>
      </c>
      <c r="H70" s="6" t="str">
        <f t="shared" si="46"/>
        <v>专科</v>
      </c>
      <c r="I70" s="6" t="str">
        <f t="shared" si="48"/>
        <v>2023-07-01</v>
      </c>
      <c r="J70" s="6" t="str">
        <f>"南阳医学高等专科学院"</f>
        <v>南阳医学高等专科学院</v>
      </c>
      <c r="K70" s="6" t="str">
        <f>"口腔医学"</f>
        <v>口腔医学</v>
      </c>
    </row>
    <row r="71" ht="25" customHeight="1" spans="1:11">
      <c r="A71" s="4" t="s">
        <v>19</v>
      </c>
      <c r="B71" s="5">
        <v>69</v>
      </c>
      <c r="C71" s="6" t="s">
        <v>15</v>
      </c>
      <c r="D71" s="6" t="str">
        <f>"杜雨婷"</f>
        <v>杜雨婷</v>
      </c>
      <c r="E71" s="6" t="str">
        <f t="shared" si="49"/>
        <v>女</v>
      </c>
      <c r="F71" s="6" t="str">
        <f t="shared" si="41"/>
        <v>汉族</v>
      </c>
      <c r="G71" s="6" t="s">
        <v>32</v>
      </c>
      <c r="H71" s="6" t="str">
        <f t="shared" si="46"/>
        <v>专科</v>
      </c>
      <c r="I71" s="6" t="str">
        <f>"2021-07-22"</f>
        <v>2021-07-22</v>
      </c>
      <c r="J71" s="6" t="str">
        <f t="shared" ref="J71:J76" si="50">"南阳医学高等专科学校"</f>
        <v>南阳医学高等专科学校</v>
      </c>
      <c r="K71" s="6" t="str">
        <f t="shared" ref="K71:K74" si="51">"临床医学"</f>
        <v>临床医学</v>
      </c>
    </row>
    <row r="72" ht="25" customHeight="1" spans="1:11">
      <c r="A72" s="4" t="s">
        <v>28</v>
      </c>
      <c r="B72" s="5">
        <v>70</v>
      </c>
      <c r="C72" s="6" t="s">
        <v>31</v>
      </c>
      <c r="D72" s="6" t="str">
        <f>"张亚静"</f>
        <v>张亚静</v>
      </c>
      <c r="E72" s="6" t="str">
        <f t="shared" si="49"/>
        <v>女</v>
      </c>
      <c r="F72" s="6" t="str">
        <f t="shared" si="41"/>
        <v>汉族</v>
      </c>
      <c r="G72" s="6" t="s">
        <v>95</v>
      </c>
      <c r="H72" s="6" t="str">
        <f>"本科"</f>
        <v>本科</v>
      </c>
      <c r="I72" s="6" t="str">
        <f>"2021-07-01"</f>
        <v>2021-07-01</v>
      </c>
      <c r="J72" s="6" t="str">
        <f>"湖北民族大学科技学院"</f>
        <v>湖北民族大学科技学院</v>
      </c>
      <c r="K72" s="6" t="str">
        <f>"医学检验技术"</f>
        <v>医学检验技术</v>
      </c>
    </row>
    <row r="73" ht="25" customHeight="1" spans="1:11">
      <c r="A73" s="4" t="s">
        <v>19</v>
      </c>
      <c r="B73" s="5">
        <v>71</v>
      </c>
      <c r="C73" s="6" t="s">
        <v>15</v>
      </c>
      <c r="D73" s="6" t="str">
        <f>"高雅琪"</f>
        <v>高雅琪</v>
      </c>
      <c r="E73" s="6" t="str">
        <f t="shared" si="49"/>
        <v>女</v>
      </c>
      <c r="F73" s="6" t="str">
        <f t="shared" si="41"/>
        <v>汉族</v>
      </c>
      <c r="G73" s="6" t="s">
        <v>96</v>
      </c>
      <c r="H73" s="6" t="str">
        <f t="shared" ref="H73:H76" si="52">"专科"</f>
        <v>专科</v>
      </c>
      <c r="I73" s="6" t="str">
        <f>"2022-07-01"</f>
        <v>2022-07-01</v>
      </c>
      <c r="J73" s="6" t="str">
        <f t="shared" si="50"/>
        <v>南阳医学高等专科学校</v>
      </c>
      <c r="K73" s="6" t="str">
        <f t="shared" si="51"/>
        <v>临床医学</v>
      </c>
    </row>
    <row r="74" ht="25" customHeight="1" spans="1:11">
      <c r="A74" s="4" t="s">
        <v>19</v>
      </c>
      <c r="B74" s="5">
        <v>72</v>
      </c>
      <c r="C74" s="6" t="s">
        <v>39</v>
      </c>
      <c r="D74" s="6" t="str">
        <f>"高衣豪"</f>
        <v>高衣豪</v>
      </c>
      <c r="E74" s="6" t="str">
        <f t="shared" si="49"/>
        <v>女</v>
      </c>
      <c r="F74" s="6" t="str">
        <f t="shared" si="41"/>
        <v>汉族</v>
      </c>
      <c r="G74" s="6" t="s">
        <v>97</v>
      </c>
      <c r="H74" s="6" t="str">
        <f t="shared" si="52"/>
        <v>专科</v>
      </c>
      <c r="I74" s="6" t="str">
        <f>"2021-06-30"</f>
        <v>2021-06-30</v>
      </c>
      <c r="J74" s="6" t="str">
        <f>"漳州卫生职业学院"</f>
        <v>漳州卫生职业学院</v>
      </c>
      <c r="K74" s="6" t="str">
        <f t="shared" si="51"/>
        <v>临床医学</v>
      </c>
    </row>
    <row r="75" ht="25" customHeight="1" spans="1:11">
      <c r="A75" s="4" t="s">
        <v>11</v>
      </c>
      <c r="B75" s="5">
        <v>73</v>
      </c>
      <c r="C75" s="6" t="s">
        <v>62</v>
      </c>
      <c r="D75" s="6" t="str">
        <f>"李林泉"</f>
        <v>李林泉</v>
      </c>
      <c r="E75" s="6" t="str">
        <f t="shared" ref="E75:E80" si="53">"男"</f>
        <v>男</v>
      </c>
      <c r="F75" s="6" t="str">
        <f t="shared" si="41"/>
        <v>汉族</v>
      </c>
      <c r="G75" s="6" t="s">
        <v>98</v>
      </c>
      <c r="H75" s="6" t="str">
        <f t="shared" si="52"/>
        <v>专科</v>
      </c>
      <c r="I75" s="6" t="str">
        <f>"2021-07-01"</f>
        <v>2021-07-01</v>
      </c>
      <c r="J75" s="6" t="str">
        <f>"郑州澍青医学高等专科学校"</f>
        <v>郑州澍青医学高等专科学校</v>
      </c>
      <c r="K75" s="6" t="str">
        <f>"康复治疗技术"</f>
        <v>康复治疗技术</v>
      </c>
    </row>
    <row r="76" ht="25" customHeight="1" spans="1:11">
      <c r="A76" s="4" t="s">
        <v>19</v>
      </c>
      <c r="B76" s="5">
        <v>74</v>
      </c>
      <c r="C76" s="6" t="s">
        <v>15</v>
      </c>
      <c r="D76" s="6" t="str">
        <f>"张兆海"</f>
        <v>张兆海</v>
      </c>
      <c r="E76" s="6" t="str">
        <f t="shared" si="53"/>
        <v>男</v>
      </c>
      <c r="F76" s="6" t="str">
        <f t="shared" si="41"/>
        <v>汉族</v>
      </c>
      <c r="G76" s="6" t="s">
        <v>99</v>
      </c>
      <c r="H76" s="6" t="str">
        <f t="shared" si="52"/>
        <v>专科</v>
      </c>
      <c r="I76" s="6" t="str">
        <f>"2021-07-30"</f>
        <v>2021-07-30</v>
      </c>
      <c r="J76" s="6" t="str">
        <f t="shared" si="50"/>
        <v>南阳医学高等专科学校</v>
      </c>
      <c r="K76" s="6" t="str">
        <f>"临床医学"</f>
        <v>临床医学</v>
      </c>
    </row>
    <row r="77" ht="25" customHeight="1" spans="1:11">
      <c r="A77" s="4" t="s">
        <v>22</v>
      </c>
      <c r="B77" s="5">
        <v>75</v>
      </c>
      <c r="C77" s="6" t="s">
        <v>31</v>
      </c>
      <c r="D77" s="6" t="str">
        <f>"张玉桥"</f>
        <v>张玉桥</v>
      </c>
      <c r="E77" s="6" t="str">
        <f t="shared" ref="E77:E79" si="54">"女"</f>
        <v>女</v>
      </c>
      <c r="F77" s="6" t="str">
        <f t="shared" si="41"/>
        <v>汉族</v>
      </c>
      <c r="G77" s="6" t="s">
        <v>100</v>
      </c>
      <c r="H77" s="6" t="str">
        <f>"本科"</f>
        <v>本科</v>
      </c>
      <c r="I77" s="6" t="str">
        <f>"2023-06-30"</f>
        <v>2023-06-30</v>
      </c>
      <c r="J77" s="6" t="str">
        <f>"广西中医药大学赛恩斯新医药学院"</f>
        <v>广西中医药大学赛恩斯新医药学院</v>
      </c>
      <c r="K77" s="6" t="str">
        <f>"医学影像技术"</f>
        <v>医学影像技术</v>
      </c>
    </row>
    <row r="78" ht="25" customHeight="1" spans="1:11">
      <c r="A78" s="4" t="s">
        <v>50</v>
      </c>
      <c r="B78" s="5">
        <v>76</v>
      </c>
      <c r="C78" s="6" t="s">
        <v>39</v>
      </c>
      <c r="D78" s="6" t="str">
        <f>"牛雯铎"</f>
        <v>牛雯铎</v>
      </c>
      <c r="E78" s="6" t="str">
        <f t="shared" si="54"/>
        <v>女</v>
      </c>
      <c r="F78" s="6" t="str">
        <f t="shared" si="41"/>
        <v>汉族</v>
      </c>
      <c r="G78" s="6" t="s">
        <v>101</v>
      </c>
      <c r="H78" s="6" t="str">
        <f t="shared" ref="H78:H80" si="55">"专科"</f>
        <v>专科</v>
      </c>
      <c r="I78" s="6" t="str">
        <f>"2023.06"</f>
        <v>2023.06</v>
      </c>
      <c r="J78" s="6" t="str">
        <f t="shared" ref="J78:J83" si="56">"南阳医学高等专科学校"</f>
        <v>南阳医学高等专科学校</v>
      </c>
      <c r="K78" s="6" t="str">
        <f>"口腔医学"</f>
        <v>口腔医学</v>
      </c>
    </row>
    <row r="79" ht="25" customHeight="1" spans="1:11">
      <c r="A79" s="4" t="s">
        <v>14</v>
      </c>
      <c r="B79" s="5">
        <v>77</v>
      </c>
      <c r="C79" s="6" t="s">
        <v>17</v>
      </c>
      <c r="D79" s="6" t="str">
        <f>"段晓雨"</f>
        <v>段晓雨</v>
      </c>
      <c r="E79" s="6" t="str">
        <f t="shared" si="54"/>
        <v>女</v>
      </c>
      <c r="F79" s="6" t="str">
        <f t="shared" si="41"/>
        <v>汉族</v>
      </c>
      <c r="G79" s="6" t="s">
        <v>102</v>
      </c>
      <c r="H79" s="6" t="str">
        <f t="shared" si="55"/>
        <v>专科</v>
      </c>
      <c r="I79" s="6" t="str">
        <f>"2021-07-01"</f>
        <v>2021-07-01</v>
      </c>
      <c r="J79" s="6" t="str">
        <f t="shared" si="56"/>
        <v>南阳医学高等专科学校</v>
      </c>
      <c r="K79" s="6" t="str">
        <f>"中医学"</f>
        <v>中医学</v>
      </c>
    </row>
    <row r="80" ht="25" customHeight="1" spans="1:11">
      <c r="A80" s="4" t="s">
        <v>28</v>
      </c>
      <c r="B80" s="5">
        <v>78</v>
      </c>
      <c r="C80" s="6" t="s">
        <v>29</v>
      </c>
      <c r="D80" s="6" t="str">
        <f>"张豪"</f>
        <v>张豪</v>
      </c>
      <c r="E80" s="6" t="str">
        <f t="shared" si="53"/>
        <v>男</v>
      </c>
      <c r="F80" s="6" t="str">
        <f t="shared" si="41"/>
        <v>汉族</v>
      </c>
      <c r="G80" s="6" t="s">
        <v>103</v>
      </c>
      <c r="H80" s="6" t="str">
        <f t="shared" si="55"/>
        <v>专科</v>
      </c>
      <c r="I80" s="6" t="str">
        <f>"2023-07-01"</f>
        <v>2023-07-01</v>
      </c>
      <c r="J80" s="6" t="str">
        <f>"信阳职业技术学院"</f>
        <v>信阳职业技术学院</v>
      </c>
      <c r="K80" s="6" t="str">
        <f>"医学检验技术"</f>
        <v>医学检验技术</v>
      </c>
    </row>
    <row r="81" ht="25" customHeight="1" spans="1:11">
      <c r="A81" s="4" t="s">
        <v>28</v>
      </c>
      <c r="B81" s="5">
        <v>79</v>
      </c>
      <c r="C81" s="6" t="s">
        <v>31</v>
      </c>
      <c r="D81" s="6" t="str">
        <f>"赵冲"</f>
        <v>赵冲</v>
      </c>
      <c r="E81" s="6" t="str">
        <f t="shared" ref="E81:E86" si="57">"女"</f>
        <v>女</v>
      </c>
      <c r="F81" s="6" t="str">
        <f t="shared" si="41"/>
        <v>汉族</v>
      </c>
      <c r="G81" s="6" t="s">
        <v>104</v>
      </c>
      <c r="H81" s="6" t="str">
        <f>"本科"</f>
        <v>本科</v>
      </c>
      <c r="I81" s="6" t="str">
        <f>"2023-07-01"</f>
        <v>2023-07-01</v>
      </c>
      <c r="J81" s="6" t="str">
        <f>"新乡医学院三全学院"</f>
        <v>新乡医学院三全学院</v>
      </c>
      <c r="K81" s="6" t="str">
        <f>"医学检验技术"</f>
        <v>医学检验技术</v>
      </c>
    </row>
    <row r="82" ht="25" customHeight="1" spans="1:11">
      <c r="A82" s="4" t="s">
        <v>50</v>
      </c>
      <c r="B82" s="5">
        <v>80</v>
      </c>
      <c r="C82" s="6" t="s">
        <v>46</v>
      </c>
      <c r="D82" s="6" t="str">
        <f>"黄健峰"</f>
        <v>黄健峰</v>
      </c>
      <c r="E82" s="6" t="str">
        <f t="shared" ref="E82:E84" si="58">"男"</f>
        <v>男</v>
      </c>
      <c r="F82" s="6" t="str">
        <f t="shared" si="41"/>
        <v>汉族</v>
      </c>
      <c r="G82" s="6" t="s">
        <v>105</v>
      </c>
      <c r="H82" s="6" t="str">
        <f t="shared" ref="H82:H89" si="59">"专科"</f>
        <v>专科</v>
      </c>
      <c r="I82" s="6" t="str">
        <f>"2022-06-30"</f>
        <v>2022-06-30</v>
      </c>
      <c r="J82" s="6" t="str">
        <f>"漳州卫生职业学院"</f>
        <v>漳州卫生职业学院</v>
      </c>
      <c r="K82" s="6" t="str">
        <f>"口腔医学"</f>
        <v>口腔医学</v>
      </c>
    </row>
    <row r="83" ht="25" customHeight="1" spans="1:11">
      <c r="A83" s="4" t="s">
        <v>22</v>
      </c>
      <c r="B83" s="5">
        <v>81</v>
      </c>
      <c r="C83" s="6" t="s">
        <v>46</v>
      </c>
      <c r="D83" s="6" t="str">
        <f>"刘金柱"</f>
        <v>刘金柱</v>
      </c>
      <c r="E83" s="6" t="str">
        <f t="shared" si="58"/>
        <v>男</v>
      </c>
      <c r="F83" s="6" t="str">
        <f t="shared" si="41"/>
        <v>汉族</v>
      </c>
      <c r="G83" s="6" t="s">
        <v>106</v>
      </c>
      <c r="H83" s="6" t="str">
        <f t="shared" si="59"/>
        <v>专科</v>
      </c>
      <c r="I83" s="6" t="str">
        <f>"2017-07-01"</f>
        <v>2017-07-01</v>
      </c>
      <c r="J83" s="6" t="str">
        <f t="shared" si="56"/>
        <v>南阳医学高等专科学校</v>
      </c>
      <c r="K83" s="6" t="str">
        <f t="shared" ref="K83:K86" si="60">"医学影像技术"</f>
        <v>医学影像技术</v>
      </c>
    </row>
    <row r="84" ht="25" customHeight="1" spans="1:11">
      <c r="A84" s="4" t="s">
        <v>22</v>
      </c>
      <c r="B84" s="5">
        <v>82</v>
      </c>
      <c r="C84" s="6" t="s">
        <v>31</v>
      </c>
      <c r="D84" s="6" t="str">
        <f>"田帅"</f>
        <v>田帅</v>
      </c>
      <c r="E84" s="6" t="str">
        <f t="shared" si="58"/>
        <v>男</v>
      </c>
      <c r="F84" s="6" t="str">
        <f t="shared" si="41"/>
        <v>汉族</v>
      </c>
      <c r="G84" s="6" t="s">
        <v>107</v>
      </c>
      <c r="H84" s="6" t="str">
        <f>"本科"</f>
        <v>本科</v>
      </c>
      <c r="I84" s="6" t="str">
        <f>"2022-07-01"</f>
        <v>2022-07-01</v>
      </c>
      <c r="J84" s="6" t="str">
        <f>"新乡医学院三全学院"</f>
        <v>新乡医学院三全学院</v>
      </c>
      <c r="K84" s="6" t="str">
        <f t="shared" si="60"/>
        <v>医学影像技术</v>
      </c>
    </row>
    <row r="85" ht="25" customHeight="1" spans="1:11">
      <c r="A85" s="4" t="s">
        <v>19</v>
      </c>
      <c r="B85" s="5">
        <v>83</v>
      </c>
      <c r="C85" s="6" t="s">
        <v>39</v>
      </c>
      <c r="D85" s="6" t="str">
        <f>"苟虹玲"</f>
        <v>苟虹玲</v>
      </c>
      <c r="E85" s="6" t="str">
        <f t="shared" si="57"/>
        <v>女</v>
      </c>
      <c r="F85" s="6" t="str">
        <f t="shared" si="41"/>
        <v>汉族</v>
      </c>
      <c r="G85" s="6" t="s">
        <v>108</v>
      </c>
      <c r="H85" s="6" t="str">
        <f t="shared" si="59"/>
        <v>专科</v>
      </c>
      <c r="I85" s="6" t="str">
        <f>"2022-07-01"</f>
        <v>2022-07-01</v>
      </c>
      <c r="J85" s="6" t="str">
        <f>"南阳医学高等专科学校"</f>
        <v>南阳医学高等专科学校</v>
      </c>
      <c r="K85" s="6" t="str">
        <f>"临床医学"</f>
        <v>临床医学</v>
      </c>
    </row>
    <row r="86" ht="25" customHeight="1" spans="1:11">
      <c r="A86" s="4" t="s">
        <v>22</v>
      </c>
      <c r="B86" s="5">
        <v>84</v>
      </c>
      <c r="C86" s="6" t="s">
        <v>23</v>
      </c>
      <c r="D86" s="6" t="str">
        <f>"陈海媛"</f>
        <v>陈海媛</v>
      </c>
      <c r="E86" s="6" t="str">
        <f t="shared" si="57"/>
        <v>女</v>
      </c>
      <c r="F86" s="6" t="str">
        <f t="shared" si="41"/>
        <v>汉族</v>
      </c>
      <c r="G86" s="6" t="s">
        <v>109</v>
      </c>
      <c r="H86" s="6" t="str">
        <f t="shared" si="59"/>
        <v>专科</v>
      </c>
      <c r="I86" s="6" t="str">
        <f>"2020-07-01"</f>
        <v>2020-07-01</v>
      </c>
      <c r="J86" s="6" t="str">
        <f>"河南科技职业大学"</f>
        <v>河南科技职业大学</v>
      </c>
      <c r="K86" s="6" t="str">
        <f t="shared" si="60"/>
        <v>医学影像技术</v>
      </c>
    </row>
    <row r="87" ht="25" customHeight="1" spans="1:11">
      <c r="A87" s="4" t="s">
        <v>28</v>
      </c>
      <c r="B87" s="5">
        <v>85</v>
      </c>
      <c r="C87" s="6" t="s">
        <v>29</v>
      </c>
      <c r="D87" s="6" t="str">
        <f>"周宇轩"</f>
        <v>周宇轩</v>
      </c>
      <c r="E87" s="6" t="str">
        <f t="shared" ref="E87:E91" si="61">"男"</f>
        <v>男</v>
      </c>
      <c r="F87" s="6" t="str">
        <f t="shared" si="41"/>
        <v>汉族</v>
      </c>
      <c r="G87" s="6" t="s">
        <v>110</v>
      </c>
      <c r="H87" s="6" t="str">
        <f t="shared" si="59"/>
        <v>专科</v>
      </c>
      <c r="I87" s="6" t="str">
        <f>"2023-07-01"</f>
        <v>2023-07-01</v>
      </c>
      <c r="J87" s="6" t="str">
        <f>"商丘医学高等专科学校"</f>
        <v>商丘医学高等专科学校</v>
      </c>
      <c r="K87" s="6" t="str">
        <f>"医学检验技术"</f>
        <v>医学检验技术</v>
      </c>
    </row>
    <row r="88" ht="25" customHeight="1" spans="1:11">
      <c r="A88" s="4" t="s">
        <v>50</v>
      </c>
      <c r="B88" s="5">
        <v>86</v>
      </c>
      <c r="C88" s="6" t="s">
        <v>51</v>
      </c>
      <c r="D88" s="6" t="str">
        <f>"史坤瑶"</f>
        <v>史坤瑶</v>
      </c>
      <c r="E88" s="6" t="str">
        <f t="shared" ref="E88:E93" si="62">"女"</f>
        <v>女</v>
      </c>
      <c r="F88" s="6" t="str">
        <f t="shared" si="41"/>
        <v>汉族</v>
      </c>
      <c r="G88" s="6" t="s">
        <v>111</v>
      </c>
      <c r="H88" s="6" t="str">
        <f t="shared" si="59"/>
        <v>专科</v>
      </c>
      <c r="I88" s="6" t="str">
        <f>"201807"</f>
        <v>201807</v>
      </c>
      <c r="J88" s="6" t="str">
        <f>"开封大学"</f>
        <v>开封大学</v>
      </c>
      <c r="K88" s="6" t="str">
        <f>"口腔医学"</f>
        <v>口腔医学</v>
      </c>
    </row>
    <row r="89" ht="25" customHeight="1" spans="1:11">
      <c r="A89" s="4" t="s">
        <v>11</v>
      </c>
      <c r="B89" s="5">
        <v>87</v>
      </c>
      <c r="C89" s="6" t="s">
        <v>12</v>
      </c>
      <c r="D89" s="6" t="str">
        <f>"马跃"</f>
        <v>马跃</v>
      </c>
      <c r="E89" s="6" t="str">
        <f t="shared" si="61"/>
        <v>男</v>
      </c>
      <c r="F89" s="6" t="str">
        <f t="shared" si="41"/>
        <v>汉族</v>
      </c>
      <c r="G89" s="6" t="s">
        <v>112</v>
      </c>
      <c r="H89" s="6" t="str">
        <f t="shared" si="59"/>
        <v>专科</v>
      </c>
      <c r="I89" s="6" t="str">
        <f>"2023-06-20"</f>
        <v>2023-06-20</v>
      </c>
      <c r="J89" s="6" t="str">
        <f>"商丘工学院"</f>
        <v>商丘工学院</v>
      </c>
      <c r="K89" s="6" t="str">
        <f>"康复治疗技术"</f>
        <v>康复治疗技术</v>
      </c>
    </row>
    <row r="90" ht="25" customHeight="1" spans="1:11">
      <c r="A90" s="4" t="s">
        <v>19</v>
      </c>
      <c r="B90" s="5">
        <v>88</v>
      </c>
      <c r="C90" s="6" t="s">
        <v>31</v>
      </c>
      <c r="D90" s="6" t="str">
        <f>"李雪"</f>
        <v>李雪</v>
      </c>
      <c r="E90" s="6" t="str">
        <f t="shared" si="62"/>
        <v>女</v>
      </c>
      <c r="F90" s="6" t="str">
        <f t="shared" si="41"/>
        <v>汉族</v>
      </c>
      <c r="G90" s="6" t="s">
        <v>113</v>
      </c>
      <c r="H90" s="6" t="str">
        <f t="shared" ref="H90:H96" si="63">"本科"</f>
        <v>本科</v>
      </c>
      <c r="I90" s="6" t="str">
        <f>"2019-07-10"</f>
        <v>2019-07-10</v>
      </c>
      <c r="J90" s="6" t="str">
        <f>"新乡医学院三全学院"</f>
        <v>新乡医学院三全学院</v>
      </c>
      <c r="K90" s="6" t="str">
        <f>"临床医学"</f>
        <v>临床医学</v>
      </c>
    </row>
    <row r="91" ht="25" customHeight="1" spans="1:11">
      <c r="A91" s="4" t="s">
        <v>19</v>
      </c>
      <c r="B91" s="5">
        <v>89</v>
      </c>
      <c r="C91" s="6" t="s">
        <v>39</v>
      </c>
      <c r="D91" s="6" t="str">
        <f>"彭燕武"</f>
        <v>彭燕武</v>
      </c>
      <c r="E91" s="6" t="str">
        <f t="shared" si="61"/>
        <v>男</v>
      </c>
      <c r="F91" s="6" t="str">
        <f t="shared" si="41"/>
        <v>汉族</v>
      </c>
      <c r="G91" s="6" t="s">
        <v>114</v>
      </c>
      <c r="H91" s="6" t="str">
        <f t="shared" ref="H91:H94" si="64">"专科"</f>
        <v>专科</v>
      </c>
      <c r="I91" s="6" t="str">
        <f>"2023-07-01"</f>
        <v>2023-07-01</v>
      </c>
      <c r="J91" s="6" t="str">
        <f>"漯河医学高等专科学校"</f>
        <v>漯河医学高等专科学校</v>
      </c>
      <c r="K91" s="6" t="str">
        <f>"临床医学（卓越医生教育培养计划）"</f>
        <v>临床医学（卓越医生教育培养计划）</v>
      </c>
    </row>
    <row r="92" ht="25" customHeight="1" spans="1:11">
      <c r="A92" s="4" t="s">
        <v>28</v>
      </c>
      <c r="B92" s="5">
        <v>90</v>
      </c>
      <c r="C92" s="6" t="s">
        <v>31</v>
      </c>
      <c r="D92" s="6" t="str">
        <f>"焦艳"</f>
        <v>焦艳</v>
      </c>
      <c r="E92" s="6" t="str">
        <f t="shared" si="62"/>
        <v>女</v>
      </c>
      <c r="F92" s="6" t="str">
        <f t="shared" si="41"/>
        <v>汉族</v>
      </c>
      <c r="G92" s="6" t="s">
        <v>115</v>
      </c>
      <c r="H92" s="6" t="str">
        <f t="shared" si="63"/>
        <v>本科</v>
      </c>
      <c r="I92" s="6" t="str">
        <f>"2023-06-30"</f>
        <v>2023-06-30</v>
      </c>
      <c r="J92" s="6" t="str">
        <f>"湖北医药学院药护学院"</f>
        <v>湖北医药学院药护学院</v>
      </c>
      <c r="K92" s="6" t="str">
        <f>"医学检验技术"</f>
        <v>医学检验技术</v>
      </c>
    </row>
    <row r="93" ht="25" customHeight="1" spans="1:11">
      <c r="A93" s="4" t="s">
        <v>22</v>
      </c>
      <c r="B93" s="5">
        <v>91</v>
      </c>
      <c r="C93" s="6" t="s">
        <v>23</v>
      </c>
      <c r="D93" s="6" t="str">
        <f>"孙巧"</f>
        <v>孙巧</v>
      </c>
      <c r="E93" s="6" t="str">
        <f t="shared" si="62"/>
        <v>女</v>
      </c>
      <c r="F93" s="6" t="str">
        <f t="shared" si="41"/>
        <v>汉族</v>
      </c>
      <c r="G93" s="6" t="s">
        <v>116</v>
      </c>
      <c r="H93" s="6" t="str">
        <f t="shared" si="64"/>
        <v>专科</v>
      </c>
      <c r="I93" s="6" t="str">
        <f>"2020-07-30"</f>
        <v>2020-07-30</v>
      </c>
      <c r="J93" s="6" t="str">
        <f>"信阳职业技术学院"</f>
        <v>信阳职业技术学院</v>
      </c>
      <c r="K93" s="6" t="str">
        <f>"医学影像技术"</f>
        <v>医学影像技术</v>
      </c>
    </row>
    <row r="94" ht="25" customHeight="1" spans="1:11">
      <c r="A94" s="4" t="s">
        <v>19</v>
      </c>
      <c r="B94" s="5">
        <v>92</v>
      </c>
      <c r="C94" s="6" t="s">
        <v>71</v>
      </c>
      <c r="D94" s="6" t="str">
        <f>"杨烽生"</f>
        <v>杨烽生</v>
      </c>
      <c r="E94" s="6" t="str">
        <f t="shared" ref="E94:E97" si="65">"男"</f>
        <v>男</v>
      </c>
      <c r="F94" s="6" t="str">
        <f t="shared" si="41"/>
        <v>汉族</v>
      </c>
      <c r="G94" s="6" t="s">
        <v>117</v>
      </c>
      <c r="H94" s="6" t="str">
        <f t="shared" si="64"/>
        <v>专科</v>
      </c>
      <c r="I94" s="6" t="str">
        <f>"2018-07-01"</f>
        <v>2018-07-01</v>
      </c>
      <c r="J94" s="6" t="str">
        <f>"平顶山学院"</f>
        <v>平顶山学院</v>
      </c>
      <c r="K94" s="6" t="str">
        <f>"临床医学专业"</f>
        <v>临床医学专业</v>
      </c>
    </row>
    <row r="95" ht="25" customHeight="1" spans="1:11">
      <c r="A95" s="4" t="s">
        <v>19</v>
      </c>
      <c r="B95" s="5">
        <v>93</v>
      </c>
      <c r="C95" s="6" t="s">
        <v>31</v>
      </c>
      <c r="D95" s="6" t="str">
        <f>"王贵钦"</f>
        <v>王贵钦</v>
      </c>
      <c r="E95" s="6" t="str">
        <f t="shared" si="65"/>
        <v>男</v>
      </c>
      <c r="F95" s="6" t="str">
        <f t="shared" si="41"/>
        <v>汉族</v>
      </c>
      <c r="G95" s="6" t="s">
        <v>118</v>
      </c>
      <c r="H95" s="6" t="str">
        <f t="shared" si="63"/>
        <v>本科</v>
      </c>
      <c r="I95" s="6" t="str">
        <f>"2021-06-21"</f>
        <v>2021-06-21</v>
      </c>
      <c r="J95" s="6" t="str">
        <f>"新乡医学院"</f>
        <v>新乡医学院</v>
      </c>
      <c r="K95" s="6" t="str">
        <f>"临床医学"</f>
        <v>临床医学</v>
      </c>
    </row>
    <row r="96" ht="25" customHeight="1" spans="1:11">
      <c r="A96" s="4" t="s">
        <v>28</v>
      </c>
      <c r="B96" s="5">
        <v>94</v>
      </c>
      <c r="C96" s="6" t="s">
        <v>31</v>
      </c>
      <c r="D96" s="6" t="str">
        <f>"侯莹杰"</f>
        <v>侯莹杰</v>
      </c>
      <c r="E96" s="6" t="str">
        <f t="shared" ref="E96:E103" si="66">"女"</f>
        <v>女</v>
      </c>
      <c r="F96" s="6" t="str">
        <f>"回族"</f>
        <v>回族</v>
      </c>
      <c r="G96" s="6" t="s">
        <v>119</v>
      </c>
      <c r="H96" s="6" t="str">
        <f t="shared" si="63"/>
        <v>本科</v>
      </c>
      <c r="I96" s="6" t="str">
        <f>"2022-07-01"</f>
        <v>2022-07-01</v>
      </c>
      <c r="J96" s="6" t="str">
        <f>"新乡医学院三全学院"</f>
        <v>新乡医学院三全学院</v>
      </c>
      <c r="K96" s="6" t="str">
        <f>"医学检验技术"</f>
        <v>医学检验技术</v>
      </c>
    </row>
    <row r="97" ht="25" customHeight="1" spans="1:11">
      <c r="A97" s="4" t="s">
        <v>19</v>
      </c>
      <c r="B97" s="5">
        <v>95</v>
      </c>
      <c r="C97" s="6" t="s">
        <v>20</v>
      </c>
      <c r="D97" s="6" t="str">
        <f>"赵盟森"</f>
        <v>赵盟森</v>
      </c>
      <c r="E97" s="6" t="str">
        <f t="shared" si="65"/>
        <v>男</v>
      </c>
      <c r="F97" s="6" t="str">
        <f t="shared" ref="F97:F113" si="67">"汉族"</f>
        <v>汉族</v>
      </c>
      <c r="G97" s="6" t="s">
        <v>120</v>
      </c>
      <c r="H97" s="6" t="str">
        <f t="shared" ref="H97:H102" si="68">"专科"</f>
        <v>专科</v>
      </c>
      <c r="I97" s="6" t="str">
        <f>"2023-06-15"</f>
        <v>2023-06-15</v>
      </c>
      <c r="J97" s="6" t="str">
        <f>"黄河科技学院"</f>
        <v>黄河科技学院</v>
      </c>
      <c r="K97" s="6" t="str">
        <f>"临床医学"</f>
        <v>临床医学</v>
      </c>
    </row>
    <row r="98" ht="25" customHeight="1" spans="1:11">
      <c r="A98" s="4" t="s">
        <v>28</v>
      </c>
      <c r="B98" s="5">
        <v>96</v>
      </c>
      <c r="C98" s="6" t="s">
        <v>29</v>
      </c>
      <c r="D98" s="6" t="str">
        <f>"方菲"</f>
        <v>方菲</v>
      </c>
      <c r="E98" s="6" t="str">
        <f t="shared" si="66"/>
        <v>女</v>
      </c>
      <c r="F98" s="6" t="str">
        <f t="shared" si="67"/>
        <v>汉族</v>
      </c>
      <c r="G98" s="6" t="s">
        <v>121</v>
      </c>
      <c r="H98" s="6" t="str">
        <f t="shared" si="68"/>
        <v>专科</v>
      </c>
      <c r="I98" s="6" t="str">
        <f>"2023-07-01"</f>
        <v>2023-07-01</v>
      </c>
      <c r="J98" s="6" t="str">
        <f>"河南科技职业大学"</f>
        <v>河南科技职业大学</v>
      </c>
      <c r="K98" s="6" t="str">
        <f t="shared" ref="K98:K104" si="69">"医学检验技术"</f>
        <v>医学检验技术</v>
      </c>
    </row>
    <row r="99" ht="25" customHeight="1" spans="1:11">
      <c r="A99" s="4" t="s">
        <v>22</v>
      </c>
      <c r="B99" s="5">
        <v>97</v>
      </c>
      <c r="C99" s="6" t="s">
        <v>25</v>
      </c>
      <c r="D99" s="6" t="str">
        <f>"郑冰月"</f>
        <v>郑冰月</v>
      </c>
      <c r="E99" s="6" t="str">
        <f t="shared" si="66"/>
        <v>女</v>
      </c>
      <c r="F99" s="6" t="str">
        <f t="shared" si="67"/>
        <v>汉族</v>
      </c>
      <c r="G99" s="6" t="s">
        <v>122</v>
      </c>
      <c r="H99" s="6" t="str">
        <f t="shared" si="68"/>
        <v>专科</v>
      </c>
      <c r="I99" s="6" t="str">
        <f>"2021-07-01"</f>
        <v>2021-07-01</v>
      </c>
      <c r="J99" s="6" t="str">
        <f>"南阳医学高等专科学校"</f>
        <v>南阳医学高等专科学校</v>
      </c>
      <c r="K99" s="6" t="str">
        <f t="shared" ref="K99:K101" si="70">"医学影像技术"</f>
        <v>医学影像技术</v>
      </c>
    </row>
    <row r="100" ht="25" customHeight="1" spans="1:11">
      <c r="A100" s="4" t="s">
        <v>22</v>
      </c>
      <c r="B100" s="5">
        <v>98</v>
      </c>
      <c r="C100" s="6" t="s">
        <v>46</v>
      </c>
      <c r="D100" s="6" t="str">
        <f>"李静雯"</f>
        <v>李静雯</v>
      </c>
      <c r="E100" s="6" t="str">
        <f t="shared" si="66"/>
        <v>女</v>
      </c>
      <c r="F100" s="6" t="str">
        <f t="shared" si="67"/>
        <v>汉族</v>
      </c>
      <c r="G100" s="6" t="s">
        <v>123</v>
      </c>
      <c r="H100" s="6" t="str">
        <f t="shared" si="68"/>
        <v>专科</v>
      </c>
      <c r="I100" s="6" t="str">
        <f>"2022-06-30"</f>
        <v>2022-06-30</v>
      </c>
      <c r="J100" s="6" t="str">
        <f>"洛阳职业技术学院"</f>
        <v>洛阳职业技术学院</v>
      </c>
      <c r="K100" s="6" t="str">
        <f t="shared" si="70"/>
        <v>医学影像技术</v>
      </c>
    </row>
    <row r="101" ht="25" customHeight="1" spans="1:11">
      <c r="A101" s="4" t="s">
        <v>22</v>
      </c>
      <c r="B101" s="5">
        <v>99</v>
      </c>
      <c r="C101" s="6" t="s">
        <v>25</v>
      </c>
      <c r="D101" s="6" t="str">
        <f>"吴静怡"</f>
        <v>吴静怡</v>
      </c>
      <c r="E101" s="6" t="str">
        <f t="shared" si="66"/>
        <v>女</v>
      </c>
      <c r="F101" s="6" t="str">
        <f t="shared" si="67"/>
        <v>汉族</v>
      </c>
      <c r="G101" s="6" t="s">
        <v>124</v>
      </c>
      <c r="H101" s="6" t="str">
        <f t="shared" si="68"/>
        <v>专科</v>
      </c>
      <c r="I101" s="6" t="str">
        <f>"2020-07-01"</f>
        <v>2020-07-01</v>
      </c>
      <c r="J101" s="6" t="str">
        <f>"商丘医学高等专科学校"</f>
        <v>商丘医学高等专科学校</v>
      </c>
      <c r="K101" s="6" t="str">
        <f t="shared" si="70"/>
        <v>医学影像技术</v>
      </c>
    </row>
    <row r="102" ht="25" customHeight="1" spans="1:11">
      <c r="A102" s="4" t="s">
        <v>28</v>
      </c>
      <c r="B102" s="5">
        <v>100</v>
      </c>
      <c r="C102" s="6" t="s">
        <v>29</v>
      </c>
      <c r="D102" s="6" t="str">
        <f>"王艺霖"</f>
        <v>王艺霖</v>
      </c>
      <c r="E102" s="6" t="str">
        <f t="shared" si="66"/>
        <v>女</v>
      </c>
      <c r="F102" s="6" t="str">
        <f t="shared" si="67"/>
        <v>汉族</v>
      </c>
      <c r="G102" s="6" t="s">
        <v>125</v>
      </c>
      <c r="H102" s="6" t="str">
        <f t="shared" si="68"/>
        <v>专科</v>
      </c>
      <c r="I102" s="6" t="str">
        <f>"2023-06-01"</f>
        <v>2023-06-01</v>
      </c>
      <c r="J102" s="6" t="str">
        <f>"南阳医学高等专科学校"</f>
        <v>南阳医学高等专科学校</v>
      </c>
      <c r="K102" s="6" t="str">
        <f t="shared" si="69"/>
        <v>医学检验技术</v>
      </c>
    </row>
    <row r="103" ht="25" customHeight="1" spans="1:11">
      <c r="A103" s="4" t="s">
        <v>28</v>
      </c>
      <c r="B103" s="5">
        <v>101</v>
      </c>
      <c r="C103" s="6" t="s">
        <v>31</v>
      </c>
      <c r="D103" s="6" t="str">
        <f>"夏松奇"</f>
        <v>夏松奇</v>
      </c>
      <c r="E103" s="6" t="str">
        <f t="shared" si="66"/>
        <v>女</v>
      </c>
      <c r="F103" s="6" t="str">
        <f t="shared" si="67"/>
        <v>汉族</v>
      </c>
      <c r="G103" s="6" t="s">
        <v>91</v>
      </c>
      <c r="H103" s="6" t="str">
        <f>"本科"</f>
        <v>本科</v>
      </c>
      <c r="I103" s="6" t="str">
        <f>"2024-07-01"</f>
        <v>2024-07-01</v>
      </c>
      <c r="J103" s="6" t="str">
        <f>"黄河科技学院"</f>
        <v>黄河科技学院</v>
      </c>
      <c r="K103" s="6" t="str">
        <f t="shared" si="69"/>
        <v>医学检验技术</v>
      </c>
    </row>
    <row r="104" ht="25" customHeight="1" spans="1:11">
      <c r="A104" s="4" t="s">
        <v>28</v>
      </c>
      <c r="B104" s="5">
        <v>102</v>
      </c>
      <c r="C104" s="6" t="s">
        <v>29</v>
      </c>
      <c r="D104" s="6" t="str">
        <f>"王弘飞"</f>
        <v>王弘飞</v>
      </c>
      <c r="E104" s="6" t="str">
        <f t="shared" ref="E104:E106" si="71">"男"</f>
        <v>男</v>
      </c>
      <c r="F104" s="6" t="str">
        <f t="shared" si="67"/>
        <v>汉族</v>
      </c>
      <c r="G104" s="6" t="s">
        <v>126</v>
      </c>
      <c r="H104" s="6" t="str">
        <f t="shared" ref="H104:H109" si="72">"专科"</f>
        <v>专科</v>
      </c>
      <c r="I104" s="6" t="str">
        <f>"2022-07-01"</f>
        <v>2022-07-01</v>
      </c>
      <c r="J104" s="6" t="str">
        <f>"信阳职业技术学院"</f>
        <v>信阳职业技术学院</v>
      </c>
      <c r="K104" s="6" t="str">
        <f t="shared" si="69"/>
        <v>医学检验技术</v>
      </c>
    </row>
    <row r="105" ht="25" customHeight="1" spans="1:11">
      <c r="A105" s="4" t="s">
        <v>19</v>
      </c>
      <c r="B105" s="5">
        <v>103</v>
      </c>
      <c r="C105" s="6" t="s">
        <v>39</v>
      </c>
      <c r="D105" s="6" t="str">
        <f>"张展"</f>
        <v>张展</v>
      </c>
      <c r="E105" s="6" t="str">
        <f t="shared" si="71"/>
        <v>男</v>
      </c>
      <c r="F105" s="6" t="str">
        <f t="shared" si="67"/>
        <v>汉族</v>
      </c>
      <c r="G105" s="6" t="s">
        <v>127</v>
      </c>
      <c r="H105" s="6" t="str">
        <f t="shared" si="72"/>
        <v>专科</v>
      </c>
      <c r="I105" s="6" t="str">
        <f>"2021-07-01"</f>
        <v>2021-07-01</v>
      </c>
      <c r="J105" s="6" t="str">
        <f>"平顶山学院"</f>
        <v>平顶山学院</v>
      </c>
      <c r="K105" s="6" t="str">
        <f>"临床医学"</f>
        <v>临床医学</v>
      </c>
    </row>
    <row r="106" ht="25" customHeight="1" spans="1:11">
      <c r="A106" s="4" t="s">
        <v>22</v>
      </c>
      <c r="B106" s="5">
        <v>104</v>
      </c>
      <c r="C106" s="6" t="s">
        <v>23</v>
      </c>
      <c r="D106" s="6" t="str">
        <f>"齐书正"</f>
        <v>齐书正</v>
      </c>
      <c r="E106" s="6" t="str">
        <f t="shared" si="71"/>
        <v>男</v>
      </c>
      <c r="F106" s="6" t="str">
        <f t="shared" si="67"/>
        <v>汉族</v>
      </c>
      <c r="G106" s="6" t="s">
        <v>128</v>
      </c>
      <c r="H106" s="6" t="str">
        <f t="shared" si="72"/>
        <v>专科</v>
      </c>
      <c r="I106" s="6" t="str">
        <f t="shared" ref="I106:I110" si="73">"2023-07-01"</f>
        <v>2023-07-01</v>
      </c>
      <c r="J106" s="6" t="str">
        <f>"河南科技职业大学"</f>
        <v>河南科技职业大学</v>
      </c>
      <c r="K106" s="6" t="str">
        <f t="shared" ref="K106:K110" si="74">"医学影像技术"</f>
        <v>医学影像技术</v>
      </c>
    </row>
    <row r="107" ht="25" customHeight="1" spans="1:11">
      <c r="A107" s="4" t="s">
        <v>22</v>
      </c>
      <c r="B107" s="5">
        <v>105</v>
      </c>
      <c r="C107" s="6" t="s">
        <v>46</v>
      </c>
      <c r="D107" s="6" t="str">
        <f>"杨丹妮"</f>
        <v>杨丹妮</v>
      </c>
      <c r="E107" s="6" t="str">
        <f t="shared" ref="E107:E113" si="75">"女"</f>
        <v>女</v>
      </c>
      <c r="F107" s="6" t="str">
        <f t="shared" si="67"/>
        <v>汉族</v>
      </c>
      <c r="G107" s="6" t="s">
        <v>129</v>
      </c>
      <c r="H107" s="6" t="str">
        <f t="shared" si="72"/>
        <v>专科</v>
      </c>
      <c r="I107" s="6" t="str">
        <f>"2023-07-07"</f>
        <v>2023-07-07</v>
      </c>
      <c r="J107" s="6" t="str">
        <f>"河南护理职业学院"</f>
        <v>河南护理职业学院</v>
      </c>
      <c r="K107" s="6" t="str">
        <f t="shared" si="74"/>
        <v>医学影像技术</v>
      </c>
    </row>
    <row r="108" ht="25" customHeight="1" spans="1:11">
      <c r="A108" s="4" t="s">
        <v>22</v>
      </c>
      <c r="B108" s="5">
        <v>106</v>
      </c>
      <c r="C108" s="6" t="s">
        <v>46</v>
      </c>
      <c r="D108" s="6" t="str">
        <f>"勾腾飞"</f>
        <v>勾腾飞</v>
      </c>
      <c r="E108" s="6" t="str">
        <f>"男"</f>
        <v>男</v>
      </c>
      <c r="F108" s="6" t="str">
        <f t="shared" si="67"/>
        <v>汉族</v>
      </c>
      <c r="G108" s="6" t="s">
        <v>130</v>
      </c>
      <c r="H108" s="6" t="str">
        <f t="shared" si="72"/>
        <v>专科</v>
      </c>
      <c r="I108" s="6" t="str">
        <f t="shared" si="73"/>
        <v>2023-07-01</v>
      </c>
      <c r="J108" s="6" t="str">
        <f>"南阳医学高等专科学校"</f>
        <v>南阳医学高等专科学校</v>
      </c>
      <c r="K108" s="6" t="str">
        <f t="shared" si="74"/>
        <v>医学影像技术</v>
      </c>
    </row>
    <row r="109" ht="25" customHeight="1" spans="1:11">
      <c r="A109" s="4" t="s">
        <v>22</v>
      </c>
      <c r="B109" s="5">
        <v>107</v>
      </c>
      <c r="C109" s="6" t="s">
        <v>46</v>
      </c>
      <c r="D109" s="6" t="str">
        <f>"甘昌灵"</f>
        <v>甘昌灵</v>
      </c>
      <c r="E109" s="6" t="str">
        <f t="shared" si="75"/>
        <v>女</v>
      </c>
      <c r="F109" s="6" t="str">
        <f t="shared" si="67"/>
        <v>汉族</v>
      </c>
      <c r="G109" s="6" t="s">
        <v>131</v>
      </c>
      <c r="H109" s="6" t="str">
        <f t="shared" si="72"/>
        <v>专科</v>
      </c>
      <c r="I109" s="6" t="str">
        <f>"2016-06-30"</f>
        <v>2016-06-30</v>
      </c>
      <c r="J109" s="6" t="str">
        <f>"广西科技大学"</f>
        <v>广西科技大学</v>
      </c>
      <c r="K109" s="6" t="str">
        <f t="shared" si="74"/>
        <v>医学影像技术</v>
      </c>
    </row>
    <row r="110" ht="25" customHeight="1" spans="1:11">
      <c r="A110" s="4" t="s">
        <v>22</v>
      </c>
      <c r="B110" s="5">
        <v>108</v>
      </c>
      <c r="C110" s="6" t="s">
        <v>31</v>
      </c>
      <c r="D110" s="6" t="str">
        <f>"王钰媛"</f>
        <v>王钰媛</v>
      </c>
      <c r="E110" s="6" t="str">
        <f t="shared" si="75"/>
        <v>女</v>
      </c>
      <c r="F110" s="6" t="str">
        <f t="shared" si="67"/>
        <v>汉族</v>
      </c>
      <c r="G110" s="6" t="s">
        <v>132</v>
      </c>
      <c r="H110" s="6" t="str">
        <f t="shared" ref="H110:H115" si="76">"本科"</f>
        <v>本科</v>
      </c>
      <c r="I110" s="6" t="str">
        <f t="shared" si="73"/>
        <v>2023-07-01</v>
      </c>
      <c r="J110" s="6" t="str">
        <f>"河南中医药大学"</f>
        <v>河南中医药大学</v>
      </c>
      <c r="K110" s="6" t="str">
        <f t="shared" si="74"/>
        <v>医学影像技术</v>
      </c>
    </row>
    <row r="111" ht="25" customHeight="1" spans="1:11">
      <c r="A111" s="4" t="s">
        <v>50</v>
      </c>
      <c r="B111" s="5">
        <v>109</v>
      </c>
      <c r="C111" s="6" t="s">
        <v>39</v>
      </c>
      <c r="D111" s="6" t="str">
        <f>"张涵"</f>
        <v>张涵</v>
      </c>
      <c r="E111" s="6" t="str">
        <f t="shared" si="75"/>
        <v>女</v>
      </c>
      <c r="F111" s="6" t="str">
        <f t="shared" si="67"/>
        <v>汉族</v>
      </c>
      <c r="G111" s="6" t="s">
        <v>133</v>
      </c>
      <c r="H111" s="6" t="str">
        <f t="shared" ref="H111:H114" si="77">"专科"</f>
        <v>专科</v>
      </c>
      <c r="I111" s="6" t="str">
        <f>"2022-07-01"</f>
        <v>2022-07-01</v>
      </c>
      <c r="J111" s="6" t="str">
        <f>"郑州澍青医学高等专科学校"</f>
        <v>郑州澍青医学高等专科学校</v>
      </c>
      <c r="K111" s="6" t="str">
        <f>"口腔医学技术"</f>
        <v>口腔医学技术</v>
      </c>
    </row>
    <row r="112" ht="25" customHeight="1" spans="1:11">
      <c r="A112" s="4" t="s">
        <v>11</v>
      </c>
      <c r="B112" s="5">
        <v>110</v>
      </c>
      <c r="C112" s="6" t="s">
        <v>62</v>
      </c>
      <c r="D112" s="6" t="str">
        <f>"张莹"</f>
        <v>张莹</v>
      </c>
      <c r="E112" s="6" t="str">
        <f t="shared" si="75"/>
        <v>女</v>
      </c>
      <c r="F112" s="6" t="str">
        <f t="shared" si="67"/>
        <v>汉族</v>
      </c>
      <c r="G112" s="6" t="s">
        <v>134</v>
      </c>
      <c r="H112" s="6" t="str">
        <f t="shared" si="77"/>
        <v>专科</v>
      </c>
      <c r="I112" s="6" t="str">
        <f>"2020-06-01"</f>
        <v>2020-06-01</v>
      </c>
      <c r="J112" s="6" t="str">
        <f>"漯河医学高等专科学校"</f>
        <v>漯河医学高等专科学校</v>
      </c>
      <c r="K112" s="6" t="str">
        <f>"康复治疗技术"</f>
        <v>康复治疗技术</v>
      </c>
    </row>
    <row r="113" ht="25" customHeight="1" spans="1:11">
      <c r="A113" s="4" t="s">
        <v>22</v>
      </c>
      <c r="B113" s="5">
        <v>111</v>
      </c>
      <c r="C113" s="6" t="s">
        <v>31</v>
      </c>
      <c r="D113" s="6" t="str">
        <f>"赵楠"</f>
        <v>赵楠</v>
      </c>
      <c r="E113" s="6" t="str">
        <f t="shared" si="75"/>
        <v>女</v>
      </c>
      <c r="F113" s="6" t="str">
        <f t="shared" si="67"/>
        <v>汉族</v>
      </c>
      <c r="G113" s="6" t="s">
        <v>135</v>
      </c>
      <c r="H113" s="6" t="str">
        <f t="shared" si="76"/>
        <v>本科</v>
      </c>
      <c r="I113" s="6" t="str">
        <f>"2023-07-01"</f>
        <v>2023-07-01</v>
      </c>
      <c r="J113" s="6" t="str">
        <f>"河南中医药大学"</f>
        <v>河南中医药大学</v>
      </c>
      <c r="K113" s="6" t="str">
        <f t="shared" ref="K113:K118" si="78">"医学影像技术"</f>
        <v>医学影像技术</v>
      </c>
    </row>
    <row r="114" ht="25" customHeight="1" spans="1:11">
      <c r="A114" s="4" t="s">
        <v>28</v>
      </c>
      <c r="B114" s="5">
        <v>112</v>
      </c>
      <c r="C114" s="6" t="s">
        <v>29</v>
      </c>
      <c r="D114" s="6" t="str">
        <f>"金智远"</f>
        <v>金智远</v>
      </c>
      <c r="E114" s="6" t="str">
        <f t="shared" ref="E114:E117" si="79">"男"</f>
        <v>男</v>
      </c>
      <c r="F114" s="6" t="str">
        <f>"回族"</f>
        <v>回族</v>
      </c>
      <c r="G114" s="6" t="s">
        <v>136</v>
      </c>
      <c r="H114" s="6" t="str">
        <f t="shared" si="77"/>
        <v>专科</v>
      </c>
      <c r="I114" s="6" t="str">
        <f>"2022-07-01"</f>
        <v>2022-07-01</v>
      </c>
      <c r="J114" s="6" t="str">
        <f>"河南科技职业大学"</f>
        <v>河南科技职业大学</v>
      </c>
      <c r="K114" s="6" t="str">
        <f>"医学检验技术"</f>
        <v>医学检验技术</v>
      </c>
    </row>
    <row r="115" ht="25" customHeight="1" spans="1:11">
      <c r="A115" s="4" t="s">
        <v>19</v>
      </c>
      <c r="B115" s="5">
        <v>113</v>
      </c>
      <c r="C115" s="6" t="s">
        <v>31</v>
      </c>
      <c r="D115" s="6" t="str">
        <f>"王坤"</f>
        <v>王坤</v>
      </c>
      <c r="E115" s="6" t="str">
        <f t="shared" si="79"/>
        <v>男</v>
      </c>
      <c r="F115" s="6" t="str">
        <f t="shared" ref="F115:F179" si="80">"汉族"</f>
        <v>汉族</v>
      </c>
      <c r="G115" s="6" t="s">
        <v>137</v>
      </c>
      <c r="H115" s="6" t="str">
        <f t="shared" si="76"/>
        <v>本科</v>
      </c>
      <c r="I115" s="6" t="str">
        <f>"2023-06-09"</f>
        <v>2023-06-09</v>
      </c>
      <c r="J115" s="6" t="str">
        <f>"新疆第二医学院"</f>
        <v>新疆第二医学院</v>
      </c>
      <c r="K115" s="6" t="str">
        <f>"临床医学"</f>
        <v>临床医学</v>
      </c>
    </row>
    <row r="116" ht="25" customHeight="1" spans="1:11">
      <c r="A116" s="4" t="s">
        <v>22</v>
      </c>
      <c r="B116" s="5">
        <v>114</v>
      </c>
      <c r="C116" s="6" t="s">
        <v>46</v>
      </c>
      <c r="D116" s="6" t="str">
        <f>"曹文慧"</f>
        <v>曹文慧</v>
      </c>
      <c r="E116" s="6" t="str">
        <f t="shared" ref="E116:E119" si="81">"女"</f>
        <v>女</v>
      </c>
      <c r="F116" s="6" t="str">
        <f>"回族"</f>
        <v>回族</v>
      </c>
      <c r="G116" s="6" t="s">
        <v>69</v>
      </c>
      <c r="H116" s="6" t="str">
        <f t="shared" ref="H116:H121" si="82">"专科"</f>
        <v>专科</v>
      </c>
      <c r="I116" s="6" t="str">
        <f>"2017-07-01"</f>
        <v>2017-07-01</v>
      </c>
      <c r="J116" s="6" t="str">
        <f>"河南护理职业学院"</f>
        <v>河南护理职业学院</v>
      </c>
      <c r="K116" s="6" t="str">
        <f>"医学影像专业技术"</f>
        <v>医学影像专业技术</v>
      </c>
    </row>
    <row r="117" ht="25" customHeight="1" spans="1:11">
      <c r="A117" s="4" t="s">
        <v>22</v>
      </c>
      <c r="B117" s="5">
        <v>115</v>
      </c>
      <c r="C117" s="6" t="s">
        <v>31</v>
      </c>
      <c r="D117" s="6" t="str">
        <f>"黄贵庚"</f>
        <v>黄贵庚</v>
      </c>
      <c r="E117" s="6" t="str">
        <f t="shared" si="79"/>
        <v>男</v>
      </c>
      <c r="F117" s="6" t="str">
        <f t="shared" si="80"/>
        <v>汉族</v>
      </c>
      <c r="G117" s="6" t="s">
        <v>138</v>
      </c>
      <c r="H117" s="6" t="str">
        <f>"本科"</f>
        <v>本科</v>
      </c>
      <c r="I117" s="6" t="str">
        <f>"2020-07-01"</f>
        <v>2020-07-01</v>
      </c>
      <c r="J117" s="6" t="str">
        <f>"黄河科技学院"</f>
        <v>黄河科技学院</v>
      </c>
      <c r="K117" s="6" t="str">
        <f t="shared" si="78"/>
        <v>医学影像技术</v>
      </c>
    </row>
    <row r="118" ht="25" customHeight="1" spans="1:11">
      <c r="A118" s="4" t="s">
        <v>22</v>
      </c>
      <c r="B118" s="5">
        <v>116</v>
      </c>
      <c r="C118" s="6" t="s">
        <v>23</v>
      </c>
      <c r="D118" s="6" t="str">
        <f>"林萍"</f>
        <v>林萍</v>
      </c>
      <c r="E118" s="6" t="str">
        <f t="shared" si="81"/>
        <v>女</v>
      </c>
      <c r="F118" s="6" t="str">
        <f t="shared" si="80"/>
        <v>汉族</v>
      </c>
      <c r="G118" s="6" t="s">
        <v>139</v>
      </c>
      <c r="H118" s="6" t="str">
        <f t="shared" si="82"/>
        <v>专科</v>
      </c>
      <c r="I118" s="6" t="str">
        <f t="shared" ref="I118:I124" si="83">"2023-07-01"</f>
        <v>2023-07-01</v>
      </c>
      <c r="J118" s="6" t="str">
        <f>"安阳职业技术学院"</f>
        <v>安阳职业技术学院</v>
      </c>
      <c r="K118" s="6" t="str">
        <f t="shared" si="78"/>
        <v>医学影像技术</v>
      </c>
    </row>
    <row r="119" ht="25" customHeight="1" spans="1:11">
      <c r="A119" s="4" t="s">
        <v>50</v>
      </c>
      <c r="B119" s="5">
        <v>117</v>
      </c>
      <c r="C119" s="6" t="s">
        <v>39</v>
      </c>
      <c r="D119" s="6" t="str">
        <f>"闫倩"</f>
        <v>闫倩</v>
      </c>
      <c r="E119" s="6" t="str">
        <f t="shared" si="81"/>
        <v>女</v>
      </c>
      <c r="F119" s="6" t="str">
        <f t="shared" si="80"/>
        <v>汉族</v>
      </c>
      <c r="G119" s="6" t="s">
        <v>113</v>
      </c>
      <c r="H119" s="6" t="str">
        <f t="shared" si="82"/>
        <v>专科</v>
      </c>
      <c r="I119" s="6" t="str">
        <f t="shared" si="83"/>
        <v>2023-07-01</v>
      </c>
      <c r="J119" s="6" t="str">
        <f>"南阳医学高等专科学校"</f>
        <v>南阳医学高等专科学校</v>
      </c>
      <c r="K119" s="6" t="str">
        <f>"口腔医学"</f>
        <v>口腔医学</v>
      </c>
    </row>
    <row r="120" ht="25" customHeight="1" spans="1:11">
      <c r="A120" s="4" t="s">
        <v>28</v>
      </c>
      <c r="B120" s="5">
        <v>118</v>
      </c>
      <c r="C120" s="6" t="s">
        <v>29</v>
      </c>
      <c r="D120" s="6" t="str">
        <f>"白超"</f>
        <v>白超</v>
      </c>
      <c r="E120" s="6" t="str">
        <f>"男"</f>
        <v>男</v>
      </c>
      <c r="F120" s="6" t="str">
        <f t="shared" si="80"/>
        <v>汉族</v>
      </c>
      <c r="G120" s="6" t="s">
        <v>140</v>
      </c>
      <c r="H120" s="6" t="str">
        <f t="shared" si="82"/>
        <v>专科</v>
      </c>
      <c r="I120" s="6" t="str">
        <f>"2022-07-01"</f>
        <v>2022-07-01</v>
      </c>
      <c r="J120" s="6" t="str">
        <f>"河南科技职业大学"</f>
        <v>河南科技职业大学</v>
      </c>
      <c r="K120" s="6" t="str">
        <f>"医学检验技术"</f>
        <v>医学检验技术</v>
      </c>
    </row>
    <row r="121" ht="25" customHeight="1" spans="1:11">
      <c r="A121" s="4" t="s">
        <v>19</v>
      </c>
      <c r="B121" s="5">
        <v>119</v>
      </c>
      <c r="C121" s="6" t="s">
        <v>39</v>
      </c>
      <c r="D121" s="6" t="str">
        <f>"张恒健"</f>
        <v>张恒健</v>
      </c>
      <c r="E121" s="6" t="str">
        <f>"男"</f>
        <v>男</v>
      </c>
      <c r="F121" s="6" t="str">
        <f t="shared" si="80"/>
        <v>汉族</v>
      </c>
      <c r="G121" s="6" t="s">
        <v>141</v>
      </c>
      <c r="H121" s="6" t="str">
        <f t="shared" si="82"/>
        <v>专科</v>
      </c>
      <c r="I121" s="6" t="str">
        <f>"2017-07-01"</f>
        <v>2017-07-01</v>
      </c>
      <c r="J121" s="6" t="str">
        <f>"信阳职业技术学院"</f>
        <v>信阳职业技术学院</v>
      </c>
      <c r="K121" s="6" t="str">
        <f t="shared" ref="K121:K126" si="84">"临床医学"</f>
        <v>临床医学</v>
      </c>
    </row>
    <row r="122" ht="25" customHeight="1" spans="1:11">
      <c r="A122" s="4" t="s">
        <v>19</v>
      </c>
      <c r="B122" s="5">
        <v>120</v>
      </c>
      <c r="C122" s="6" t="s">
        <v>31</v>
      </c>
      <c r="D122" s="6" t="str">
        <f>"胡霖锋"</f>
        <v>胡霖锋</v>
      </c>
      <c r="E122" s="6" t="str">
        <f t="shared" ref="E122:E125" si="85">"女"</f>
        <v>女</v>
      </c>
      <c r="F122" s="6" t="str">
        <f t="shared" si="80"/>
        <v>汉族</v>
      </c>
      <c r="G122" s="6" t="s">
        <v>142</v>
      </c>
      <c r="H122" s="6" t="str">
        <f>"本科"</f>
        <v>本科</v>
      </c>
      <c r="I122" s="6" t="str">
        <f>"2020-07-01"</f>
        <v>2020-07-01</v>
      </c>
      <c r="J122" s="6" t="str">
        <f>"河南科技大学"</f>
        <v>河南科技大学</v>
      </c>
      <c r="K122" s="6" t="str">
        <f t="shared" si="84"/>
        <v>临床医学</v>
      </c>
    </row>
    <row r="123" ht="25" customHeight="1" spans="1:11">
      <c r="A123" s="4" t="s">
        <v>28</v>
      </c>
      <c r="B123" s="5">
        <v>121</v>
      </c>
      <c r="C123" s="6" t="s">
        <v>29</v>
      </c>
      <c r="D123" s="6" t="str">
        <f>"王秋月"</f>
        <v>王秋月</v>
      </c>
      <c r="E123" s="6" t="str">
        <f t="shared" si="85"/>
        <v>女</v>
      </c>
      <c r="F123" s="6" t="str">
        <f t="shared" si="80"/>
        <v>汉族</v>
      </c>
      <c r="G123" s="6" t="s">
        <v>143</v>
      </c>
      <c r="H123" s="6" t="str">
        <f t="shared" ref="H123:H126" si="86">"专科"</f>
        <v>专科</v>
      </c>
      <c r="I123" s="6" t="str">
        <f t="shared" si="83"/>
        <v>2023-07-01</v>
      </c>
      <c r="J123" s="6" t="str">
        <f>"许昌学院"</f>
        <v>许昌学院</v>
      </c>
      <c r="K123" s="6" t="str">
        <f>"医学检验技术"</f>
        <v>医学检验技术</v>
      </c>
    </row>
    <row r="124" ht="25" customHeight="1" spans="1:11">
      <c r="A124" s="4" t="s">
        <v>22</v>
      </c>
      <c r="B124" s="5">
        <v>122</v>
      </c>
      <c r="C124" s="6" t="s">
        <v>62</v>
      </c>
      <c r="D124" s="6" t="str">
        <f>"唐林婷"</f>
        <v>唐林婷</v>
      </c>
      <c r="E124" s="6" t="str">
        <f t="shared" si="85"/>
        <v>女</v>
      </c>
      <c r="F124" s="6" t="str">
        <f t="shared" si="80"/>
        <v>汉族</v>
      </c>
      <c r="G124" s="6" t="s">
        <v>144</v>
      </c>
      <c r="H124" s="6" t="str">
        <f t="shared" si="86"/>
        <v>专科</v>
      </c>
      <c r="I124" s="6" t="str">
        <f t="shared" si="83"/>
        <v>2023-07-01</v>
      </c>
      <c r="J124" s="6" t="str">
        <f>"漯河医学高等专科学校"</f>
        <v>漯河医学高等专科学校</v>
      </c>
      <c r="K124" s="6" t="str">
        <f>"医学影像技术"</f>
        <v>医学影像技术</v>
      </c>
    </row>
    <row r="125" ht="25" customHeight="1" spans="1:11">
      <c r="A125" s="4" t="s">
        <v>19</v>
      </c>
      <c r="B125" s="5">
        <v>123</v>
      </c>
      <c r="C125" s="6" t="s">
        <v>39</v>
      </c>
      <c r="D125" s="6" t="str">
        <f>"王婉"</f>
        <v>王婉</v>
      </c>
      <c r="E125" s="6" t="str">
        <f t="shared" si="85"/>
        <v>女</v>
      </c>
      <c r="F125" s="6" t="str">
        <f t="shared" si="80"/>
        <v>汉族</v>
      </c>
      <c r="G125" s="6" t="s">
        <v>145</v>
      </c>
      <c r="H125" s="6" t="str">
        <f t="shared" si="86"/>
        <v>专科</v>
      </c>
      <c r="I125" s="6" t="str">
        <f>"2022-07-01"</f>
        <v>2022-07-01</v>
      </c>
      <c r="J125" s="6" t="str">
        <f>"信阳职业技术学院"</f>
        <v>信阳职业技术学院</v>
      </c>
      <c r="K125" s="6" t="str">
        <f t="shared" si="84"/>
        <v>临床医学</v>
      </c>
    </row>
    <row r="126" ht="25" customHeight="1" spans="1:11">
      <c r="A126" s="4" t="s">
        <v>19</v>
      </c>
      <c r="B126" s="5">
        <v>124</v>
      </c>
      <c r="C126" s="6" t="s">
        <v>39</v>
      </c>
      <c r="D126" s="6" t="str">
        <f>"王杰"</f>
        <v>王杰</v>
      </c>
      <c r="E126" s="6" t="str">
        <f t="shared" ref="E126:E131" si="87">"男"</f>
        <v>男</v>
      </c>
      <c r="F126" s="6" t="str">
        <f t="shared" si="80"/>
        <v>汉族</v>
      </c>
      <c r="G126" s="6" t="s">
        <v>146</v>
      </c>
      <c r="H126" s="6" t="str">
        <f t="shared" si="86"/>
        <v>专科</v>
      </c>
      <c r="I126" s="6" t="str">
        <f>"2016-07-01"</f>
        <v>2016-07-01</v>
      </c>
      <c r="J126" s="6" t="str">
        <f>"河南省信阳职业技术学院"</f>
        <v>河南省信阳职业技术学院</v>
      </c>
      <c r="K126" s="6" t="str">
        <f t="shared" si="84"/>
        <v>临床医学</v>
      </c>
    </row>
    <row r="127" ht="25" customHeight="1" spans="1:11">
      <c r="A127" s="4" t="s">
        <v>28</v>
      </c>
      <c r="B127" s="5">
        <v>125</v>
      </c>
      <c r="C127" s="6" t="s">
        <v>31</v>
      </c>
      <c r="D127" s="6" t="str">
        <f>"陈卓"</f>
        <v>陈卓</v>
      </c>
      <c r="E127" s="6" t="str">
        <f t="shared" ref="E127:E130" si="88">"女"</f>
        <v>女</v>
      </c>
      <c r="F127" s="6" t="str">
        <f t="shared" si="80"/>
        <v>汉族</v>
      </c>
      <c r="G127" s="6" t="s">
        <v>147</v>
      </c>
      <c r="H127" s="6" t="str">
        <f>"本科"</f>
        <v>本科</v>
      </c>
      <c r="I127" s="6" t="str">
        <f>"2018-07-01"</f>
        <v>2018-07-01</v>
      </c>
      <c r="J127" s="6" t="str">
        <f>"新乡医学院三全学院"</f>
        <v>新乡医学院三全学院</v>
      </c>
      <c r="K127" s="6" t="str">
        <f>"医学检验技术"</f>
        <v>医学检验技术</v>
      </c>
    </row>
    <row r="128" ht="25" customHeight="1" spans="1:11">
      <c r="A128" s="4" t="s">
        <v>19</v>
      </c>
      <c r="B128" s="5">
        <v>126</v>
      </c>
      <c r="C128" s="6" t="s">
        <v>39</v>
      </c>
      <c r="D128" s="6" t="str">
        <f>"何平"</f>
        <v>何平</v>
      </c>
      <c r="E128" s="6" t="str">
        <f t="shared" si="88"/>
        <v>女</v>
      </c>
      <c r="F128" s="6" t="str">
        <f t="shared" si="80"/>
        <v>汉族</v>
      </c>
      <c r="G128" s="6" t="s">
        <v>148</v>
      </c>
      <c r="H128" s="6" t="str">
        <f t="shared" ref="H128:H138" si="89">"专科"</f>
        <v>专科</v>
      </c>
      <c r="I128" s="6" t="str">
        <f>"2018-07-01"</f>
        <v>2018-07-01</v>
      </c>
      <c r="J128" s="6" t="str">
        <f>"南阳医学高等专科学校"</f>
        <v>南阳医学高等专科学校</v>
      </c>
      <c r="K128" s="6" t="str">
        <f t="shared" ref="K128:K131" si="90">"临床医学"</f>
        <v>临床医学</v>
      </c>
    </row>
    <row r="129" ht="25" customHeight="1" spans="1:11">
      <c r="A129" s="4" t="s">
        <v>50</v>
      </c>
      <c r="B129" s="5">
        <v>127</v>
      </c>
      <c r="C129" s="6" t="s">
        <v>46</v>
      </c>
      <c r="D129" s="6" t="str">
        <f>"赵川"</f>
        <v>赵川</v>
      </c>
      <c r="E129" s="6" t="str">
        <f t="shared" si="87"/>
        <v>男</v>
      </c>
      <c r="F129" s="6" t="str">
        <f t="shared" si="80"/>
        <v>汉族</v>
      </c>
      <c r="G129" s="6" t="s">
        <v>149</v>
      </c>
      <c r="H129" s="6" t="str">
        <f t="shared" si="89"/>
        <v>专科</v>
      </c>
      <c r="I129" s="6" t="str">
        <f>"2021-07-01"</f>
        <v>2021-07-01</v>
      </c>
      <c r="J129" s="6" t="str">
        <f>"漯河医学高等专科学校"</f>
        <v>漯河医学高等专科学校</v>
      </c>
      <c r="K129" s="6" t="str">
        <f>"口腔医学"</f>
        <v>口腔医学</v>
      </c>
    </row>
    <row r="130" ht="25" customHeight="1" spans="1:11">
      <c r="A130" s="4" t="s">
        <v>19</v>
      </c>
      <c r="B130" s="5">
        <v>128</v>
      </c>
      <c r="C130" s="6" t="s">
        <v>39</v>
      </c>
      <c r="D130" s="6" t="str">
        <f>"赵丹丹"</f>
        <v>赵丹丹</v>
      </c>
      <c r="E130" s="6" t="str">
        <f t="shared" si="88"/>
        <v>女</v>
      </c>
      <c r="F130" s="6" t="str">
        <f t="shared" si="80"/>
        <v>汉族</v>
      </c>
      <c r="G130" s="6" t="s">
        <v>150</v>
      </c>
      <c r="H130" s="6" t="str">
        <f t="shared" si="89"/>
        <v>专科</v>
      </c>
      <c r="I130" s="6" t="str">
        <f t="shared" ref="I130:I134" si="91">"2023-07-01"</f>
        <v>2023-07-01</v>
      </c>
      <c r="J130" s="6" t="str">
        <f>"濮阳医学高等专科学校"</f>
        <v>濮阳医学高等专科学校</v>
      </c>
      <c r="K130" s="6" t="str">
        <f t="shared" si="90"/>
        <v>临床医学</v>
      </c>
    </row>
    <row r="131" ht="25" customHeight="1" spans="1:11">
      <c r="A131" s="4" t="s">
        <v>19</v>
      </c>
      <c r="B131" s="5">
        <v>129</v>
      </c>
      <c r="C131" s="6" t="s">
        <v>51</v>
      </c>
      <c r="D131" s="6" t="str">
        <f>"尹梦奇"</f>
        <v>尹梦奇</v>
      </c>
      <c r="E131" s="6" t="str">
        <f t="shared" si="87"/>
        <v>男</v>
      </c>
      <c r="F131" s="6" t="str">
        <f t="shared" si="80"/>
        <v>汉族</v>
      </c>
      <c r="G131" s="6" t="s">
        <v>151</v>
      </c>
      <c r="H131" s="6" t="str">
        <f t="shared" si="89"/>
        <v>专科</v>
      </c>
      <c r="I131" s="6" t="str">
        <f t="shared" si="91"/>
        <v>2023-07-01</v>
      </c>
      <c r="J131" s="6" t="str">
        <f>"南阳医学高等专科学校"</f>
        <v>南阳医学高等专科学校</v>
      </c>
      <c r="K131" s="6" t="str">
        <f t="shared" si="90"/>
        <v>临床医学</v>
      </c>
    </row>
    <row r="132" ht="25" customHeight="1" spans="1:11">
      <c r="A132" s="4" t="s">
        <v>11</v>
      </c>
      <c r="B132" s="5">
        <v>130</v>
      </c>
      <c r="C132" s="6" t="s">
        <v>62</v>
      </c>
      <c r="D132" s="6" t="str">
        <f>"李鑫"</f>
        <v>李鑫</v>
      </c>
      <c r="E132" s="6" t="str">
        <f t="shared" ref="E132:E136" si="92">"女"</f>
        <v>女</v>
      </c>
      <c r="F132" s="6" t="str">
        <f t="shared" si="80"/>
        <v>汉族</v>
      </c>
      <c r="G132" s="6" t="s">
        <v>152</v>
      </c>
      <c r="H132" s="6" t="str">
        <f t="shared" si="89"/>
        <v>专科</v>
      </c>
      <c r="I132" s="6" t="str">
        <f>"2023-06-01"</f>
        <v>2023-06-01</v>
      </c>
      <c r="J132" s="6" t="str">
        <f>"武汉光谷职业学院"</f>
        <v>武汉光谷职业学院</v>
      </c>
      <c r="K132" s="6" t="str">
        <f>"康复治疗技术"</f>
        <v>康复治疗技术</v>
      </c>
    </row>
    <row r="133" ht="25" customHeight="1" spans="1:11">
      <c r="A133" s="4" t="s">
        <v>22</v>
      </c>
      <c r="B133" s="5">
        <v>131</v>
      </c>
      <c r="C133" s="6" t="s">
        <v>62</v>
      </c>
      <c r="D133" s="6" t="str">
        <f>"侯高检"</f>
        <v>侯高检</v>
      </c>
      <c r="E133" s="6" t="str">
        <f t="shared" si="92"/>
        <v>女</v>
      </c>
      <c r="F133" s="6" t="str">
        <f t="shared" si="80"/>
        <v>汉族</v>
      </c>
      <c r="G133" s="6" t="s">
        <v>153</v>
      </c>
      <c r="H133" s="6" t="str">
        <f t="shared" si="89"/>
        <v>专科</v>
      </c>
      <c r="I133" s="6" t="str">
        <f t="shared" si="91"/>
        <v>2023-07-01</v>
      </c>
      <c r="J133" s="6" t="str">
        <f>"洛阳职业技术学院"</f>
        <v>洛阳职业技术学院</v>
      </c>
      <c r="K133" s="6" t="str">
        <f>"医学影像技术"</f>
        <v>医学影像技术</v>
      </c>
    </row>
    <row r="134" ht="25" customHeight="1" spans="1:11">
      <c r="A134" s="4" t="s">
        <v>19</v>
      </c>
      <c r="B134" s="5">
        <v>132</v>
      </c>
      <c r="C134" s="6" t="s">
        <v>15</v>
      </c>
      <c r="D134" s="6" t="str">
        <f>"商程朝"</f>
        <v>商程朝</v>
      </c>
      <c r="E134" s="6" t="str">
        <f t="shared" ref="E134:E137" si="93">"男"</f>
        <v>男</v>
      </c>
      <c r="F134" s="6" t="str">
        <f t="shared" si="80"/>
        <v>汉族</v>
      </c>
      <c r="G134" s="6" t="s">
        <v>154</v>
      </c>
      <c r="H134" s="6" t="str">
        <f t="shared" si="89"/>
        <v>专科</v>
      </c>
      <c r="I134" s="6" t="str">
        <f t="shared" si="91"/>
        <v>2023-07-01</v>
      </c>
      <c r="J134" s="6" t="str">
        <f>"铜仁职业技术学院"</f>
        <v>铜仁职业技术学院</v>
      </c>
      <c r="K134" s="6" t="str">
        <f t="shared" ref="K134:K136" si="94">"临床医学"</f>
        <v>临床医学</v>
      </c>
    </row>
    <row r="135" ht="25" customHeight="1" spans="1:11">
      <c r="A135" s="4" t="s">
        <v>19</v>
      </c>
      <c r="B135" s="5">
        <v>133</v>
      </c>
      <c r="C135" s="6" t="s">
        <v>39</v>
      </c>
      <c r="D135" s="6" t="str">
        <f>"胡红伟"</f>
        <v>胡红伟</v>
      </c>
      <c r="E135" s="6" t="str">
        <f t="shared" si="93"/>
        <v>男</v>
      </c>
      <c r="F135" s="6" t="str">
        <f t="shared" si="80"/>
        <v>汉族</v>
      </c>
      <c r="G135" s="6" t="s">
        <v>155</v>
      </c>
      <c r="H135" s="6" t="str">
        <f t="shared" si="89"/>
        <v>专科</v>
      </c>
      <c r="I135" s="6" t="str">
        <f t="shared" ref="I135:I140" si="95">"2022-07-01"</f>
        <v>2022-07-01</v>
      </c>
      <c r="J135" s="6" t="str">
        <f>"平顶山学院"</f>
        <v>平顶山学院</v>
      </c>
      <c r="K135" s="6" t="str">
        <f t="shared" si="94"/>
        <v>临床医学</v>
      </c>
    </row>
    <row r="136" ht="25" customHeight="1" spans="1:11">
      <c r="A136" s="4" t="s">
        <v>19</v>
      </c>
      <c r="B136" s="5">
        <v>134</v>
      </c>
      <c r="C136" s="6" t="s">
        <v>51</v>
      </c>
      <c r="D136" s="6" t="str">
        <f>"宋江淼"</f>
        <v>宋江淼</v>
      </c>
      <c r="E136" s="6" t="str">
        <f t="shared" si="92"/>
        <v>女</v>
      </c>
      <c r="F136" s="6" t="str">
        <f t="shared" si="80"/>
        <v>汉族</v>
      </c>
      <c r="G136" s="6" t="s">
        <v>156</v>
      </c>
      <c r="H136" s="6" t="str">
        <f t="shared" si="89"/>
        <v>专科</v>
      </c>
      <c r="I136" s="6" t="str">
        <f t="shared" ref="I136:I142" si="96">"2023-07-01"</f>
        <v>2023-07-01</v>
      </c>
      <c r="J136" s="6" t="str">
        <f>"商丘医学高等专科学校"</f>
        <v>商丘医学高等专科学校</v>
      </c>
      <c r="K136" s="6" t="str">
        <f t="shared" si="94"/>
        <v>临床医学</v>
      </c>
    </row>
    <row r="137" ht="25" customHeight="1" spans="1:11">
      <c r="A137" s="4" t="s">
        <v>11</v>
      </c>
      <c r="B137" s="5">
        <v>135</v>
      </c>
      <c r="C137" s="6" t="s">
        <v>12</v>
      </c>
      <c r="D137" s="6" t="str">
        <f>"乔永恒"</f>
        <v>乔永恒</v>
      </c>
      <c r="E137" s="6" t="str">
        <f t="shared" si="93"/>
        <v>男</v>
      </c>
      <c r="F137" s="6" t="str">
        <f t="shared" si="80"/>
        <v>汉族</v>
      </c>
      <c r="G137" s="6" t="s">
        <v>157</v>
      </c>
      <c r="H137" s="6" t="str">
        <f t="shared" si="89"/>
        <v>专科</v>
      </c>
      <c r="I137" s="6" t="str">
        <f t="shared" si="96"/>
        <v>2023-07-01</v>
      </c>
      <c r="J137" s="6" t="str">
        <f>"周口职业技术学院"</f>
        <v>周口职业技术学院</v>
      </c>
      <c r="K137" s="6" t="str">
        <f>"康复治疗技术"</f>
        <v>康复治疗技术</v>
      </c>
    </row>
    <row r="138" ht="25" customHeight="1" spans="1:11">
      <c r="A138" s="4" t="s">
        <v>14</v>
      </c>
      <c r="B138" s="5">
        <v>136</v>
      </c>
      <c r="C138" s="6" t="s">
        <v>17</v>
      </c>
      <c r="D138" s="6" t="str">
        <f>"丁佳音"</f>
        <v>丁佳音</v>
      </c>
      <c r="E138" s="6" t="str">
        <f t="shared" ref="E138:E142" si="97">"女"</f>
        <v>女</v>
      </c>
      <c r="F138" s="6" t="str">
        <f t="shared" si="80"/>
        <v>汉族</v>
      </c>
      <c r="G138" s="6" t="s">
        <v>158</v>
      </c>
      <c r="H138" s="6" t="str">
        <f t="shared" si="89"/>
        <v>专科</v>
      </c>
      <c r="I138" s="6" t="str">
        <f t="shared" si="95"/>
        <v>2022-07-01</v>
      </c>
      <c r="J138" s="6" t="str">
        <f>"南阳医学高等专科学校"</f>
        <v>南阳医学高等专科学校</v>
      </c>
      <c r="K138" s="6" t="str">
        <f>"中医学"</f>
        <v>中医学</v>
      </c>
    </row>
    <row r="139" ht="25" customHeight="1" spans="1:11">
      <c r="A139" s="4" t="s">
        <v>22</v>
      </c>
      <c r="B139" s="5">
        <v>137</v>
      </c>
      <c r="C139" s="6" t="s">
        <v>31</v>
      </c>
      <c r="D139" s="6" t="str">
        <f>"叶琳佳"</f>
        <v>叶琳佳</v>
      </c>
      <c r="E139" s="6" t="str">
        <f t="shared" si="97"/>
        <v>女</v>
      </c>
      <c r="F139" s="6" t="str">
        <f t="shared" si="80"/>
        <v>汉族</v>
      </c>
      <c r="G139" s="6" t="s">
        <v>159</v>
      </c>
      <c r="H139" s="6" t="str">
        <f>"本科"</f>
        <v>本科</v>
      </c>
      <c r="I139" s="6" t="str">
        <f>"2023-06-30"</f>
        <v>2023-06-30</v>
      </c>
      <c r="J139" s="6" t="str">
        <f>"湖北医药学院药护学院"</f>
        <v>湖北医药学院药护学院</v>
      </c>
      <c r="K139" s="6" t="str">
        <f t="shared" ref="K139:K143" si="98">"医学影像技术"</f>
        <v>医学影像技术</v>
      </c>
    </row>
    <row r="140" ht="25" customHeight="1" spans="1:11">
      <c r="A140" s="4" t="s">
        <v>22</v>
      </c>
      <c r="B140" s="5">
        <v>138</v>
      </c>
      <c r="C140" s="6" t="s">
        <v>23</v>
      </c>
      <c r="D140" s="6" t="str">
        <f>"张彪"</f>
        <v>张彪</v>
      </c>
      <c r="E140" s="6" t="str">
        <f t="shared" ref="E140:E144" si="99">"男"</f>
        <v>男</v>
      </c>
      <c r="F140" s="6" t="str">
        <f t="shared" si="80"/>
        <v>汉族</v>
      </c>
      <c r="G140" s="6" t="s">
        <v>160</v>
      </c>
      <c r="H140" s="6" t="str">
        <f t="shared" ref="H140:H145" si="100">"专科"</f>
        <v>专科</v>
      </c>
      <c r="I140" s="6" t="str">
        <f t="shared" si="95"/>
        <v>2022-07-01</v>
      </c>
      <c r="J140" s="6" t="str">
        <f>"河南科技职业大学"</f>
        <v>河南科技职业大学</v>
      </c>
      <c r="K140" s="6" t="str">
        <f t="shared" si="98"/>
        <v>医学影像技术</v>
      </c>
    </row>
    <row r="141" ht="25" customHeight="1" spans="1:11">
      <c r="A141" s="4" t="s">
        <v>14</v>
      </c>
      <c r="B141" s="5">
        <v>139</v>
      </c>
      <c r="C141" s="6" t="s">
        <v>17</v>
      </c>
      <c r="D141" s="6" t="str">
        <f>"李媛"</f>
        <v>李媛</v>
      </c>
      <c r="E141" s="6" t="str">
        <f t="shared" si="97"/>
        <v>女</v>
      </c>
      <c r="F141" s="6" t="str">
        <f t="shared" si="80"/>
        <v>汉族</v>
      </c>
      <c r="G141" s="6" t="s">
        <v>161</v>
      </c>
      <c r="H141" s="6" t="str">
        <f t="shared" si="100"/>
        <v>专科</v>
      </c>
      <c r="I141" s="6" t="str">
        <f t="shared" si="96"/>
        <v>2023-07-01</v>
      </c>
      <c r="J141" s="6" t="str">
        <f>"洛阳职业技术学院"</f>
        <v>洛阳职业技术学院</v>
      </c>
      <c r="K141" s="6" t="str">
        <f>"中医学"</f>
        <v>中医学</v>
      </c>
    </row>
    <row r="142" ht="25" customHeight="1" spans="1:11">
      <c r="A142" s="4" t="s">
        <v>22</v>
      </c>
      <c r="B142" s="5">
        <v>140</v>
      </c>
      <c r="C142" s="6" t="s">
        <v>25</v>
      </c>
      <c r="D142" s="6" t="str">
        <f>"姜一术"</f>
        <v>姜一术</v>
      </c>
      <c r="E142" s="6" t="str">
        <f t="shared" si="97"/>
        <v>女</v>
      </c>
      <c r="F142" s="6" t="str">
        <f t="shared" si="80"/>
        <v>汉族</v>
      </c>
      <c r="G142" s="6" t="s">
        <v>162</v>
      </c>
      <c r="H142" s="6" t="str">
        <f t="shared" si="100"/>
        <v>专科</v>
      </c>
      <c r="I142" s="6" t="str">
        <f t="shared" si="96"/>
        <v>2023-07-01</v>
      </c>
      <c r="J142" s="6" t="str">
        <f>"漯河医学高等专科学校"</f>
        <v>漯河医学高等专科学校</v>
      </c>
      <c r="K142" s="6" t="str">
        <f t="shared" si="98"/>
        <v>医学影像技术</v>
      </c>
    </row>
    <row r="143" ht="25" customHeight="1" spans="1:11">
      <c r="A143" s="4" t="s">
        <v>22</v>
      </c>
      <c r="B143" s="5">
        <v>141</v>
      </c>
      <c r="C143" s="6" t="s">
        <v>23</v>
      </c>
      <c r="D143" s="6" t="str">
        <f>"侯发贵"</f>
        <v>侯发贵</v>
      </c>
      <c r="E143" s="6" t="str">
        <f t="shared" si="99"/>
        <v>男</v>
      </c>
      <c r="F143" s="6" t="str">
        <f t="shared" si="80"/>
        <v>汉族</v>
      </c>
      <c r="G143" s="6" t="s">
        <v>130</v>
      </c>
      <c r="H143" s="6" t="str">
        <f t="shared" si="100"/>
        <v>专科</v>
      </c>
      <c r="I143" s="6" t="str">
        <f>"2023-06-22"</f>
        <v>2023-06-22</v>
      </c>
      <c r="J143" s="6" t="str">
        <f>"河南科技职业大学"</f>
        <v>河南科技职业大学</v>
      </c>
      <c r="K143" s="6" t="str">
        <f t="shared" si="98"/>
        <v>医学影像技术</v>
      </c>
    </row>
    <row r="144" ht="25" customHeight="1" spans="1:11">
      <c r="A144" s="4" t="s">
        <v>11</v>
      </c>
      <c r="B144" s="5">
        <v>142</v>
      </c>
      <c r="C144" s="6" t="s">
        <v>62</v>
      </c>
      <c r="D144" s="6" t="str">
        <f>"李志轩"</f>
        <v>李志轩</v>
      </c>
      <c r="E144" s="6" t="str">
        <f t="shared" si="99"/>
        <v>男</v>
      </c>
      <c r="F144" s="6" t="str">
        <f t="shared" si="80"/>
        <v>汉族</v>
      </c>
      <c r="G144" s="6" t="s">
        <v>163</v>
      </c>
      <c r="H144" s="6" t="str">
        <f t="shared" si="100"/>
        <v>专科</v>
      </c>
      <c r="I144" s="6" t="str">
        <f>"2023-07-01"</f>
        <v>2023-07-01</v>
      </c>
      <c r="J144" s="6" t="str">
        <f>"周口职业技术学院"</f>
        <v>周口职业技术学院</v>
      </c>
      <c r="K144" s="6" t="str">
        <f t="shared" ref="K144:K148" si="101">"康复治疗技术"</f>
        <v>康复治疗技术</v>
      </c>
    </row>
    <row r="145" ht="25" customHeight="1" spans="1:11">
      <c r="A145" s="4" t="s">
        <v>11</v>
      </c>
      <c r="B145" s="5">
        <v>143</v>
      </c>
      <c r="C145" s="6" t="s">
        <v>17</v>
      </c>
      <c r="D145" s="6" t="str">
        <f>"孙金"</f>
        <v>孙金</v>
      </c>
      <c r="E145" s="6" t="str">
        <f>"女"</f>
        <v>女</v>
      </c>
      <c r="F145" s="6" t="str">
        <f t="shared" si="80"/>
        <v>汉族</v>
      </c>
      <c r="G145" s="6" t="s">
        <v>164</v>
      </c>
      <c r="H145" s="6" t="str">
        <f t="shared" si="100"/>
        <v>专科</v>
      </c>
      <c r="I145" s="6" t="str">
        <f>"2020-07-01"</f>
        <v>2020-07-01</v>
      </c>
      <c r="J145" s="6" t="str">
        <f>"安阳职业技术学院"</f>
        <v>安阳职业技术学院</v>
      </c>
      <c r="K145" s="6" t="str">
        <f t="shared" si="101"/>
        <v>康复治疗技术</v>
      </c>
    </row>
    <row r="146" ht="25" customHeight="1" spans="1:11">
      <c r="A146" s="4" t="s">
        <v>28</v>
      </c>
      <c r="B146" s="5">
        <v>144</v>
      </c>
      <c r="C146" s="6" t="s">
        <v>31</v>
      </c>
      <c r="D146" s="6" t="str">
        <f>"张家宝"</f>
        <v>张家宝</v>
      </c>
      <c r="E146" s="6" t="str">
        <f t="shared" ref="E146:E149" si="102">"男"</f>
        <v>男</v>
      </c>
      <c r="F146" s="6" t="str">
        <f t="shared" si="80"/>
        <v>汉族</v>
      </c>
      <c r="G146" s="6" t="s">
        <v>165</v>
      </c>
      <c r="H146" s="6" t="str">
        <f>"本科"</f>
        <v>本科</v>
      </c>
      <c r="I146" s="6" t="str">
        <f>"2023-06-23"</f>
        <v>2023-06-23</v>
      </c>
      <c r="J146" s="6" t="str">
        <f>"新乡医学院三全学院"</f>
        <v>新乡医学院三全学院</v>
      </c>
      <c r="K146" s="6" t="str">
        <f>"医学检验技术"</f>
        <v>医学检验技术</v>
      </c>
    </row>
    <row r="147" ht="25" customHeight="1" spans="1:11">
      <c r="A147" s="4" t="s">
        <v>11</v>
      </c>
      <c r="B147" s="5">
        <v>145</v>
      </c>
      <c r="C147" s="6" t="s">
        <v>62</v>
      </c>
      <c r="D147" s="6" t="str">
        <f>"陈奎林"</f>
        <v>陈奎林</v>
      </c>
      <c r="E147" s="6" t="str">
        <f t="shared" si="102"/>
        <v>男</v>
      </c>
      <c r="F147" s="6" t="str">
        <f t="shared" si="80"/>
        <v>汉族</v>
      </c>
      <c r="G147" s="6" t="s">
        <v>166</v>
      </c>
      <c r="H147" s="6" t="str">
        <f t="shared" ref="H147:H149" si="103">"专科"</f>
        <v>专科</v>
      </c>
      <c r="I147" s="6" t="str">
        <f>"2020-07-01"</f>
        <v>2020-07-01</v>
      </c>
      <c r="J147" s="6" t="str">
        <f>"黄河科技学院"</f>
        <v>黄河科技学院</v>
      </c>
      <c r="K147" s="6" t="str">
        <f t="shared" si="101"/>
        <v>康复治疗技术</v>
      </c>
    </row>
    <row r="148" ht="25" customHeight="1" spans="1:11">
      <c r="A148" s="4" t="s">
        <v>11</v>
      </c>
      <c r="B148" s="5">
        <v>146</v>
      </c>
      <c r="C148" s="6" t="s">
        <v>17</v>
      </c>
      <c r="D148" s="6" t="str">
        <f>"黄一鸣"</f>
        <v>黄一鸣</v>
      </c>
      <c r="E148" s="6" t="str">
        <f t="shared" si="102"/>
        <v>男</v>
      </c>
      <c r="F148" s="6" t="str">
        <f t="shared" si="80"/>
        <v>汉族</v>
      </c>
      <c r="G148" s="6" t="s">
        <v>167</v>
      </c>
      <c r="H148" s="6" t="str">
        <f t="shared" si="103"/>
        <v>专科</v>
      </c>
      <c r="I148" s="6" t="str">
        <f>"2022-07-01"</f>
        <v>2022-07-01</v>
      </c>
      <c r="J148" s="6" t="str">
        <f>"河南科技职业大学"</f>
        <v>河南科技职业大学</v>
      </c>
      <c r="K148" s="6" t="str">
        <f t="shared" si="101"/>
        <v>康复治疗技术</v>
      </c>
    </row>
    <row r="149" ht="25" customHeight="1" spans="1:11">
      <c r="A149" s="4" t="s">
        <v>19</v>
      </c>
      <c r="B149" s="5">
        <v>147</v>
      </c>
      <c r="C149" s="6" t="s">
        <v>71</v>
      </c>
      <c r="D149" s="6" t="str">
        <f>"王世源"</f>
        <v>王世源</v>
      </c>
      <c r="E149" s="6" t="str">
        <f t="shared" si="102"/>
        <v>男</v>
      </c>
      <c r="F149" s="6" t="str">
        <f t="shared" si="80"/>
        <v>汉族</v>
      </c>
      <c r="G149" s="6" t="s">
        <v>168</v>
      </c>
      <c r="H149" s="6" t="str">
        <f t="shared" si="103"/>
        <v>专科</v>
      </c>
      <c r="I149" s="6" t="str">
        <f>"2023-06-30"</f>
        <v>2023-06-30</v>
      </c>
      <c r="J149" s="6" t="str">
        <f>"仙桃职业学院"</f>
        <v>仙桃职业学院</v>
      </c>
      <c r="K149" s="6" t="str">
        <f t="shared" ref="K149:K152" si="104">"临床医学"</f>
        <v>临床医学</v>
      </c>
    </row>
    <row r="150" ht="25" customHeight="1" spans="1:11">
      <c r="A150" s="4" t="s">
        <v>28</v>
      </c>
      <c r="B150" s="5">
        <v>148</v>
      </c>
      <c r="C150" s="6" t="s">
        <v>31</v>
      </c>
      <c r="D150" s="6" t="str">
        <f>"贺萌萌"</f>
        <v>贺萌萌</v>
      </c>
      <c r="E150" s="6" t="str">
        <f t="shared" ref="E150:E154" si="105">"女"</f>
        <v>女</v>
      </c>
      <c r="F150" s="6" t="str">
        <f t="shared" si="80"/>
        <v>汉族</v>
      </c>
      <c r="G150" s="6" t="s">
        <v>169</v>
      </c>
      <c r="H150" s="6" t="str">
        <f>"本科"</f>
        <v>本科</v>
      </c>
      <c r="I150" s="6" t="str">
        <f>"2023-07-01"</f>
        <v>2023-07-01</v>
      </c>
      <c r="J150" s="6" t="str">
        <f>"新乡医学院三全学院"</f>
        <v>新乡医学院三全学院</v>
      </c>
      <c r="K150" s="6" t="str">
        <f t="shared" ref="K150:K154" si="106">"医学检验技术"</f>
        <v>医学检验技术</v>
      </c>
    </row>
    <row r="151" ht="25" customHeight="1" spans="1:11">
      <c r="A151" s="4" t="s">
        <v>19</v>
      </c>
      <c r="B151" s="5">
        <v>149</v>
      </c>
      <c r="C151" s="6" t="s">
        <v>39</v>
      </c>
      <c r="D151" s="6" t="str">
        <f>"闻桂山"</f>
        <v>闻桂山</v>
      </c>
      <c r="E151" s="6" t="str">
        <f t="shared" ref="E151:E157" si="107">"男"</f>
        <v>男</v>
      </c>
      <c r="F151" s="6" t="str">
        <f t="shared" si="80"/>
        <v>汉族</v>
      </c>
      <c r="G151" s="6" t="s">
        <v>170</v>
      </c>
      <c r="H151" s="6" t="str">
        <f t="shared" ref="H151:H163" si="108">"专科"</f>
        <v>专科</v>
      </c>
      <c r="I151" s="6" t="str">
        <f>"2022-07-01"</f>
        <v>2022-07-01</v>
      </c>
      <c r="J151" s="6" t="str">
        <f>"南阳医学高等专科学校"</f>
        <v>南阳医学高等专科学校</v>
      </c>
      <c r="K151" s="6" t="str">
        <f t="shared" si="104"/>
        <v>临床医学</v>
      </c>
    </row>
    <row r="152" ht="25" customHeight="1" spans="1:11">
      <c r="A152" s="4" t="s">
        <v>19</v>
      </c>
      <c r="B152" s="5">
        <v>150</v>
      </c>
      <c r="C152" s="6" t="s">
        <v>31</v>
      </c>
      <c r="D152" s="6" t="str">
        <f>"姚人君"</f>
        <v>姚人君</v>
      </c>
      <c r="E152" s="6" t="str">
        <f t="shared" si="105"/>
        <v>女</v>
      </c>
      <c r="F152" s="6" t="str">
        <f t="shared" si="80"/>
        <v>汉族</v>
      </c>
      <c r="G152" s="6" t="s">
        <v>171</v>
      </c>
      <c r="H152" s="6" t="str">
        <f>"本科"</f>
        <v>本科</v>
      </c>
      <c r="I152" s="6" t="str">
        <f>"2021-07-01"</f>
        <v>2021-07-01</v>
      </c>
      <c r="J152" s="6" t="str">
        <f>"河南科技大学"</f>
        <v>河南科技大学</v>
      </c>
      <c r="K152" s="6" t="str">
        <f t="shared" si="104"/>
        <v>临床医学</v>
      </c>
    </row>
    <row r="153" ht="25" customHeight="1" spans="1:11">
      <c r="A153" s="4" t="s">
        <v>28</v>
      </c>
      <c r="B153" s="5">
        <v>151</v>
      </c>
      <c r="C153" s="6" t="s">
        <v>29</v>
      </c>
      <c r="D153" s="6" t="str">
        <f>"刘浚楠"</f>
        <v>刘浚楠</v>
      </c>
      <c r="E153" s="6" t="str">
        <f t="shared" si="105"/>
        <v>女</v>
      </c>
      <c r="F153" s="6" t="str">
        <f t="shared" si="80"/>
        <v>汉族</v>
      </c>
      <c r="G153" s="6" t="s">
        <v>172</v>
      </c>
      <c r="H153" s="6" t="str">
        <f t="shared" si="108"/>
        <v>专科</v>
      </c>
      <c r="I153" s="6" t="str">
        <f>"2022-06-30"</f>
        <v>2022-06-30</v>
      </c>
      <c r="J153" s="6" t="str">
        <f>"信阳职业技术学院"</f>
        <v>信阳职业技术学院</v>
      </c>
      <c r="K153" s="6" t="str">
        <f t="shared" si="106"/>
        <v>医学检验技术</v>
      </c>
    </row>
    <row r="154" ht="25" customHeight="1" spans="1:11">
      <c r="A154" s="4" t="s">
        <v>28</v>
      </c>
      <c r="B154" s="5">
        <v>152</v>
      </c>
      <c r="C154" s="6" t="s">
        <v>29</v>
      </c>
      <c r="D154" s="6" t="str">
        <f>"张静"</f>
        <v>张静</v>
      </c>
      <c r="E154" s="6" t="str">
        <f t="shared" si="105"/>
        <v>女</v>
      </c>
      <c r="F154" s="6" t="str">
        <f t="shared" si="80"/>
        <v>汉族</v>
      </c>
      <c r="G154" s="6" t="s">
        <v>173</v>
      </c>
      <c r="H154" s="6" t="str">
        <f t="shared" si="108"/>
        <v>专科</v>
      </c>
      <c r="I154" s="6" t="str">
        <f>"2022-06-22"</f>
        <v>2022-06-22</v>
      </c>
      <c r="J154" s="6" t="str">
        <f>"信阳职业技术学院"</f>
        <v>信阳职业技术学院</v>
      </c>
      <c r="K154" s="6" t="str">
        <f t="shared" si="106"/>
        <v>医学检验技术</v>
      </c>
    </row>
    <row r="155" ht="25" customHeight="1" spans="1:11">
      <c r="A155" s="4" t="s">
        <v>19</v>
      </c>
      <c r="B155" s="5">
        <v>153</v>
      </c>
      <c r="C155" s="6" t="s">
        <v>71</v>
      </c>
      <c r="D155" s="6" t="str">
        <f>"蒿棒"</f>
        <v>蒿棒</v>
      </c>
      <c r="E155" s="6" t="str">
        <f t="shared" si="107"/>
        <v>男</v>
      </c>
      <c r="F155" s="6" t="str">
        <f t="shared" si="80"/>
        <v>汉族</v>
      </c>
      <c r="G155" s="6" t="s">
        <v>174</v>
      </c>
      <c r="H155" s="6" t="str">
        <f t="shared" si="108"/>
        <v>专科</v>
      </c>
      <c r="I155" s="6" t="str">
        <f>"2023-07-01"</f>
        <v>2023-07-01</v>
      </c>
      <c r="J155" s="6" t="str">
        <f>"平顶山学院"</f>
        <v>平顶山学院</v>
      </c>
      <c r="K155" s="6" t="str">
        <f t="shared" ref="K155:K159" si="109">"临床医学"</f>
        <v>临床医学</v>
      </c>
    </row>
    <row r="156" ht="25" customHeight="1" spans="1:11">
      <c r="A156" s="4" t="s">
        <v>19</v>
      </c>
      <c r="B156" s="5">
        <v>154</v>
      </c>
      <c r="C156" s="6" t="s">
        <v>39</v>
      </c>
      <c r="D156" s="6" t="str">
        <f>"梁田"</f>
        <v>梁田</v>
      </c>
      <c r="E156" s="6" t="str">
        <f t="shared" si="107"/>
        <v>男</v>
      </c>
      <c r="F156" s="6" t="str">
        <f t="shared" si="80"/>
        <v>汉族</v>
      </c>
      <c r="G156" s="6" t="s">
        <v>175</v>
      </c>
      <c r="H156" s="6" t="str">
        <f t="shared" si="108"/>
        <v>专科</v>
      </c>
      <c r="I156" s="6" t="str">
        <f>"2019-07-01"</f>
        <v>2019-07-01</v>
      </c>
      <c r="J156" s="6" t="str">
        <f>"南阳医学高等专科学校"</f>
        <v>南阳医学高等专科学校</v>
      </c>
      <c r="K156" s="6" t="str">
        <f t="shared" si="109"/>
        <v>临床医学</v>
      </c>
    </row>
    <row r="157" ht="25" customHeight="1" spans="1:11">
      <c r="A157" s="4" t="s">
        <v>22</v>
      </c>
      <c r="B157" s="5">
        <v>155</v>
      </c>
      <c r="C157" s="6" t="s">
        <v>25</v>
      </c>
      <c r="D157" s="6" t="str">
        <f>"郜英杰"</f>
        <v>郜英杰</v>
      </c>
      <c r="E157" s="6" t="str">
        <f t="shared" si="107"/>
        <v>男</v>
      </c>
      <c r="F157" s="6" t="str">
        <f t="shared" si="80"/>
        <v>汉族</v>
      </c>
      <c r="G157" s="6" t="s">
        <v>176</v>
      </c>
      <c r="H157" s="6" t="str">
        <f t="shared" si="108"/>
        <v>专科</v>
      </c>
      <c r="I157" s="6" t="str">
        <f>"2019-07-01"</f>
        <v>2019-07-01</v>
      </c>
      <c r="J157" s="6" t="str">
        <f>"河南科技职业大学"</f>
        <v>河南科技职业大学</v>
      </c>
      <c r="K157" s="6" t="str">
        <f>"医学影像技术"</f>
        <v>医学影像技术</v>
      </c>
    </row>
    <row r="158" ht="25" customHeight="1" spans="1:11">
      <c r="A158" s="4" t="s">
        <v>11</v>
      </c>
      <c r="B158" s="5">
        <v>156</v>
      </c>
      <c r="C158" s="6" t="s">
        <v>17</v>
      </c>
      <c r="D158" s="6" t="str">
        <f>"贺方潇"</f>
        <v>贺方潇</v>
      </c>
      <c r="E158" s="6" t="str">
        <f t="shared" ref="E158:E160" si="110">"女"</f>
        <v>女</v>
      </c>
      <c r="F158" s="6" t="str">
        <f t="shared" si="80"/>
        <v>汉族</v>
      </c>
      <c r="G158" s="6" t="s">
        <v>177</v>
      </c>
      <c r="H158" s="6" t="str">
        <f t="shared" si="108"/>
        <v>专科</v>
      </c>
      <c r="I158" s="6" t="str">
        <f>"2022-06-30"</f>
        <v>2022-06-30</v>
      </c>
      <c r="J158" s="6" t="str">
        <f>"济源职业技术学院"</f>
        <v>济源职业技术学院</v>
      </c>
      <c r="K158" s="6" t="str">
        <f>"康复治疗技术"</f>
        <v>康复治疗技术</v>
      </c>
    </row>
    <row r="159" ht="25" customHeight="1" spans="1:11">
      <c r="A159" s="4" t="s">
        <v>19</v>
      </c>
      <c r="B159" s="5">
        <v>157</v>
      </c>
      <c r="C159" s="6" t="s">
        <v>39</v>
      </c>
      <c r="D159" s="6" t="str">
        <f>"刘豫湘"</f>
        <v>刘豫湘</v>
      </c>
      <c r="E159" s="6" t="str">
        <f t="shared" si="110"/>
        <v>女</v>
      </c>
      <c r="F159" s="6" t="str">
        <f t="shared" si="80"/>
        <v>汉族</v>
      </c>
      <c r="G159" s="6" t="s">
        <v>178</v>
      </c>
      <c r="H159" s="6" t="str">
        <f t="shared" si="108"/>
        <v>专科</v>
      </c>
      <c r="I159" s="6" t="str">
        <f>"2023-06-30"</f>
        <v>2023-06-30</v>
      </c>
      <c r="J159" s="6" t="str">
        <f>"益阳医学高等专科学校"</f>
        <v>益阳医学高等专科学校</v>
      </c>
      <c r="K159" s="6" t="str">
        <f t="shared" si="109"/>
        <v>临床医学</v>
      </c>
    </row>
    <row r="160" ht="25" customHeight="1" spans="1:11">
      <c r="A160" s="4" t="s">
        <v>50</v>
      </c>
      <c r="B160" s="5">
        <v>158</v>
      </c>
      <c r="C160" s="6" t="s">
        <v>39</v>
      </c>
      <c r="D160" s="6" t="str">
        <f>"董美灿"</f>
        <v>董美灿</v>
      </c>
      <c r="E160" s="6" t="str">
        <f t="shared" si="110"/>
        <v>女</v>
      </c>
      <c r="F160" s="6" t="str">
        <f t="shared" si="80"/>
        <v>汉族</v>
      </c>
      <c r="G160" s="6" t="s">
        <v>179</v>
      </c>
      <c r="H160" s="6" t="str">
        <f t="shared" si="108"/>
        <v>专科</v>
      </c>
      <c r="I160" s="6" t="str">
        <f>"2023-07-18"</f>
        <v>2023-07-18</v>
      </c>
      <c r="J160" s="6" t="str">
        <f>"河南护理职业学院"</f>
        <v>河南护理职业学院</v>
      </c>
      <c r="K160" s="6" t="str">
        <f>"口腔医学"</f>
        <v>口腔医学</v>
      </c>
    </row>
    <row r="161" ht="25" customHeight="1" spans="1:11">
      <c r="A161" s="4" t="s">
        <v>28</v>
      </c>
      <c r="B161" s="5">
        <v>159</v>
      </c>
      <c r="C161" s="6" t="s">
        <v>29</v>
      </c>
      <c r="D161" s="6" t="str">
        <f>"党思洋"</f>
        <v>党思洋</v>
      </c>
      <c r="E161" s="6" t="str">
        <f t="shared" ref="E161:E166" si="111">"男"</f>
        <v>男</v>
      </c>
      <c r="F161" s="6" t="str">
        <f t="shared" si="80"/>
        <v>汉族</v>
      </c>
      <c r="G161" s="6" t="s">
        <v>180</v>
      </c>
      <c r="H161" s="6" t="str">
        <f t="shared" si="108"/>
        <v>专科</v>
      </c>
      <c r="I161" s="6" t="str">
        <f t="shared" ref="I161:I165" si="112">"2023-07-01"</f>
        <v>2023-07-01</v>
      </c>
      <c r="J161" s="6" t="str">
        <f>"商丘工学院"</f>
        <v>商丘工学院</v>
      </c>
      <c r="K161" s="6" t="str">
        <f>"临床医学检验技术"</f>
        <v>临床医学检验技术</v>
      </c>
    </row>
    <row r="162" ht="25" customHeight="1" spans="1:11">
      <c r="A162" s="4" t="s">
        <v>22</v>
      </c>
      <c r="B162" s="5">
        <v>160</v>
      </c>
      <c r="C162" s="6" t="s">
        <v>23</v>
      </c>
      <c r="D162" s="6" t="str">
        <f>"廉奇妙"</f>
        <v>廉奇妙</v>
      </c>
      <c r="E162" s="6" t="str">
        <f>"女"</f>
        <v>女</v>
      </c>
      <c r="F162" s="6" t="str">
        <f t="shared" si="80"/>
        <v>汉族</v>
      </c>
      <c r="G162" s="6" t="s">
        <v>181</v>
      </c>
      <c r="H162" s="6" t="str">
        <f t="shared" si="108"/>
        <v>专科</v>
      </c>
      <c r="I162" s="6" t="str">
        <f t="shared" si="112"/>
        <v>2023-07-01</v>
      </c>
      <c r="J162" s="6" t="str">
        <f>"南阳医学高等专科学校"</f>
        <v>南阳医学高等专科学校</v>
      </c>
      <c r="K162" s="6" t="str">
        <f t="shared" ref="K162:K167" si="113">"医学影像技术"</f>
        <v>医学影像技术</v>
      </c>
    </row>
    <row r="163" ht="25" customHeight="1" spans="1:11">
      <c r="A163" s="4" t="s">
        <v>22</v>
      </c>
      <c r="B163" s="5">
        <v>161</v>
      </c>
      <c r="C163" s="6" t="s">
        <v>23</v>
      </c>
      <c r="D163" s="6" t="str">
        <f>"常路"</f>
        <v>常路</v>
      </c>
      <c r="E163" s="6" t="str">
        <f t="shared" si="111"/>
        <v>男</v>
      </c>
      <c r="F163" s="6" t="str">
        <f t="shared" si="80"/>
        <v>汉族</v>
      </c>
      <c r="G163" s="6" t="s">
        <v>182</v>
      </c>
      <c r="H163" s="6" t="str">
        <f t="shared" si="108"/>
        <v>专科</v>
      </c>
      <c r="I163" s="6" t="str">
        <f t="shared" si="112"/>
        <v>2023-07-01</v>
      </c>
      <c r="J163" s="6" t="str">
        <f>"南阳医学高等专科学校"</f>
        <v>南阳医学高等专科学校</v>
      </c>
      <c r="K163" s="6" t="str">
        <f t="shared" si="113"/>
        <v>医学影像技术</v>
      </c>
    </row>
    <row r="164" ht="25" customHeight="1" spans="1:11">
      <c r="A164" s="4" t="s">
        <v>28</v>
      </c>
      <c r="B164" s="5">
        <v>162</v>
      </c>
      <c r="C164" s="6" t="s">
        <v>31</v>
      </c>
      <c r="D164" s="6" t="str">
        <f>"全广豪"</f>
        <v>全广豪</v>
      </c>
      <c r="E164" s="6" t="str">
        <f t="shared" si="111"/>
        <v>男</v>
      </c>
      <c r="F164" s="6" t="str">
        <f t="shared" si="80"/>
        <v>汉族</v>
      </c>
      <c r="G164" s="6" t="s">
        <v>183</v>
      </c>
      <c r="H164" s="6" t="str">
        <f>"本科"</f>
        <v>本科</v>
      </c>
      <c r="I164" s="6" t="str">
        <f t="shared" si="112"/>
        <v>2023-07-01</v>
      </c>
      <c r="J164" s="6" t="str">
        <f>"湖北医药学院"</f>
        <v>湖北医药学院</v>
      </c>
      <c r="K164" s="6" t="str">
        <f>"医学检验技术专业"</f>
        <v>医学检验技术专业</v>
      </c>
    </row>
    <row r="165" ht="25" customHeight="1" spans="1:11">
      <c r="A165" s="4" t="s">
        <v>19</v>
      </c>
      <c r="B165" s="5">
        <v>163</v>
      </c>
      <c r="C165" s="6" t="s">
        <v>39</v>
      </c>
      <c r="D165" s="6" t="str">
        <f>"李胜"</f>
        <v>李胜</v>
      </c>
      <c r="E165" s="6" t="str">
        <f t="shared" si="111"/>
        <v>男</v>
      </c>
      <c r="F165" s="6" t="str">
        <f t="shared" si="80"/>
        <v>汉族</v>
      </c>
      <c r="G165" s="6" t="s">
        <v>184</v>
      </c>
      <c r="H165" s="6" t="str">
        <f t="shared" ref="H165:H181" si="114">"专科"</f>
        <v>专科</v>
      </c>
      <c r="I165" s="6" t="str">
        <f t="shared" si="112"/>
        <v>2023-07-01</v>
      </c>
      <c r="J165" s="6" t="str">
        <f>"郑州澍青医学高等专科学校"</f>
        <v>郑州澍青医学高等专科学校</v>
      </c>
      <c r="K165" s="6" t="str">
        <f t="shared" ref="K165:K169" si="115">"临床医学"</f>
        <v>临床医学</v>
      </c>
    </row>
    <row r="166" ht="25" customHeight="1" spans="1:11">
      <c r="A166" s="4" t="s">
        <v>19</v>
      </c>
      <c r="B166" s="5">
        <v>164</v>
      </c>
      <c r="C166" s="6" t="s">
        <v>20</v>
      </c>
      <c r="D166" s="6" t="str">
        <f>"沈威"</f>
        <v>沈威</v>
      </c>
      <c r="E166" s="6" t="str">
        <f t="shared" si="111"/>
        <v>男</v>
      </c>
      <c r="F166" s="6" t="str">
        <f t="shared" si="80"/>
        <v>汉族</v>
      </c>
      <c r="G166" s="6" t="s">
        <v>185</v>
      </c>
      <c r="H166" s="6" t="str">
        <f t="shared" si="114"/>
        <v>专科</v>
      </c>
      <c r="I166" s="6" t="str">
        <f>"2020-07-01"</f>
        <v>2020-07-01</v>
      </c>
      <c r="J166" s="6" t="str">
        <f>"商丘医学高等专科学校"</f>
        <v>商丘医学高等专科学校</v>
      </c>
      <c r="K166" s="6" t="str">
        <f t="shared" si="115"/>
        <v>临床医学</v>
      </c>
    </row>
    <row r="167" ht="25" customHeight="1" spans="1:11">
      <c r="A167" s="4" t="s">
        <v>22</v>
      </c>
      <c r="B167" s="5">
        <v>165</v>
      </c>
      <c r="C167" s="6" t="s">
        <v>46</v>
      </c>
      <c r="D167" s="6" t="str">
        <f>"王丹"</f>
        <v>王丹</v>
      </c>
      <c r="E167" s="6" t="str">
        <f t="shared" ref="E167:E169" si="116">"女"</f>
        <v>女</v>
      </c>
      <c r="F167" s="6" t="str">
        <f t="shared" si="80"/>
        <v>汉族</v>
      </c>
      <c r="G167" s="6" t="s">
        <v>186</v>
      </c>
      <c r="H167" s="6" t="str">
        <f t="shared" si="114"/>
        <v>专科</v>
      </c>
      <c r="I167" s="6" t="str">
        <f>"2022-07-01"</f>
        <v>2022-07-01</v>
      </c>
      <c r="J167" s="6" t="str">
        <f>"洛阳职业技术学院"</f>
        <v>洛阳职业技术学院</v>
      </c>
      <c r="K167" s="6" t="str">
        <f t="shared" si="113"/>
        <v>医学影像技术</v>
      </c>
    </row>
    <row r="168" ht="25" customHeight="1" spans="1:11">
      <c r="A168" s="4" t="s">
        <v>19</v>
      </c>
      <c r="B168" s="5">
        <v>166</v>
      </c>
      <c r="C168" s="6" t="s">
        <v>187</v>
      </c>
      <c r="D168" s="6" t="str">
        <f>"张萌"</f>
        <v>张萌</v>
      </c>
      <c r="E168" s="6" t="str">
        <f t="shared" si="116"/>
        <v>女</v>
      </c>
      <c r="F168" s="6" t="str">
        <f t="shared" si="80"/>
        <v>汉族</v>
      </c>
      <c r="G168" s="6" t="s">
        <v>188</v>
      </c>
      <c r="H168" s="6" t="str">
        <f t="shared" si="114"/>
        <v>专科</v>
      </c>
      <c r="I168" s="6" t="str">
        <f>"2019-07-08"</f>
        <v>2019-07-08</v>
      </c>
      <c r="J168" s="6" t="str">
        <f>"黄河科技学院"</f>
        <v>黄河科技学院</v>
      </c>
      <c r="K168" s="6" t="str">
        <f t="shared" si="115"/>
        <v>临床医学</v>
      </c>
    </row>
    <row r="169" ht="25" customHeight="1" spans="1:11">
      <c r="A169" s="4" t="s">
        <v>19</v>
      </c>
      <c r="B169" s="5">
        <v>167</v>
      </c>
      <c r="C169" s="6" t="s">
        <v>39</v>
      </c>
      <c r="D169" s="6" t="str">
        <f>"侯俊杰"</f>
        <v>侯俊杰</v>
      </c>
      <c r="E169" s="6" t="str">
        <f t="shared" si="116"/>
        <v>女</v>
      </c>
      <c r="F169" s="6" t="str">
        <f t="shared" si="80"/>
        <v>汉族</v>
      </c>
      <c r="G169" s="6" t="s">
        <v>189</v>
      </c>
      <c r="H169" s="6" t="str">
        <f t="shared" si="114"/>
        <v>专科</v>
      </c>
      <c r="I169" s="6" t="str">
        <f>"2022-07-01"</f>
        <v>2022-07-01</v>
      </c>
      <c r="J169" s="6" t="str">
        <f>"南阳医学高等专科学校"</f>
        <v>南阳医学高等专科学校</v>
      </c>
      <c r="K169" s="6" t="str">
        <f t="shared" si="115"/>
        <v>临床医学</v>
      </c>
    </row>
    <row r="170" ht="25" customHeight="1" spans="1:11">
      <c r="A170" s="4" t="s">
        <v>19</v>
      </c>
      <c r="B170" s="5">
        <v>168</v>
      </c>
      <c r="C170" s="6" t="s">
        <v>39</v>
      </c>
      <c r="D170" s="6" t="str">
        <f>"申孟昊"</f>
        <v>申孟昊</v>
      </c>
      <c r="E170" s="6" t="str">
        <f t="shared" ref="E170:E175" si="117">"男"</f>
        <v>男</v>
      </c>
      <c r="F170" s="6" t="str">
        <f t="shared" si="80"/>
        <v>汉族</v>
      </c>
      <c r="G170" s="6" t="s">
        <v>190</v>
      </c>
      <c r="H170" s="6" t="str">
        <f t="shared" si="114"/>
        <v>专科</v>
      </c>
      <c r="I170" s="6" t="str">
        <f t="shared" ref="I170:I173" si="118">"2023-07-01"</f>
        <v>2023-07-01</v>
      </c>
      <c r="J170" s="6" t="str">
        <f>"漯河医学高等专科学校"</f>
        <v>漯河医学高等专科学校</v>
      </c>
      <c r="K170" s="6" t="str">
        <f>"临床医学（卓越医生教育培养计划）"</f>
        <v>临床医学（卓越医生教育培养计划）</v>
      </c>
    </row>
    <row r="171" ht="25" customHeight="1" spans="1:11">
      <c r="A171" s="4" t="s">
        <v>28</v>
      </c>
      <c r="B171" s="5">
        <v>169</v>
      </c>
      <c r="C171" s="6" t="s">
        <v>29</v>
      </c>
      <c r="D171" s="6" t="str">
        <f>"王紫阳"</f>
        <v>王紫阳</v>
      </c>
      <c r="E171" s="6" t="str">
        <f t="shared" si="117"/>
        <v>男</v>
      </c>
      <c r="F171" s="6" t="str">
        <f t="shared" si="80"/>
        <v>汉族</v>
      </c>
      <c r="G171" s="6" t="s">
        <v>191</v>
      </c>
      <c r="H171" s="6" t="str">
        <f t="shared" si="114"/>
        <v>专科</v>
      </c>
      <c r="I171" s="6" t="str">
        <f t="shared" si="118"/>
        <v>2023-07-01</v>
      </c>
      <c r="J171" s="6" t="str">
        <f>"商丘工学院"</f>
        <v>商丘工学院</v>
      </c>
      <c r="K171" s="6" t="str">
        <f>"医学检验技术"</f>
        <v>医学检验技术</v>
      </c>
    </row>
    <row r="172" ht="25" customHeight="1" spans="1:11">
      <c r="A172" s="4" t="s">
        <v>19</v>
      </c>
      <c r="B172" s="5">
        <v>170</v>
      </c>
      <c r="C172" s="6" t="s">
        <v>15</v>
      </c>
      <c r="D172" s="6" t="str">
        <f>"陈力铭"</f>
        <v>陈力铭</v>
      </c>
      <c r="E172" s="6" t="str">
        <f t="shared" si="117"/>
        <v>男</v>
      </c>
      <c r="F172" s="6" t="str">
        <f t="shared" si="80"/>
        <v>汉族</v>
      </c>
      <c r="G172" s="6" t="s">
        <v>192</v>
      </c>
      <c r="H172" s="6" t="str">
        <f t="shared" si="114"/>
        <v>专科</v>
      </c>
      <c r="I172" s="6" t="str">
        <f>"2021-06-01"</f>
        <v>2021-06-01</v>
      </c>
      <c r="J172" s="6" t="str">
        <f>"商丘医学高等专科学校"</f>
        <v>商丘医学高等专科学校</v>
      </c>
      <c r="K172" s="6" t="str">
        <f t="shared" ref="K172:K177" si="119">"临床医学"</f>
        <v>临床医学</v>
      </c>
    </row>
    <row r="173" ht="25" customHeight="1" spans="1:11">
      <c r="A173" s="4" t="s">
        <v>19</v>
      </c>
      <c r="B173" s="5">
        <v>171</v>
      </c>
      <c r="C173" s="6" t="s">
        <v>39</v>
      </c>
      <c r="D173" s="6" t="str">
        <f>"封志强"</f>
        <v>封志强</v>
      </c>
      <c r="E173" s="6" t="str">
        <f t="shared" si="117"/>
        <v>男</v>
      </c>
      <c r="F173" s="6" t="str">
        <f t="shared" si="80"/>
        <v>汉族</v>
      </c>
      <c r="G173" s="6" t="s">
        <v>193</v>
      </c>
      <c r="H173" s="6" t="str">
        <f t="shared" si="114"/>
        <v>专科</v>
      </c>
      <c r="I173" s="6" t="str">
        <f t="shared" si="118"/>
        <v>2023-07-01</v>
      </c>
      <c r="J173" s="6" t="str">
        <f>"濮阳医学高等专科学校"</f>
        <v>濮阳医学高等专科学校</v>
      </c>
      <c r="K173" s="6" t="str">
        <f t="shared" si="119"/>
        <v>临床医学</v>
      </c>
    </row>
    <row r="174" ht="25" customHeight="1" spans="1:11">
      <c r="A174" s="4" t="s">
        <v>22</v>
      </c>
      <c r="B174" s="5">
        <v>172</v>
      </c>
      <c r="C174" s="6" t="s">
        <v>23</v>
      </c>
      <c r="D174" s="6" t="str">
        <f>"常烽原"</f>
        <v>常烽原</v>
      </c>
      <c r="E174" s="6" t="str">
        <f t="shared" si="117"/>
        <v>男</v>
      </c>
      <c r="F174" s="6" t="str">
        <f t="shared" si="80"/>
        <v>汉族</v>
      </c>
      <c r="G174" s="6" t="s">
        <v>194</v>
      </c>
      <c r="H174" s="6" t="str">
        <f t="shared" si="114"/>
        <v>专科</v>
      </c>
      <c r="I174" s="6" t="str">
        <f>"2020-07-01"</f>
        <v>2020-07-01</v>
      </c>
      <c r="J174" s="6" t="str">
        <f>"信阳职业技术学院"</f>
        <v>信阳职业技术学院</v>
      </c>
      <c r="K174" s="6" t="str">
        <f>"医学影像技术"</f>
        <v>医学影像技术</v>
      </c>
    </row>
    <row r="175" ht="25" customHeight="1" spans="1:11">
      <c r="A175" s="4" t="s">
        <v>22</v>
      </c>
      <c r="B175" s="5">
        <v>173</v>
      </c>
      <c r="C175" s="6" t="s">
        <v>62</v>
      </c>
      <c r="D175" s="6" t="str">
        <f>"贺俊淇"</f>
        <v>贺俊淇</v>
      </c>
      <c r="E175" s="6" t="str">
        <f t="shared" si="117"/>
        <v>男</v>
      </c>
      <c r="F175" s="6" t="str">
        <f t="shared" si="80"/>
        <v>汉族</v>
      </c>
      <c r="G175" s="6" t="s">
        <v>195</v>
      </c>
      <c r="H175" s="6" t="str">
        <f t="shared" si="114"/>
        <v>专科</v>
      </c>
      <c r="I175" s="6" t="str">
        <f>"2023-08-01"</f>
        <v>2023-08-01</v>
      </c>
      <c r="J175" s="6" t="str">
        <f>"漯河医学高等专科学校"</f>
        <v>漯河医学高等专科学校</v>
      </c>
      <c r="K175" s="6" t="str">
        <f>"医学影像技术"</f>
        <v>医学影像技术</v>
      </c>
    </row>
    <row r="176" ht="25" customHeight="1" spans="1:11">
      <c r="A176" s="4" t="s">
        <v>19</v>
      </c>
      <c r="B176" s="5">
        <v>174</v>
      </c>
      <c r="C176" s="6" t="s">
        <v>39</v>
      </c>
      <c r="D176" s="6" t="str">
        <f>"郭霁昕"</f>
        <v>郭霁昕</v>
      </c>
      <c r="E176" s="6" t="str">
        <f t="shared" ref="E176:E180" si="120">"女"</f>
        <v>女</v>
      </c>
      <c r="F176" s="6" t="str">
        <f t="shared" si="80"/>
        <v>汉族</v>
      </c>
      <c r="G176" s="6" t="s">
        <v>196</v>
      </c>
      <c r="H176" s="6" t="str">
        <f t="shared" si="114"/>
        <v>专科</v>
      </c>
      <c r="I176" s="6" t="str">
        <f>"2023-07-01"</f>
        <v>2023-07-01</v>
      </c>
      <c r="J176" s="6" t="str">
        <f>"河南护理职业学院"</f>
        <v>河南护理职业学院</v>
      </c>
      <c r="K176" s="6" t="str">
        <f t="shared" si="119"/>
        <v>临床医学</v>
      </c>
    </row>
    <row r="177" ht="25" customHeight="1" spans="1:11">
      <c r="A177" s="4" t="s">
        <v>19</v>
      </c>
      <c r="B177" s="5">
        <v>175</v>
      </c>
      <c r="C177" s="6" t="s">
        <v>39</v>
      </c>
      <c r="D177" s="6" t="str">
        <f>"李乾瑞"</f>
        <v>李乾瑞</v>
      </c>
      <c r="E177" s="6" t="str">
        <f t="shared" ref="E177:E181" si="121">"男"</f>
        <v>男</v>
      </c>
      <c r="F177" s="6" t="str">
        <f t="shared" si="80"/>
        <v>汉族</v>
      </c>
      <c r="G177" s="6" t="s">
        <v>197</v>
      </c>
      <c r="H177" s="6" t="str">
        <f t="shared" si="114"/>
        <v>专科</v>
      </c>
      <c r="I177" s="6" t="str">
        <f>"2023-07-01"</f>
        <v>2023-07-01</v>
      </c>
      <c r="J177" s="6" t="str">
        <f>"南阳医学高等专科学校"</f>
        <v>南阳医学高等专科学校</v>
      </c>
      <c r="K177" s="6" t="str">
        <f t="shared" si="119"/>
        <v>临床医学</v>
      </c>
    </row>
    <row r="178" ht="25" customHeight="1" spans="1:11">
      <c r="A178" s="4" t="s">
        <v>50</v>
      </c>
      <c r="B178" s="5">
        <v>176</v>
      </c>
      <c r="C178" s="6" t="s">
        <v>51</v>
      </c>
      <c r="D178" s="6" t="str">
        <f>"徐慧琳"</f>
        <v>徐慧琳</v>
      </c>
      <c r="E178" s="6" t="str">
        <f t="shared" si="120"/>
        <v>女</v>
      </c>
      <c r="F178" s="6" t="str">
        <f t="shared" si="80"/>
        <v>汉族</v>
      </c>
      <c r="G178" s="6" t="s">
        <v>198</v>
      </c>
      <c r="H178" s="6" t="str">
        <f t="shared" si="114"/>
        <v>专科</v>
      </c>
      <c r="I178" s="6" t="str">
        <f>"2023-08-01"</f>
        <v>2023-08-01</v>
      </c>
      <c r="J178" s="6" t="str">
        <f>"平顶山学院"</f>
        <v>平顶山学院</v>
      </c>
      <c r="K178" s="6" t="str">
        <f>"口腔医学"</f>
        <v>口腔医学</v>
      </c>
    </row>
    <row r="179" ht="25" customHeight="1" spans="1:11">
      <c r="A179" s="4" t="s">
        <v>14</v>
      </c>
      <c r="B179" s="5">
        <v>177</v>
      </c>
      <c r="C179" s="6" t="s">
        <v>25</v>
      </c>
      <c r="D179" s="6" t="str">
        <f>"徐岢洋"</f>
        <v>徐岢洋</v>
      </c>
      <c r="E179" s="6" t="str">
        <f t="shared" si="121"/>
        <v>男</v>
      </c>
      <c r="F179" s="6" t="str">
        <f t="shared" si="80"/>
        <v>汉族</v>
      </c>
      <c r="G179" s="6" t="s">
        <v>199</v>
      </c>
      <c r="H179" s="6" t="str">
        <f t="shared" si="114"/>
        <v>专科</v>
      </c>
      <c r="I179" s="6" t="str">
        <f>"2020-07-01"</f>
        <v>2020-07-01</v>
      </c>
      <c r="J179" s="6" t="str">
        <f>"郑州澍青医学专科学校"</f>
        <v>郑州澍青医学专科学校</v>
      </c>
      <c r="K179" s="6" t="str">
        <f>"中医学"</f>
        <v>中医学</v>
      </c>
    </row>
    <row r="180" ht="25" customHeight="1" spans="1:11">
      <c r="A180" s="4" t="s">
        <v>50</v>
      </c>
      <c r="B180" s="5">
        <v>178</v>
      </c>
      <c r="C180" s="6" t="s">
        <v>39</v>
      </c>
      <c r="D180" s="6" t="str">
        <f>"喻璐"</f>
        <v>喻璐</v>
      </c>
      <c r="E180" s="6" t="str">
        <f t="shared" si="120"/>
        <v>女</v>
      </c>
      <c r="F180" s="6" t="str">
        <f t="shared" ref="F180:F186" si="122">"汉族"</f>
        <v>汉族</v>
      </c>
      <c r="G180" s="6" t="s">
        <v>200</v>
      </c>
      <c r="H180" s="6" t="str">
        <f t="shared" si="114"/>
        <v>专科</v>
      </c>
      <c r="I180" s="6" t="str">
        <f>"2023-06-30"</f>
        <v>2023-06-30</v>
      </c>
      <c r="J180" s="6" t="str">
        <f>"南阳医学高等专科学校"</f>
        <v>南阳医学高等专科学校</v>
      </c>
      <c r="K180" s="6" t="str">
        <f>"口腔医学"</f>
        <v>口腔医学</v>
      </c>
    </row>
    <row r="181" ht="25" customHeight="1" spans="1:11">
      <c r="A181" s="4" t="s">
        <v>19</v>
      </c>
      <c r="B181" s="5">
        <v>179</v>
      </c>
      <c r="C181" s="6" t="s">
        <v>201</v>
      </c>
      <c r="D181" s="6" t="str">
        <f>"赵恩基"</f>
        <v>赵恩基</v>
      </c>
      <c r="E181" s="6" t="str">
        <f t="shared" si="121"/>
        <v>男</v>
      </c>
      <c r="F181" s="6" t="str">
        <f t="shared" si="122"/>
        <v>汉族</v>
      </c>
      <c r="G181" s="6" t="s">
        <v>202</v>
      </c>
      <c r="H181" s="6" t="str">
        <f t="shared" si="114"/>
        <v>专科</v>
      </c>
      <c r="I181" s="6" t="str">
        <f>"2022-07-01"</f>
        <v>2022-07-01</v>
      </c>
      <c r="J181" s="6" t="str">
        <f>"信阳职业技术学院"</f>
        <v>信阳职业技术学院</v>
      </c>
      <c r="K181" s="6" t="str">
        <f>"临床医学"</f>
        <v>临床医学</v>
      </c>
    </row>
    <row r="182" ht="25" customHeight="1" spans="1:11">
      <c r="A182" s="4" t="s">
        <v>22</v>
      </c>
      <c r="B182" s="5">
        <v>180</v>
      </c>
      <c r="C182" s="6" t="s">
        <v>31</v>
      </c>
      <c r="D182" s="6" t="str">
        <f>"刘招娣"</f>
        <v>刘招娣</v>
      </c>
      <c r="E182" s="6" t="str">
        <f t="shared" ref="E182:E186" si="123">"女"</f>
        <v>女</v>
      </c>
      <c r="F182" s="6" t="str">
        <f t="shared" si="122"/>
        <v>汉族</v>
      </c>
      <c r="G182" s="6" t="s">
        <v>203</v>
      </c>
      <c r="H182" s="6" t="str">
        <f t="shared" ref="H182:H186" si="124">"本科"</f>
        <v>本科</v>
      </c>
      <c r="I182" s="6" t="str">
        <f>"2023-06-15"</f>
        <v>2023-06-15</v>
      </c>
      <c r="J182" s="6" t="str">
        <f>"黄河科技学院"</f>
        <v>黄河科技学院</v>
      </c>
      <c r="K182" s="6" t="str">
        <f t="shared" ref="K182:K187" si="125">"医学影像技术"</f>
        <v>医学影像技术</v>
      </c>
    </row>
    <row r="183" ht="25" customHeight="1" spans="1:11">
      <c r="A183" s="4" t="s">
        <v>28</v>
      </c>
      <c r="B183" s="5">
        <v>181</v>
      </c>
      <c r="C183" s="6" t="s">
        <v>31</v>
      </c>
      <c r="D183" s="6" t="str">
        <f>"樊慧男"</f>
        <v>樊慧男</v>
      </c>
      <c r="E183" s="6" t="str">
        <f t="shared" ref="E183:E187" si="126">"男"</f>
        <v>男</v>
      </c>
      <c r="F183" s="6" t="str">
        <f t="shared" si="122"/>
        <v>汉族</v>
      </c>
      <c r="G183" s="6" t="s">
        <v>204</v>
      </c>
      <c r="H183" s="6" t="str">
        <f t="shared" si="124"/>
        <v>本科</v>
      </c>
      <c r="I183" s="6" t="str">
        <f t="shared" ref="I183:I187" si="127">"2023-07-01"</f>
        <v>2023-07-01</v>
      </c>
      <c r="J183" s="6" t="str">
        <f>"河南科技大学"</f>
        <v>河南科技大学</v>
      </c>
      <c r="K183" s="6" t="str">
        <f>"医学检验技术"</f>
        <v>医学检验技术</v>
      </c>
    </row>
    <row r="184" ht="25" customHeight="1" spans="1:11">
      <c r="A184" s="4" t="s">
        <v>19</v>
      </c>
      <c r="B184" s="5">
        <v>182</v>
      </c>
      <c r="C184" s="6" t="s">
        <v>39</v>
      </c>
      <c r="D184" s="6" t="str">
        <f>"王德芝"</f>
        <v>王德芝</v>
      </c>
      <c r="E184" s="6" t="str">
        <f t="shared" si="123"/>
        <v>女</v>
      </c>
      <c r="F184" s="6" t="str">
        <f t="shared" si="122"/>
        <v>汉族</v>
      </c>
      <c r="G184" s="6" t="s">
        <v>205</v>
      </c>
      <c r="H184" s="6" t="str">
        <f t="shared" ref="H184:H190" si="128">"专科"</f>
        <v>专科</v>
      </c>
      <c r="I184" s="6" t="str">
        <f t="shared" si="127"/>
        <v>2023-07-01</v>
      </c>
      <c r="J184" s="6" t="str">
        <f>"南阳医学高等专科学校"</f>
        <v>南阳医学高等专科学校</v>
      </c>
      <c r="K184" s="6" t="str">
        <f>"临床医学"</f>
        <v>临床医学</v>
      </c>
    </row>
    <row r="185" ht="25" customHeight="1" spans="1:11">
      <c r="A185" s="4" t="s">
        <v>50</v>
      </c>
      <c r="B185" s="5">
        <v>183</v>
      </c>
      <c r="C185" s="6" t="s">
        <v>39</v>
      </c>
      <c r="D185" s="6" t="str">
        <f>"夏中浩"</f>
        <v>夏中浩</v>
      </c>
      <c r="E185" s="6" t="str">
        <f t="shared" si="126"/>
        <v>男</v>
      </c>
      <c r="F185" s="6" t="str">
        <f t="shared" si="122"/>
        <v>汉族</v>
      </c>
      <c r="G185" s="6" t="s">
        <v>206</v>
      </c>
      <c r="H185" s="6" t="str">
        <f t="shared" si="128"/>
        <v>专科</v>
      </c>
      <c r="I185" s="6" t="str">
        <f>"2022-07-01"</f>
        <v>2022-07-01</v>
      </c>
      <c r="J185" s="6" t="str">
        <f>"漯河医学高等专科学校"</f>
        <v>漯河医学高等专科学校</v>
      </c>
      <c r="K185" s="6" t="str">
        <f>"口腔医学"</f>
        <v>口腔医学</v>
      </c>
    </row>
    <row r="186" ht="25" customHeight="1" spans="1:11">
      <c r="A186" s="4" t="s">
        <v>22</v>
      </c>
      <c r="B186" s="5">
        <v>184</v>
      </c>
      <c r="C186" s="6" t="s">
        <v>31</v>
      </c>
      <c r="D186" s="6" t="str">
        <f>"龚晓濛"</f>
        <v>龚晓濛</v>
      </c>
      <c r="E186" s="6" t="str">
        <f t="shared" si="123"/>
        <v>女</v>
      </c>
      <c r="F186" s="6" t="str">
        <f t="shared" si="122"/>
        <v>汉族</v>
      </c>
      <c r="G186" s="6" t="s">
        <v>207</v>
      </c>
      <c r="H186" s="6" t="str">
        <f t="shared" si="124"/>
        <v>本科</v>
      </c>
      <c r="I186" s="6" t="str">
        <f t="shared" si="127"/>
        <v>2023-07-01</v>
      </c>
      <c r="J186" s="6" t="str">
        <f>"新乡医学院三全学院"</f>
        <v>新乡医学院三全学院</v>
      </c>
      <c r="K186" s="6" t="str">
        <f t="shared" si="125"/>
        <v>医学影像技术</v>
      </c>
    </row>
    <row r="187" ht="25" customHeight="1" spans="1:11">
      <c r="A187" s="4" t="s">
        <v>22</v>
      </c>
      <c r="B187" s="5">
        <v>185</v>
      </c>
      <c r="C187" s="6" t="s">
        <v>23</v>
      </c>
      <c r="D187" s="6" t="str">
        <f>"王松源"</f>
        <v>王松源</v>
      </c>
      <c r="E187" s="6" t="str">
        <f t="shared" si="126"/>
        <v>男</v>
      </c>
      <c r="F187" s="6" t="str">
        <f>"蒙古族"</f>
        <v>蒙古族</v>
      </c>
      <c r="G187" s="6" t="s">
        <v>208</v>
      </c>
      <c r="H187" s="6" t="str">
        <f t="shared" si="128"/>
        <v>专科</v>
      </c>
      <c r="I187" s="6" t="str">
        <f t="shared" si="127"/>
        <v>2023-07-01</v>
      </c>
      <c r="J187" s="6" t="str">
        <f>"开封大学"</f>
        <v>开封大学</v>
      </c>
      <c r="K187" s="6" t="str">
        <f t="shared" si="125"/>
        <v>医学影像技术</v>
      </c>
    </row>
    <row r="188" ht="25" customHeight="1" spans="1:11">
      <c r="A188" s="4" t="s">
        <v>19</v>
      </c>
      <c r="B188" s="5">
        <v>186</v>
      </c>
      <c r="C188" s="6" t="s">
        <v>51</v>
      </c>
      <c r="D188" s="6" t="str">
        <f>"王珊珊"</f>
        <v>王珊珊</v>
      </c>
      <c r="E188" s="6" t="str">
        <f t="shared" ref="E188:E191" si="129">"女"</f>
        <v>女</v>
      </c>
      <c r="F188" s="6" t="str">
        <f t="shared" ref="F188:F238" si="130">"汉族"</f>
        <v>汉族</v>
      </c>
      <c r="G188" s="6" t="s">
        <v>209</v>
      </c>
      <c r="H188" s="6" t="str">
        <f t="shared" si="128"/>
        <v>专科</v>
      </c>
      <c r="I188" s="6" t="str">
        <f t="shared" ref="I188:I193" si="131">"2021-07-01"</f>
        <v>2021-07-01</v>
      </c>
      <c r="J188" s="6" t="str">
        <f>"南阳医学高等专科学校"</f>
        <v>南阳医学高等专科学校</v>
      </c>
      <c r="K188" s="6" t="str">
        <f>"临床医学"</f>
        <v>临床医学</v>
      </c>
    </row>
    <row r="189" ht="25" customHeight="1" spans="1:11">
      <c r="A189" s="4" t="s">
        <v>28</v>
      </c>
      <c r="B189" s="5">
        <v>187</v>
      </c>
      <c r="C189" s="6" t="s">
        <v>29</v>
      </c>
      <c r="D189" s="6" t="str">
        <f>"董家琪"</f>
        <v>董家琪</v>
      </c>
      <c r="E189" s="6" t="str">
        <f>"男"</f>
        <v>男</v>
      </c>
      <c r="F189" s="6" t="str">
        <f t="shared" si="130"/>
        <v>汉族</v>
      </c>
      <c r="G189" s="6" t="s">
        <v>210</v>
      </c>
      <c r="H189" s="6" t="str">
        <f t="shared" si="128"/>
        <v>专科</v>
      </c>
      <c r="I189" s="6" t="str">
        <f>"2022-07-01"</f>
        <v>2022-07-01</v>
      </c>
      <c r="J189" s="6" t="str">
        <f>"信阳职业技术学院"</f>
        <v>信阳职业技术学院</v>
      </c>
      <c r="K189" s="6" t="str">
        <f>"医学检验技术"</f>
        <v>医学检验技术</v>
      </c>
    </row>
    <row r="190" ht="25" customHeight="1" spans="1:11">
      <c r="A190" s="4" t="s">
        <v>19</v>
      </c>
      <c r="B190" s="5">
        <v>188</v>
      </c>
      <c r="C190" s="6" t="s">
        <v>39</v>
      </c>
      <c r="D190" s="6" t="str">
        <f>"祁赟"</f>
        <v>祁赟</v>
      </c>
      <c r="E190" s="6" t="str">
        <f t="shared" si="129"/>
        <v>女</v>
      </c>
      <c r="F190" s="6" t="str">
        <f t="shared" si="130"/>
        <v>汉族</v>
      </c>
      <c r="G190" s="6" t="s">
        <v>211</v>
      </c>
      <c r="H190" s="6" t="str">
        <f t="shared" si="128"/>
        <v>专科</v>
      </c>
      <c r="I190" s="6" t="str">
        <f t="shared" si="131"/>
        <v>2021-07-01</v>
      </c>
      <c r="J190" s="6" t="str">
        <f>"漯河医学高等专科学校"</f>
        <v>漯河医学高等专科学校</v>
      </c>
      <c r="K190" s="6" t="str">
        <f>"临床医学"</f>
        <v>临床医学</v>
      </c>
    </row>
    <row r="191" ht="25" customHeight="1" spans="1:11">
      <c r="A191" s="4" t="s">
        <v>22</v>
      </c>
      <c r="B191" s="5">
        <v>189</v>
      </c>
      <c r="C191" s="6" t="s">
        <v>31</v>
      </c>
      <c r="D191" s="6" t="str">
        <f>"岳文珂"</f>
        <v>岳文珂</v>
      </c>
      <c r="E191" s="6" t="str">
        <f t="shared" si="129"/>
        <v>女</v>
      </c>
      <c r="F191" s="6" t="str">
        <f t="shared" si="130"/>
        <v>汉族</v>
      </c>
      <c r="G191" s="6" t="s">
        <v>212</v>
      </c>
      <c r="H191" s="6" t="str">
        <f>"本科"</f>
        <v>本科</v>
      </c>
      <c r="I191" s="6" t="str">
        <f>"2020-07-01"</f>
        <v>2020-07-01</v>
      </c>
      <c r="J191" s="6" t="str">
        <f>"新乡医学院三全学院"</f>
        <v>新乡医学院三全学院</v>
      </c>
      <c r="K191" s="6" t="str">
        <f>"医学影像技术"</f>
        <v>医学影像技术</v>
      </c>
    </row>
    <row r="192" ht="25" customHeight="1" spans="1:11">
      <c r="A192" s="4" t="s">
        <v>22</v>
      </c>
      <c r="B192" s="5">
        <v>190</v>
      </c>
      <c r="C192" s="6" t="s">
        <v>23</v>
      </c>
      <c r="D192" s="6" t="str">
        <f>"党政军"</f>
        <v>党政军</v>
      </c>
      <c r="E192" s="6" t="str">
        <f>"男"</f>
        <v>男</v>
      </c>
      <c r="F192" s="6" t="str">
        <f t="shared" si="130"/>
        <v>汉族</v>
      </c>
      <c r="G192" s="6" t="s">
        <v>213</v>
      </c>
      <c r="H192" s="6" t="str">
        <f t="shared" ref="H192:H194" si="132">"专科"</f>
        <v>专科</v>
      </c>
      <c r="I192" s="6" t="str">
        <f t="shared" si="131"/>
        <v>2021-07-01</v>
      </c>
      <c r="J192" s="6" t="str">
        <f>"河南科技职业大学"</f>
        <v>河南科技职业大学</v>
      </c>
      <c r="K192" s="6" t="str">
        <f>"医学影像技术"</f>
        <v>医学影像技术</v>
      </c>
    </row>
    <row r="193" ht="25" customHeight="1" spans="1:11">
      <c r="A193" s="4" t="s">
        <v>50</v>
      </c>
      <c r="B193" s="5">
        <v>191</v>
      </c>
      <c r="C193" s="6" t="s">
        <v>12</v>
      </c>
      <c r="D193" s="6" t="str">
        <f>"张珍"</f>
        <v>张珍</v>
      </c>
      <c r="E193" s="6" t="str">
        <f t="shared" ref="E193:E196" si="133">"女"</f>
        <v>女</v>
      </c>
      <c r="F193" s="6" t="str">
        <f t="shared" si="130"/>
        <v>汉族</v>
      </c>
      <c r="G193" s="6" t="s">
        <v>214</v>
      </c>
      <c r="H193" s="6" t="str">
        <f t="shared" si="132"/>
        <v>专科</v>
      </c>
      <c r="I193" s="6" t="str">
        <f t="shared" si="131"/>
        <v>2021-07-01</v>
      </c>
      <c r="J193" s="6" t="str">
        <f>"南阳医学高等专科学校"</f>
        <v>南阳医学高等专科学校</v>
      </c>
      <c r="K193" s="6" t="str">
        <f>"口腔医学"</f>
        <v>口腔医学</v>
      </c>
    </row>
    <row r="194" ht="25" customHeight="1" spans="1:11">
      <c r="A194" s="4" t="s">
        <v>19</v>
      </c>
      <c r="B194" s="5">
        <v>192</v>
      </c>
      <c r="C194" s="6" t="s">
        <v>39</v>
      </c>
      <c r="D194" s="6" t="str">
        <f>"胡楠楠"</f>
        <v>胡楠楠</v>
      </c>
      <c r="E194" s="6" t="str">
        <f t="shared" si="133"/>
        <v>女</v>
      </c>
      <c r="F194" s="6" t="str">
        <f t="shared" si="130"/>
        <v>汉族</v>
      </c>
      <c r="G194" s="6" t="s">
        <v>215</v>
      </c>
      <c r="H194" s="6" t="str">
        <f t="shared" si="132"/>
        <v>专科</v>
      </c>
      <c r="I194" s="6" t="str">
        <f>"2023-07-01"</f>
        <v>2023-07-01</v>
      </c>
      <c r="J194" s="6" t="str">
        <f>"河南医学高等专科学校"</f>
        <v>河南医学高等专科学校</v>
      </c>
      <c r="K194" s="6" t="str">
        <f t="shared" ref="K194:K199" si="134">"临床医学"</f>
        <v>临床医学</v>
      </c>
    </row>
    <row r="195" ht="25" customHeight="1" spans="1:11">
      <c r="A195" s="4" t="s">
        <v>28</v>
      </c>
      <c r="B195" s="5">
        <v>193</v>
      </c>
      <c r="C195" s="6" t="s">
        <v>31</v>
      </c>
      <c r="D195" s="6" t="str">
        <f>"谢付蕊"</f>
        <v>谢付蕊</v>
      </c>
      <c r="E195" s="6" t="str">
        <f t="shared" si="133"/>
        <v>女</v>
      </c>
      <c r="F195" s="6" t="str">
        <f t="shared" si="130"/>
        <v>汉族</v>
      </c>
      <c r="G195" s="6" t="s">
        <v>216</v>
      </c>
      <c r="H195" s="6" t="str">
        <f t="shared" ref="H195:H198" si="135">"本科"</f>
        <v>本科</v>
      </c>
      <c r="I195" s="6" t="str">
        <f>"2020-07-01"</f>
        <v>2020-07-01</v>
      </c>
      <c r="J195" s="6" t="str">
        <f>"新乡医学院"</f>
        <v>新乡医学院</v>
      </c>
      <c r="K195" s="6" t="str">
        <f>"医学检验技术"</f>
        <v>医学检验技术</v>
      </c>
    </row>
    <row r="196" ht="25" customHeight="1" spans="1:11">
      <c r="A196" s="4" t="s">
        <v>19</v>
      </c>
      <c r="B196" s="5">
        <v>194</v>
      </c>
      <c r="C196" s="6" t="s">
        <v>71</v>
      </c>
      <c r="D196" s="6" t="str">
        <f>"谭静"</f>
        <v>谭静</v>
      </c>
      <c r="E196" s="6" t="str">
        <f t="shared" si="133"/>
        <v>女</v>
      </c>
      <c r="F196" s="6" t="str">
        <f t="shared" si="130"/>
        <v>汉族</v>
      </c>
      <c r="G196" s="6" t="s">
        <v>217</v>
      </c>
      <c r="H196" s="6" t="str">
        <f>"专科"</f>
        <v>专科</v>
      </c>
      <c r="I196" s="6" t="str">
        <f>"2018-07-01"</f>
        <v>2018-07-01</v>
      </c>
      <c r="J196" s="6" t="str">
        <f>"郑州澍青医学高等专科学校"</f>
        <v>郑州澍青医学高等专科学校</v>
      </c>
      <c r="K196" s="6" t="str">
        <f t="shared" si="134"/>
        <v>临床医学</v>
      </c>
    </row>
    <row r="197" ht="25" customHeight="1" spans="1:11">
      <c r="A197" s="4" t="s">
        <v>19</v>
      </c>
      <c r="B197" s="5">
        <v>195</v>
      </c>
      <c r="C197" s="6" t="s">
        <v>31</v>
      </c>
      <c r="D197" s="6" t="str">
        <f>"张亚栋"</f>
        <v>张亚栋</v>
      </c>
      <c r="E197" s="6" t="str">
        <f>"男"</f>
        <v>男</v>
      </c>
      <c r="F197" s="6" t="str">
        <f t="shared" si="130"/>
        <v>汉族</v>
      </c>
      <c r="G197" s="6" t="s">
        <v>218</v>
      </c>
      <c r="H197" s="6" t="str">
        <f t="shared" si="135"/>
        <v>本科</v>
      </c>
      <c r="I197" s="6" t="str">
        <f>"2022-07-01"</f>
        <v>2022-07-01</v>
      </c>
      <c r="J197" s="6" t="str">
        <f>"黄河科技学院"</f>
        <v>黄河科技学院</v>
      </c>
      <c r="K197" s="6" t="str">
        <f t="shared" si="134"/>
        <v>临床医学</v>
      </c>
    </row>
    <row r="198" ht="25" customHeight="1" spans="1:11">
      <c r="A198" s="4" t="s">
        <v>19</v>
      </c>
      <c r="B198" s="5">
        <v>196</v>
      </c>
      <c r="C198" s="6" t="s">
        <v>31</v>
      </c>
      <c r="D198" s="6" t="str">
        <f>"周明"</f>
        <v>周明</v>
      </c>
      <c r="E198" s="6" t="str">
        <f t="shared" ref="E198:E204" si="136">"女"</f>
        <v>女</v>
      </c>
      <c r="F198" s="6" t="str">
        <f t="shared" si="130"/>
        <v>汉族</v>
      </c>
      <c r="G198" s="6" t="s">
        <v>219</v>
      </c>
      <c r="H198" s="6" t="str">
        <f t="shared" si="135"/>
        <v>本科</v>
      </c>
      <c r="I198" s="6" t="str">
        <f>"2020-07-01"</f>
        <v>2020-07-01</v>
      </c>
      <c r="J198" s="6" t="str">
        <f>"新乡医学院三全学院"</f>
        <v>新乡医学院三全学院</v>
      </c>
      <c r="K198" s="6" t="str">
        <f t="shared" si="134"/>
        <v>临床医学</v>
      </c>
    </row>
    <row r="199" ht="25" customHeight="1" spans="1:11">
      <c r="A199" s="4" t="s">
        <v>19</v>
      </c>
      <c r="B199" s="5">
        <v>197</v>
      </c>
      <c r="C199" s="6" t="s">
        <v>20</v>
      </c>
      <c r="D199" s="6" t="str">
        <f>"苏晓翠"</f>
        <v>苏晓翠</v>
      </c>
      <c r="E199" s="6" t="str">
        <f t="shared" si="136"/>
        <v>女</v>
      </c>
      <c r="F199" s="6" t="str">
        <f t="shared" si="130"/>
        <v>汉族</v>
      </c>
      <c r="G199" s="6" t="s">
        <v>220</v>
      </c>
      <c r="H199" s="6" t="str">
        <f t="shared" ref="H199:H203" si="137">"专科"</f>
        <v>专科</v>
      </c>
      <c r="I199" s="6" t="str">
        <f>"2021-07-01"</f>
        <v>2021-07-01</v>
      </c>
      <c r="J199" s="6" t="str">
        <f>"漯河医学高等专科学校"</f>
        <v>漯河医学高等专科学校</v>
      </c>
      <c r="K199" s="6" t="str">
        <f t="shared" si="134"/>
        <v>临床医学</v>
      </c>
    </row>
    <row r="200" ht="25" customHeight="1" spans="1:11">
      <c r="A200" s="4" t="s">
        <v>22</v>
      </c>
      <c r="B200" s="5">
        <v>198</v>
      </c>
      <c r="C200" s="6" t="s">
        <v>23</v>
      </c>
      <c r="D200" s="6" t="str">
        <f>"郑媛媛"</f>
        <v>郑媛媛</v>
      </c>
      <c r="E200" s="6" t="str">
        <f t="shared" si="136"/>
        <v>女</v>
      </c>
      <c r="F200" s="6" t="str">
        <f t="shared" si="130"/>
        <v>汉族</v>
      </c>
      <c r="G200" s="6" t="s">
        <v>221</v>
      </c>
      <c r="H200" s="6" t="str">
        <f t="shared" ref="H200:H204" si="138">"本科"</f>
        <v>本科</v>
      </c>
      <c r="I200" s="6" t="str">
        <f t="shared" ref="I200:I205" si="139">"2023-07-01"</f>
        <v>2023-07-01</v>
      </c>
      <c r="J200" s="6" t="str">
        <f>"新乡医学院"</f>
        <v>新乡医学院</v>
      </c>
      <c r="K200" s="6" t="str">
        <f>"医学影像技术"</f>
        <v>医学影像技术</v>
      </c>
    </row>
    <row r="201" ht="25" customHeight="1" spans="1:11">
      <c r="A201" s="4" t="s">
        <v>19</v>
      </c>
      <c r="B201" s="5">
        <v>199</v>
      </c>
      <c r="C201" s="6" t="s">
        <v>31</v>
      </c>
      <c r="D201" s="6" t="str">
        <f>"陈家乐"</f>
        <v>陈家乐</v>
      </c>
      <c r="E201" s="6" t="str">
        <f t="shared" si="136"/>
        <v>女</v>
      </c>
      <c r="F201" s="6" t="str">
        <f t="shared" si="130"/>
        <v>汉族</v>
      </c>
      <c r="G201" s="6" t="s">
        <v>222</v>
      </c>
      <c r="H201" s="6" t="str">
        <f t="shared" si="138"/>
        <v>本科</v>
      </c>
      <c r="I201" s="6" t="str">
        <f>"2020-07-01"</f>
        <v>2020-07-01</v>
      </c>
      <c r="J201" s="6" t="str">
        <f t="shared" ref="J201:J206" si="140">"新乡医学院三全学院"</f>
        <v>新乡医学院三全学院</v>
      </c>
      <c r="K201" s="6" t="str">
        <f>"临床医学"</f>
        <v>临床医学</v>
      </c>
    </row>
    <row r="202" ht="25" customHeight="1" spans="1:11">
      <c r="A202" s="4" t="s">
        <v>28</v>
      </c>
      <c r="B202" s="5">
        <v>200</v>
      </c>
      <c r="C202" s="6" t="s">
        <v>29</v>
      </c>
      <c r="D202" s="6" t="str">
        <f>"史学杏"</f>
        <v>史学杏</v>
      </c>
      <c r="E202" s="6" t="str">
        <f t="shared" si="136"/>
        <v>女</v>
      </c>
      <c r="F202" s="6" t="str">
        <f t="shared" si="130"/>
        <v>汉族</v>
      </c>
      <c r="G202" s="6" t="s">
        <v>223</v>
      </c>
      <c r="H202" s="6" t="str">
        <f t="shared" si="137"/>
        <v>专科</v>
      </c>
      <c r="I202" s="6" t="str">
        <f>"2022-07-01"</f>
        <v>2022-07-01</v>
      </c>
      <c r="J202" s="6" t="str">
        <f>"河南医学高等专科学校"</f>
        <v>河南医学高等专科学校</v>
      </c>
      <c r="K202" s="6" t="str">
        <f t="shared" ref="K202:K205" si="141">"医学检验技术"</f>
        <v>医学检验技术</v>
      </c>
    </row>
    <row r="203" ht="25" customHeight="1" spans="1:11">
      <c r="A203" s="4" t="s">
        <v>22</v>
      </c>
      <c r="B203" s="5">
        <v>201</v>
      </c>
      <c r="C203" s="6" t="s">
        <v>62</v>
      </c>
      <c r="D203" s="6" t="str">
        <f>"张淼"</f>
        <v>张淼</v>
      </c>
      <c r="E203" s="6" t="str">
        <f t="shared" si="136"/>
        <v>女</v>
      </c>
      <c r="F203" s="6" t="str">
        <f t="shared" si="130"/>
        <v>汉族</v>
      </c>
      <c r="G203" s="6" t="s">
        <v>224</v>
      </c>
      <c r="H203" s="6" t="str">
        <f t="shared" si="137"/>
        <v>专科</v>
      </c>
      <c r="I203" s="6" t="str">
        <f t="shared" si="139"/>
        <v>2023-07-01</v>
      </c>
      <c r="J203" s="6" t="str">
        <f>"河南医学高等专科学校"</f>
        <v>河南医学高等专科学校</v>
      </c>
      <c r="K203" s="6" t="str">
        <f t="shared" ref="K203:K208" si="142">"医学影像技术"</f>
        <v>医学影像技术</v>
      </c>
    </row>
    <row r="204" ht="25" customHeight="1" spans="1:11">
      <c r="A204" s="4" t="s">
        <v>28</v>
      </c>
      <c r="B204" s="5">
        <v>202</v>
      </c>
      <c r="C204" s="6" t="s">
        <v>31</v>
      </c>
      <c r="D204" s="6" t="str">
        <f>"张傲青"</f>
        <v>张傲青</v>
      </c>
      <c r="E204" s="6" t="str">
        <f t="shared" si="136"/>
        <v>女</v>
      </c>
      <c r="F204" s="6" t="str">
        <f t="shared" si="130"/>
        <v>汉族</v>
      </c>
      <c r="G204" s="6" t="s">
        <v>225</v>
      </c>
      <c r="H204" s="6" t="str">
        <f t="shared" si="138"/>
        <v>本科</v>
      </c>
      <c r="I204" s="6" t="str">
        <f>"2023-06-24"</f>
        <v>2023-06-24</v>
      </c>
      <c r="J204" s="6" t="str">
        <f t="shared" si="140"/>
        <v>新乡医学院三全学院</v>
      </c>
      <c r="K204" s="6" t="str">
        <f t="shared" si="141"/>
        <v>医学检验技术</v>
      </c>
    </row>
    <row r="205" ht="25" customHeight="1" spans="1:11">
      <c r="A205" s="4" t="s">
        <v>28</v>
      </c>
      <c r="B205" s="5">
        <v>203</v>
      </c>
      <c r="C205" s="6" t="s">
        <v>29</v>
      </c>
      <c r="D205" s="6" t="str">
        <f>"王一帆"</f>
        <v>王一帆</v>
      </c>
      <c r="E205" s="6" t="str">
        <f t="shared" ref="E205:E209" si="143">"男"</f>
        <v>男</v>
      </c>
      <c r="F205" s="6" t="str">
        <f t="shared" si="130"/>
        <v>汉族</v>
      </c>
      <c r="G205" s="6" t="s">
        <v>226</v>
      </c>
      <c r="H205" s="6" t="str">
        <f t="shared" ref="H205:H209" si="144">"专科"</f>
        <v>专科</v>
      </c>
      <c r="I205" s="6" t="str">
        <f t="shared" si="139"/>
        <v>2023-07-01</v>
      </c>
      <c r="J205" s="6" t="str">
        <f>"信阳职业技术学院"</f>
        <v>信阳职业技术学院</v>
      </c>
      <c r="K205" s="6" t="str">
        <f t="shared" si="141"/>
        <v>医学检验技术</v>
      </c>
    </row>
    <row r="206" ht="25" customHeight="1" spans="1:11">
      <c r="A206" s="4" t="s">
        <v>22</v>
      </c>
      <c r="B206" s="5">
        <v>204</v>
      </c>
      <c r="C206" s="6" t="s">
        <v>31</v>
      </c>
      <c r="D206" s="6" t="str">
        <f>"魏新蕾"</f>
        <v>魏新蕾</v>
      </c>
      <c r="E206" s="6" t="str">
        <f t="shared" ref="E206:E210" si="145">"女"</f>
        <v>女</v>
      </c>
      <c r="F206" s="6" t="str">
        <f t="shared" si="130"/>
        <v>汉族</v>
      </c>
      <c r="G206" s="6" t="s">
        <v>227</v>
      </c>
      <c r="H206" s="6" t="str">
        <f>"本科"</f>
        <v>本科</v>
      </c>
      <c r="I206" s="6" t="str">
        <f>"2023-07-21"</f>
        <v>2023-07-21</v>
      </c>
      <c r="J206" s="6" t="str">
        <f t="shared" si="140"/>
        <v>新乡医学院三全学院</v>
      </c>
      <c r="K206" s="6" t="str">
        <f t="shared" si="142"/>
        <v>医学影像技术</v>
      </c>
    </row>
    <row r="207" ht="25" customHeight="1" spans="1:11">
      <c r="A207" s="4" t="s">
        <v>22</v>
      </c>
      <c r="B207" s="5">
        <v>205</v>
      </c>
      <c r="C207" s="6" t="s">
        <v>62</v>
      </c>
      <c r="D207" s="6" t="str">
        <f>"冯娇"</f>
        <v>冯娇</v>
      </c>
      <c r="E207" s="6" t="str">
        <f t="shared" si="145"/>
        <v>女</v>
      </c>
      <c r="F207" s="6" t="str">
        <f t="shared" si="130"/>
        <v>汉族</v>
      </c>
      <c r="G207" s="6" t="s">
        <v>228</v>
      </c>
      <c r="H207" s="6" t="str">
        <f t="shared" si="144"/>
        <v>专科</v>
      </c>
      <c r="I207" s="6" t="str">
        <f t="shared" ref="I207:I211" si="146">"2023-07-01"</f>
        <v>2023-07-01</v>
      </c>
      <c r="J207" s="6" t="str">
        <f>"濮阳医学高等专科学校"</f>
        <v>濮阳医学高等专科学校</v>
      </c>
      <c r="K207" s="6" t="str">
        <f t="shared" si="142"/>
        <v>医学影像技术</v>
      </c>
    </row>
    <row r="208" ht="25" customHeight="1" spans="1:11">
      <c r="A208" s="4" t="s">
        <v>22</v>
      </c>
      <c r="B208" s="5">
        <v>206</v>
      </c>
      <c r="C208" s="6" t="s">
        <v>23</v>
      </c>
      <c r="D208" s="6" t="str">
        <f>"杨元基"</f>
        <v>杨元基</v>
      </c>
      <c r="E208" s="6" t="str">
        <f t="shared" si="143"/>
        <v>男</v>
      </c>
      <c r="F208" s="6" t="str">
        <f t="shared" si="130"/>
        <v>汉族</v>
      </c>
      <c r="G208" s="6" t="s">
        <v>229</v>
      </c>
      <c r="H208" s="6" t="str">
        <f t="shared" si="144"/>
        <v>专科</v>
      </c>
      <c r="I208" s="6" t="str">
        <f t="shared" si="146"/>
        <v>2023-07-01</v>
      </c>
      <c r="J208" s="6" t="str">
        <f>"郑州澍青医学高等专科学校"</f>
        <v>郑州澍青医学高等专科学校</v>
      </c>
      <c r="K208" s="6" t="str">
        <f t="shared" si="142"/>
        <v>医学影像技术</v>
      </c>
    </row>
    <row r="209" ht="25" customHeight="1" spans="1:11">
      <c r="A209" s="4" t="s">
        <v>11</v>
      </c>
      <c r="B209" s="5">
        <v>207</v>
      </c>
      <c r="C209" s="6" t="s">
        <v>17</v>
      </c>
      <c r="D209" s="6" t="str">
        <f>"郭长青"</f>
        <v>郭长青</v>
      </c>
      <c r="E209" s="6" t="str">
        <f t="shared" si="143"/>
        <v>男</v>
      </c>
      <c r="F209" s="6" t="str">
        <f t="shared" si="130"/>
        <v>汉族</v>
      </c>
      <c r="G209" s="6" t="s">
        <v>230</v>
      </c>
      <c r="H209" s="6" t="str">
        <f t="shared" si="144"/>
        <v>专科</v>
      </c>
      <c r="I209" s="6" t="str">
        <f>"2023-07-07"</f>
        <v>2023-07-07</v>
      </c>
      <c r="J209" s="6" t="str">
        <f>"商丘工学院"</f>
        <v>商丘工学院</v>
      </c>
      <c r="K209" s="6" t="str">
        <f>"康复治疗技术"</f>
        <v>康复治疗技术</v>
      </c>
    </row>
    <row r="210" ht="25" customHeight="1" spans="1:11">
      <c r="A210" s="4" t="s">
        <v>28</v>
      </c>
      <c r="B210" s="5">
        <v>208</v>
      </c>
      <c r="C210" s="6" t="s">
        <v>31</v>
      </c>
      <c r="D210" s="6" t="str">
        <f>"李梦超"</f>
        <v>李梦超</v>
      </c>
      <c r="E210" s="6" t="str">
        <f t="shared" si="145"/>
        <v>女</v>
      </c>
      <c r="F210" s="6" t="str">
        <f t="shared" si="130"/>
        <v>汉族</v>
      </c>
      <c r="G210" s="6" t="s">
        <v>231</v>
      </c>
      <c r="H210" s="6" t="str">
        <f>"本科"</f>
        <v>本科</v>
      </c>
      <c r="I210" s="6" t="str">
        <f>"2022-07-01"</f>
        <v>2022-07-01</v>
      </c>
      <c r="J210" s="6" t="str">
        <f>"山西医科大学汾阳学院"</f>
        <v>山西医科大学汾阳学院</v>
      </c>
      <c r="K210" s="6" t="str">
        <f>"医学检验技术"</f>
        <v>医学检验技术</v>
      </c>
    </row>
    <row r="211" ht="25" customHeight="1" spans="1:11">
      <c r="A211" s="4" t="s">
        <v>19</v>
      </c>
      <c r="B211" s="5">
        <v>209</v>
      </c>
      <c r="C211" s="6" t="s">
        <v>201</v>
      </c>
      <c r="D211" s="6" t="str">
        <f>"王世搏"</f>
        <v>王世搏</v>
      </c>
      <c r="E211" s="6" t="str">
        <f t="shared" ref="E211:E215" si="147">"男"</f>
        <v>男</v>
      </c>
      <c r="F211" s="6" t="str">
        <f t="shared" si="130"/>
        <v>汉族</v>
      </c>
      <c r="G211" s="6" t="s">
        <v>232</v>
      </c>
      <c r="H211" s="6" t="str">
        <f t="shared" ref="H211:H223" si="148">"专科"</f>
        <v>专科</v>
      </c>
      <c r="I211" s="6" t="str">
        <f t="shared" si="146"/>
        <v>2023-07-01</v>
      </c>
      <c r="J211" s="6" t="str">
        <f>"信阳职业技术学院"</f>
        <v>信阳职业技术学院</v>
      </c>
      <c r="K211" s="6" t="str">
        <f>"临床医学"</f>
        <v>临床医学</v>
      </c>
    </row>
    <row r="212" ht="25" customHeight="1" spans="1:11">
      <c r="A212" s="4" t="s">
        <v>19</v>
      </c>
      <c r="B212" s="5">
        <v>210</v>
      </c>
      <c r="C212" s="6" t="s">
        <v>233</v>
      </c>
      <c r="D212" s="6" t="str">
        <f>"刘璐"</f>
        <v>刘璐</v>
      </c>
      <c r="E212" s="6" t="str">
        <f t="shared" ref="E212:E219" si="149">"女"</f>
        <v>女</v>
      </c>
      <c r="F212" s="6" t="str">
        <f t="shared" si="130"/>
        <v>汉族</v>
      </c>
      <c r="G212" s="6" t="s">
        <v>234</v>
      </c>
      <c r="H212" s="6" t="str">
        <f t="shared" si="148"/>
        <v>专科</v>
      </c>
      <c r="I212" s="6" t="str">
        <f>"2021-07-01"</f>
        <v>2021-07-01</v>
      </c>
      <c r="J212" s="6" t="str">
        <f>"河南医学高等专科学校"</f>
        <v>河南医学高等专科学校</v>
      </c>
      <c r="K212" s="6" t="str">
        <f>"临床医学"</f>
        <v>临床医学</v>
      </c>
    </row>
    <row r="213" ht="25" customHeight="1" spans="1:11">
      <c r="A213" s="4" t="s">
        <v>14</v>
      </c>
      <c r="B213" s="5">
        <v>211</v>
      </c>
      <c r="C213" s="6" t="s">
        <v>233</v>
      </c>
      <c r="D213" s="6" t="str">
        <f>"王杰"</f>
        <v>王杰</v>
      </c>
      <c r="E213" s="6" t="str">
        <f t="shared" si="147"/>
        <v>男</v>
      </c>
      <c r="F213" s="6" t="str">
        <f t="shared" si="130"/>
        <v>汉族</v>
      </c>
      <c r="G213" s="6" t="s">
        <v>235</v>
      </c>
      <c r="H213" s="6" t="str">
        <f t="shared" si="148"/>
        <v>专科</v>
      </c>
      <c r="I213" s="6" t="str">
        <f>"2023-07-01"</f>
        <v>2023-07-01</v>
      </c>
      <c r="J213" s="6" t="str">
        <f t="shared" ref="J213:J216" si="150">"南阳医学高等专科学校"</f>
        <v>南阳医学高等专科学校</v>
      </c>
      <c r="K213" s="6" t="str">
        <f>"中医学"</f>
        <v>中医学</v>
      </c>
    </row>
    <row r="214" ht="25" customHeight="1" spans="1:11">
      <c r="A214" s="4" t="s">
        <v>50</v>
      </c>
      <c r="B214" s="5">
        <v>212</v>
      </c>
      <c r="C214" s="6" t="s">
        <v>46</v>
      </c>
      <c r="D214" s="6" t="str">
        <f>"杨高远"</f>
        <v>杨高远</v>
      </c>
      <c r="E214" s="6" t="str">
        <f t="shared" si="147"/>
        <v>男</v>
      </c>
      <c r="F214" s="6" t="str">
        <f t="shared" si="130"/>
        <v>汉族</v>
      </c>
      <c r="G214" s="6" t="s">
        <v>236</v>
      </c>
      <c r="H214" s="6" t="str">
        <f t="shared" si="148"/>
        <v>专科</v>
      </c>
      <c r="I214" s="6" t="str">
        <f>"2023-07-01"</f>
        <v>2023-07-01</v>
      </c>
      <c r="J214" s="6" t="str">
        <f t="shared" si="150"/>
        <v>南阳医学高等专科学校</v>
      </c>
      <c r="K214" s="6" t="str">
        <f t="shared" ref="K214:K217" si="151">"口腔医学"</f>
        <v>口腔医学</v>
      </c>
    </row>
    <row r="215" ht="25" customHeight="1" spans="1:11">
      <c r="A215" s="4" t="s">
        <v>28</v>
      </c>
      <c r="B215" s="5">
        <v>213</v>
      </c>
      <c r="C215" s="6" t="s">
        <v>29</v>
      </c>
      <c r="D215" s="6" t="str">
        <f>"苟世隆"</f>
        <v>苟世隆</v>
      </c>
      <c r="E215" s="6" t="str">
        <f t="shared" si="147"/>
        <v>男</v>
      </c>
      <c r="F215" s="6" t="str">
        <f t="shared" si="130"/>
        <v>汉族</v>
      </c>
      <c r="G215" s="6" t="s">
        <v>237</v>
      </c>
      <c r="H215" s="6" t="str">
        <f t="shared" si="148"/>
        <v>专科</v>
      </c>
      <c r="I215" s="6" t="str">
        <f t="shared" ref="I215:I221" si="152">"2022-07-01"</f>
        <v>2022-07-01</v>
      </c>
      <c r="J215" s="6" t="str">
        <f t="shared" ref="J215:J220" si="153">"河南科技职业大学"</f>
        <v>河南科技职业大学</v>
      </c>
      <c r="K215" s="6" t="str">
        <f>"医学检验技术"</f>
        <v>医学检验技术</v>
      </c>
    </row>
    <row r="216" ht="25" customHeight="1" spans="1:11">
      <c r="A216" s="4" t="s">
        <v>50</v>
      </c>
      <c r="B216" s="5">
        <v>214</v>
      </c>
      <c r="C216" s="6" t="s">
        <v>46</v>
      </c>
      <c r="D216" s="6" t="str">
        <f>"徐泓毓"</f>
        <v>徐泓毓</v>
      </c>
      <c r="E216" s="6" t="str">
        <f t="shared" si="149"/>
        <v>女</v>
      </c>
      <c r="F216" s="6" t="str">
        <f t="shared" si="130"/>
        <v>汉族</v>
      </c>
      <c r="G216" s="6" t="s">
        <v>238</v>
      </c>
      <c r="H216" s="6" t="str">
        <f t="shared" si="148"/>
        <v>专科</v>
      </c>
      <c r="I216" s="6" t="str">
        <f>"2023-06-30"</f>
        <v>2023-06-30</v>
      </c>
      <c r="J216" s="6" t="str">
        <f t="shared" si="150"/>
        <v>南阳医学高等专科学校</v>
      </c>
      <c r="K216" s="6" t="str">
        <f t="shared" si="151"/>
        <v>口腔医学</v>
      </c>
    </row>
    <row r="217" ht="25" customHeight="1" spans="1:11">
      <c r="A217" s="4" t="s">
        <v>50</v>
      </c>
      <c r="B217" s="5">
        <v>215</v>
      </c>
      <c r="C217" s="6" t="s">
        <v>12</v>
      </c>
      <c r="D217" s="6" t="str">
        <f>"杨楠"</f>
        <v>杨楠</v>
      </c>
      <c r="E217" s="6" t="str">
        <f t="shared" si="149"/>
        <v>女</v>
      </c>
      <c r="F217" s="6" t="str">
        <f t="shared" si="130"/>
        <v>汉族</v>
      </c>
      <c r="G217" s="6" t="s">
        <v>239</v>
      </c>
      <c r="H217" s="6" t="str">
        <f t="shared" si="148"/>
        <v>专科</v>
      </c>
      <c r="I217" s="6" t="str">
        <f>"2021-07-01"</f>
        <v>2021-07-01</v>
      </c>
      <c r="J217" s="6" t="str">
        <f>"商丘医学高等专科学校"</f>
        <v>商丘医学高等专科学校</v>
      </c>
      <c r="K217" s="6" t="str">
        <f t="shared" si="151"/>
        <v>口腔医学</v>
      </c>
    </row>
    <row r="218" ht="25" customHeight="1" spans="1:11">
      <c r="A218" s="4" t="s">
        <v>19</v>
      </c>
      <c r="B218" s="5">
        <v>216</v>
      </c>
      <c r="C218" s="6" t="s">
        <v>39</v>
      </c>
      <c r="D218" s="6" t="str">
        <f>"潘蕾蕾"</f>
        <v>潘蕾蕾</v>
      </c>
      <c r="E218" s="6" t="str">
        <f t="shared" si="149"/>
        <v>女</v>
      </c>
      <c r="F218" s="6" t="str">
        <f t="shared" si="130"/>
        <v>汉族</v>
      </c>
      <c r="G218" s="6" t="s">
        <v>240</v>
      </c>
      <c r="H218" s="6" t="str">
        <f t="shared" si="148"/>
        <v>专科</v>
      </c>
      <c r="I218" s="6" t="str">
        <f t="shared" si="152"/>
        <v>2022-07-01</v>
      </c>
      <c r="J218" s="6" t="str">
        <f>"商丘医学高等专科学校"</f>
        <v>商丘医学高等专科学校</v>
      </c>
      <c r="K218" s="6" t="str">
        <f t="shared" ref="K218:K222" si="154">"临床医学"</f>
        <v>临床医学</v>
      </c>
    </row>
    <row r="219" ht="25" customHeight="1" spans="1:11">
      <c r="A219" s="4" t="s">
        <v>22</v>
      </c>
      <c r="B219" s="5">
        <v>217</v>
      </c>
      <c r="C219" s="6" t="s">
        <v>46</v>
      </c>
      <c r="D219" s="6" t="str">
        <f>"郑营"</f>
        <v>郑营</v>
      </c>
      <c r="E219" s="6" t="str">
        <f t="shared" si="149"/>
        <v>女</v>
      </c>
      <c r="F219" s="6" t="str">
        <f t="shared" si="130"/>
        <v>汉族</v>
      </c>
      <c r="G219" s="6" t="s">
        <v>241</v>
      </c>
      <c r="H219" s="6" t="str">
        <f t="shared" si="148"/>
        <v>专科</v>
      </c>
      <c r="I219" s="6" t="str">
        <f>"2023-07-01"</f>
        <v>2023-07-01</v>
      </c>
      <c r="J219" s="6" t="str">
        <f t="shared" si="153"/>
        <v>河南科技职业大学</v>
      </c>
      <c r="K219" s="6" t="str">
        <f t="shared" ref="K219:K223" si="155">"医学影像技术"</f>
        <v>医学影像技术</v>
      </c>
    </row>
    <row r="220" ht="25" customHeight="1" spans="1:11">
      <c r="A220" s="4" t="s">
        <v>19</v>
      </c>
      <c r="B220" s="5">
        <v>218</v>
      </c>
      <c r="C220" s="6" t="s">
        <v>71</v>
      </c>
      <c r="D220" s="6" t="str">
        <f>"李东科"</f>
        <v>李东科</v>
      </c>
      <c r="E220" s="6" t="str">
        <f t="shared" ref="E220:E225" si="156">"男"</f>
        <v>男</v>
      </c>
      <c r="F220" s="6" t="str">
        <f t="shared" si="130"/>
        <v>汉族</v>
      </c>
      <c r="G220" s="6" t="s">
        <v>242</v>
      </c>
      <c r="H220" s="6" t="str">
        <f t="shared" si="148"/>
        <v>专科</v>
      </c>
      <c r="I220" s="6" t="str">
        <f t="shared" si="152"/>
        <v>2022-07-01</v>
      </c>
      <c r="J220" s="6" t="str">
        <f t="shared" si="153"/>
        <v>河南科技职业大学</v>
      </c>
      <c r="K220" s="6" t="str">
        <f t="shared" si="154"/>
        <v>临床医学</v>
      </c>
    </row>
    <row r="221" ht="25" customHeight="1" spans="1:11">
      <c r="A221" s="4" t="s">
        <v>22</v>
      </c>
      <c r="B221" s="5">
        <v>219</v>
      </c>
      <c r="C221" s="6" t="s">
        <v>62</v>
      </c>
      <c r="D221" s="6" t="str">
        <f>"连钧浩"</f>
        <v>连钧浩</v>
      </c>
      <c r="E221" s="6" t="str">
        <f t="shared" si="156"/>
        <v>男</v>
      </c>
      <c r="F221" s="6" t="str">
        <f t="shared" si="130"/>
        <v>汉族</v>
      </c>
      <c r="G221" s="6" t="s">
        <v>182</v>
      </c>
      <c r="H221" s="6" t="str">
        <f t="shared" si="148"/>
        <v>专科</v>
      </c>
      <c r="I221" s="6" t="str">
        <f t="shared" si="152"/>
        <v>2022-07-01</v>
      </c>
      <c r="J221" s="6" t="str">
        <f>"南阳医学高等专科学校"</f>
        <v>南阳医学高等专科学校</v>
      </c>
      <c r="K221" s="6" t="str">
        <f t="shared" si="155"/>
        <v>医学影像技术</v>
      </c>
    </row>
    <row r="222" ht="25" customHeight="1" spans="1:11">
      <c r="A222" s="4" t="s">
        <v>19</v>
      </c>
      <c r="B222" s="5">
        <v>220</v>
      </c>
      <c r="C222" s="6" t="s">
        <v>39</v>
      </c>
      <c r="D222" s="6" t="str">
        <f>"杨琳"</f>
        <v>杨琳</v>
      </c>
      <c r="E222" s="6" t="str">
        <f t="shared" ref="E222:E224" si="157">"女"</f>
        <v>女</v>
      </c>
      <c r="F222" s="6" t="str">
        <f t="shared" si="130"/>
        <v>汉族</v>
      </c>
      <c r="G222" s="6" t="s">
        <v>243</v>
      </c>
      <c r="H222" s="6" t="str">
        <f t="shared" si="148"/>
        <v>专科</v>
      </c>
      <c r="I222" s="6" t="str">
        <f>"2019-07-01"</f>
        <v>2019-07-01</v>
      </c>
      <c r="J222" s="6" t="str">
        <f>"南阳医学高等专科学校"</f>
        <v>南阳医学高等专科学校</v>
      </c>
      <c r="K222" s="6" t="str">
        <f t="shared" si="154"/>
        <v>临床医学</v>
      </c>
    </row>
    <row r="223" ht="25" customHeight="1" spans="1:11">
      <c r="A223" s="4" t="s">
        <v>22</v>
      </c>
      <c r="B223" s="5">
        <v>221</v>
      </c>
      <c r="C223" s="6" t="s">
        <v>62</v>
      </c>
      <c r="D223" s="6" t="str">
        <f>"顾沂颍"</f>
        <v>顾沂颍</v>
      </c>
      <c r="E223" s="6" t="str">
        <f t="shared" si="157"/>
        <v>女</v>
      </c>
      <c r="F223" s="6" t="str">
        <f t="shared" si="130"/>
        <v>汉族</v>
      </c>
      <c r="G223" s="6" t="s">
        <v>244</v>
      </c>
      <c r="H223" s="6" t="str">
        <f t="shared" si="148"/>
        <v>专科</v>
      </c>
      <c r="I223" s="6" t="str">
        <f>"2023.07"</f>
        <v>2023.07</v>
      </c>
      <c r="J223" s="6" t="str">
        <f>"濮阳医学高等专科学校"</f>
        <v>濮阳医学高等专科学校</v>
      </c>
      <c r="K223" s="6" t="str">
        <f t="shared" si="155"/>
        <v>医学影像技术</v>
      </c>
    </row>
    <row r="224" ht="25" customHeight="1" spans="1:11">
      <c r="A224" s="4" t="s">
        <v>28</v>
      </c>
      <c r="B224" s="5">
        <v>222</v>
      </c>
      <c r="C224" s="6" t="s">
        <v>31</v>
      </c>
      <c r="D224" s="6" t="str">
        <f>"叶俊鑫"</f>
        <v>叶俊鑫</v>
      </c>
      <c r="E224" s="6" t="str">
        <f t="shared" si="157"/>
        <v>女</v>
      </c>
      <c r="F224" s="6" t="str">
        <f t="shared" si="130"/>
        <v>汉族</v>
      </c>
      <c r="G224" s="6" t="s">
        <v>245</v>
      </c>
      <c r="H224" s="6" t="str">
        <f t="shared" ref="H224:H228" si="158">"本科"</f>
        <v>本科</v>
      </c>
      <c r="I224" s="6" t="str">
        <f t="shared" ref="I224:I226" si="159">"2023-07-01"</f>
        <v>2023-07-01</v>
      </c>
      <c r="J224" s="6" t="str">
        <f>"许昌学院"</f>
        <v>许昌学院</v>
      </c>
      <c r="K224" s="6" t="str">
        <f>"医学检验技术"</f>
        <v>医学检验技术</v>
      </c>
    </row>
    <row r="225" ht="25" customHeight="1" spans="1:11">
      <c r="A225" s="4" t="s">
        <v>19</v>
      </c>
      <c r="B225" s="5">
        <v>223</v>
      </c>
      <c r="C225" s="6" t="s">
        <v>31</v>
      </c>
      <c r="D225" s="6" t="str">
        <f>"许茂盛"</f>
        <v>许茂盛</v>
      </c>
      <c r="E225" s="6" t="str">
        <f t="shared" si="156"/>
        <v>男</v>
      </c>
      <c r="F225" s="6" t="str">
        <f t="shared" si="130"/>
        <v>汉族</v>
      </c>
      <c r="G225" s="6" t="s">
        <v>246</v>
      </c>
      <c r="H225" s="6" t="str">
        <f t="shared" si="158"/>
        <v>本科</v>
      </c>
      <c r="I225" s="6" t="str">
        <f t="shared" si="159"/>
        <v>2023-07-01</v>
      </c>
      <c r="J225" s="6" t="str">
        <f>"新乡医学院三全学院"</f>
        <v>新乡医学院三全学院</v>
      </c>
      <c r="K225" s="6" t="str">
        <f>"临床医学"</f>
        <v>临床医学</v>
      </c>
    </row>
    <row r="226" ht="25" customHeight="1" spans="1:11">
      <c r="A226" s="4" t="s">
        <v>22</v>
      </c>
      <c r="B226" s="5">
        <v>224</v>
      </c>
      <c r="C226" s="6" t="s">
        <v>23</v>
      </c>
      <c r="D226" s="6" t="str">
        <f>"艾艺斐"</f>
        <v>艾艺斐</v>
      </c>
      <c r="E226" s="6" t="str">
        <f t="shared" ref="E226:E233" si="160">"女"</f>
        <v>女</v>
      </c>
      <c r="F226" s="6" t="str">
        <f t="shared" si="130"/>
        <v>汉族</v>
      </c>
      <c r="G226" s="6" t="s">
        <v>247</v>
      </c>
      <c r="H226" s="6" t="str">
        <f t="shared" ref="H226:H238" si="161">"专科"</f>
        <v>专科</v>
      </c>
      <c r="I226" s="6" t="str">
        <f t="shared" si="159"/>
        <v>2023-07-01</v>
      </c>
      <c r="J226" s="6" t="str">
        <f>"河南科技职业大学"</f>
        <v>河南科技职业大学</v>
      </c>
      <c r="K226" s="6" t="str">
        <f t="shared" ref="K226:K230" si="162">"医学影像技术"</f>
        <v>医学影像技术</v>
      </c>
    </row>
    <row r="227" ht="25" customHeight="1" spans="1:11">
      <c r="A227" s="4" t="s">
        <v>22</v>
      </c>
      <c r="B227" s="5">
        <v>225</v>
      </c>
      <c r="C227" s="6" t="s">
        <v>25</v>
      </c>
      <c r="D227" s="6" t="str">
        <f>"常素青"</f>
        <v>常素青</v>
      </c>
      <c r="E227" s="6" t="str">
        <f t="shared" ref="E227:E230" si="163">"男"</f>
        <v>男</v>
      </c>
      <c r="F227" s="6" t="str">
        <f t="shared" si="130"/>
        <v>汉族</v>
      </c>
      <c r="G227" s="6" t="s">
        <v>248</v>
      </c>
      <c r="H227" s="6" t="str">
        <f t="shared" si="161"/>
        <v>专科</v>
      </c>
      <c r="I227" s="6" t="str">
        <f t="shared" ref="I227:I231" si="164">"2021-07-01"</f>
        <v>2021-07-01</v>
      </c>
      <c r="J227" s="6" t="str">
        <f>"郑州澍青医学高等专科学校"</f>
        <v>郑州澍青医学高等专科学校</v>
      </c>
      <c r="K227" s="6" t="str">
        <f t="shared" si="162"/>
        <v>医学影像技术</v>
      </c>
    </row>
    <row r="228" ht="25" customHeight="1" spans="1:11">
      <c r="A228" s="4" t="s">
        <v>28</v>
      </c>
      <c r="B228" s="5">
        <v>226</v>
      </c>
      <c r="C228" s="6" t="s">
        <v>31</v>
      </c>
      <c r="D228" s="6" t="str">
        <f>"齐梦思"</f>
        <v>齐梦思</v>
      </c>
      <c r="E228" s="6" t="str">
        <f t="shared" si="160"/>
        <v>女</v>
      </c>
      <c r="F228" s="6" t="str">
        <f t="shared" si="130"/>
        <v>汉族</v>
      </c>
      <c r="G228" s="6" t="s">
        <v>249</v>
      </c>
      <c r="H228" s="6" t="str">
        <f t="shared" si="158"/>
        <v>本科</v>
      </c>
      <c r="I228" s="6" t="str">
        <f t="shared" si="164"/>
        <v>2021-07-01</v>
      </c>
      <c r="J228" s="6" t="str">
        <f>"黄河科技学院"</f>
        <v>黄河科技学院</v>
      </c>
      <c r="K228" s="6" t="str">
        <f>"医学检验技术"</f>
        <v>医学检验技术</v>
      </c>
    </row>
    <row r="229" ht="25" customHeight="1" spans="1:11">
      <c r="A229" s="4" t="s">
        <v>22</v>
      </c>
      <c r="B229" s="5">
        <v>227</v>
      </c>
      <c r="C229" s="6" t="s">
        <v>23</v>
      </c>
      <c r="D229" s="6" t="str">
        <f>"赵国超"</f>
        <v>赵国超</v>
      </c>
      <c r="E229" s="6" t="str">
        <f t="shared" si="163"/>
        <v>男</v>
      </c>
      <c r="F229" s="6" t="str">
        <f t="shared" si="130"/>
        <v>汉族</v>
      </c>
      <c r="G229" s="6" t="s">
        <v>250</v>
      </c>
      <c r="H229" s="6" t="str">
        <f t="shared" si="161"/>
        <v>专科</v>
      </c>
      <c r="I229" s="6" t="str">
        <f>"2022-07-01"</f>
        <v>2022-07-01</v>
      </c>
      <c r="J229" s="6" t="str">
        <f>"鹤壁职业技术学院"</f>
        <v>鹤壁职业技术学院</v>
      </c>
      <c r="K229" s="6" t="str">
        <f t="shared" si="162"/>
        <v>医学影像技术</v>
      </c>
    </row>
    <row r="230" ht="25" customHeight="1" spans="1:11">
      <c r="A230" s="4" t="s">
        <v>22</v>
      </c>
      <c r="B230" s="5">
        <v>228</v>
      </c>
      <c r="C230" s="6" t="s">
        <v>23</v>
      </c>
      <c r="D230" s="6" t="str">
        <f>"张超琦"</f>
        <v>张超琦</v>
      </c>
      <c r="E230" s="6" t="str">
        <f t="shared" si="163"/>
        <v>男</v>
      </c>
      <c r="F230" s="6" t="str">
        <f t="shared" si="130"/>
        <v>汉族</v>
      </c>
      <c r="G230" s="6" t="s">
        <v>251</v>
      </c>
      <c r="H230" s="6" t="str">
        <f t="shared" si="161"/>
        <v>专科</v>
      </c>
      <c r="I230" s="6" t="str">
        <f>"2023-07-01"</f>
        <v>2023-07-01</v>
      </c>
      <c r="J230" s="6" t="str">
        <f>"河南科技职业大学"</f>
        <v>河南科技职业大学</v>
      </c>
      <c r="K230" s="6" t="str">
        <f t="shared" si="162"/>
        <v>医学影像技术</v>
      </c>
    </row>
    <row r="231" ht="25" customHeight="1" spans="1:11">
      <c r="A231" s="4" t="s">
        <v>14</v>
      </c>
      <c r="B231" s="5">
        <v>229</v>
      </c>
      <c r="C231" s="6" t="s">
        <v>233</v>
      </c>
      <c r="D231" s="6" t="str">
        <f>"乔婉迪"</f>
        <v>乔婉迪</v>
      </c>
      <c r="E231" s="6" t="str">
        <f t="shared" si="160"/>
        <v>女</v>
      </c>
      <c r="F231" s="6" t="str">
        <f t="shared" si="130"/>
        <v>汉族</v>
      </c>
      <c r="G231" s="6" t="s">
        <v>252</v>
      </c>
      <c r="H231" s="6" t="str">
        <f t="shared" si="161"/>
        <v>专科</v>
      </c>
      <c r="I231" s="6" t="str">
        <f t="shared" si="164"/>
        <v>2021-07-01</v>
      </c>
      <c r="J231" s="6" t="str">
        <f>"郑州澍青医学高等专科学校"</f>
        <v>郑州澍青医学高等专科学校</v>
      </c>
      <c r="K231" s="6" t="str">
        <f>"中医学"</f>
        <v>中医学</v>
      </c>
    </row>
    <row r="232" ht="25" customHeight="1" spans="1:11">
      <c r="A232" s="4" t="s">
        <v>14</v>
      </c>
      <c r="B232" s="5">
        <v>230</v>
      </c>
      <c r="C232" s="6" t="s">
        <v>233</v>
      </c>
      <c r="D232" s="6" t="str">
        <f>"梁新萌"</f>
        <v>梁新萌</v>
      </c>
      <c r="E232" s="6" t="str">
        <f t="shared" si="160"/>
        <v>女</v>
      </c>
      <c r="F232" s="6" t="str">
        <f t="shared" si="130"/>
        <v>汉族</v>
      </c>
      <c r="G232" s="6" t="s">
        <v>253</v>
      </c>
      <c r="H232" s="6" t="str">
        <f t="shared" si="161"/>
        <v>专科</v>
      </c>
      <c r="I232" s="6" t="str">
        <f>"2022-07-01"</f>
        <v>2022-07-01</v>
      </c>
      <c r="J232" s="6" t="str">
        <f>"南阳医学高等专科学校"</f>
        <v>南阳医学高等专科学校</v>
      </c>
      <c r="K232" s="6" t="str">
        <f>"中医学"</f>
        <v>中医学</v>
      </c>
    </row>
    <row r="233" ht="25" customHeight="1" spans="1:11">
      <c r="A233" s="4" t="s">
        <v>19</v>
      </c>
      <c r="B233" s="5">
        <v>231</v>
      </c>
      <c r="C233" s="6" t="s">
        <v>23</v>
      </c>
      <c r="D233" s="6" t="str">
        <f>"苏源滨"</f>
        <v>苏源滨</v>
      </c>
      <c r="E233" s="6" t="str">
        <f t="shared" si="160"/>
        <v>女</v>
      </c>
      <c r="F233" s="6" t="str">
        <f t="shared" si="130"/>
        <v>汉族</v>
      </c>
      <c r="G233" s="6" t="s">
        <v>254</v>
      </c>
      <c r="H233" s="6" t="str">
        <f t="shared" si="161"/>
        <v>专科</v>
      </c>
      <c r="I233" s="6" t="str">
        <f>"2021-07-01"</f>
        <v>2021-07-01</v>
      </c>
      <c r="J233" s="6" t="str">
        <f>"黄河科技学院"</f>
        <v>黄河科技学院</v>
      </c>
      <c r="K233" s="6" t="str">
        <f>"临床医学"</f>
        <v>临床医学</v>
      </c>
    </row>
    <row r="234" ht="25" customHeight="1" spans="1:11">
      <c r="A234" s="4" t="s">
        <v>11</v>
      </c>
      <c r="B234" s="5">
        <v>232</v>
      </c>
      <c r="C234" s="6" t="s">
        <v>12</v>
      </c>
      <c r="D234" s="6" t="str">
        <f>"杨朔"</f>
        <v>杨朔</v>
      </c>
      <c r="E234" s="6" t="str">
        <f t="shared" ref="E234:E239" si="165">"男"</f>
        <v>男</v>
      </c>
      <c r="F234" s="6" t="str">
        <f t="shared" si="130"/>
        <v>汉族</v>
      </c>
      <c r="G234" s="6" t="s">
        <v>255</v>
      </c>
      <c r="H234" s="6" t="str">
        <f t="shared" si="161"/>
        <v>专科</v>
      </c>
      <c r="I234" s="6" t="str">
        <f>"2023-06-30"</f>
        <v>2023-06-30</v>
      </c>
      <c r="J234" s="6" t="str">
        <f>"开封大学"</f>
        <v>开封大学</v>
      </c>
      <c r="K234" s="6" t="str">
        <f>"康复治疗技术"</f>
        <v>康复治疗技术</v>
      </c>
    </row>
    <row r="235" ht="25" customHeight="1" spans="1:11">
      <c r="A235" s="4" t="s">
        <v>50</v>
      </c>
      <c r="B235" s="5">
        <v>233</v>
      </c>
      <c r="C235" s="6" t="s">
        <v>39</v>
      </c>
      <c r="D235" s="6" t="str">
        <f>"李昆鹏"</f>
        <v>李昆鹏</v>
      </c>
      <c r="E235" s="6" t="str">
        <f t="shared" si="165"/>
        <v>男</v>
      </c>
      <c r="F235" s="6" t="str">
        <f t="shared" si="130"/>
        <v>汉族</v>
      </c>
      <c r="G235" s="6" t="s">
        <v>256</v>
      </c>
      <c r="H235" s="6" t="str">
        <f t="shared" si="161"/>
        <v>专科</v>
      </c>
      <c r="I235" s="6" t="str">
        <f>"2020-07-01"</f>
        <v>2020-07-01</v>
      </c>
      <c r="J235" s="6" t="str">
        <f>"商丘医学高等专科学校"</f>
        <v>商丘医学高等专科学校</v>
      </c>
      <c r="K235" s="6" t="str">
        <f>"口腔医学"</f>
        <v>口腔医学</v>
      </c>
    </row>
    <row r="236" ht="25" customHeight="1" spans="1:11">
      <c r="A236" s="4" t="s">
        <v>22</v>
      </c>
      <c r="B236" s="5">
        <v>234</v>
      </c>
      <c r="C236" s="6" t="s">
        <v>62</v>
      </c>
      <c r="D236" s="6" t="str">
        <f>"牛同"</f>
        <v>牛同</v>
      </c>
      <c r="E236" s="6" t="str">
        <f t="shared" ref="E236:E238" si="166">"女"</f>
        <v>女</v>
      </c>
      <c r="F236" s="6" t="str">
        <f t="shared" si="130"/>
        <v>汉族</v>
      </c>
      <c r="G236" s="6" t="s">
        <v>257</v>
      </c>
      <c r="H236" s="6" t="str">
        <f t="shared" si="161"/>
        <v>专科</v>
      </c>
      <c r="I236" s="6" t="str">
        <f>"2019-07-01"</f>
        <v>2019-07-01</v>
      </c>
      <c r="J236" s="6" t="str">
        <f>"河南科技职业大学"</f>
        <v>河南科技职业大学</v>
      </c>
      <c r="K236" s="6" t="str">
        <f>"医学影像技术"</f>
        <v>医学影像技术</v>
      </c>
    </row>
    <row r="237" ht="25" customHeight="1" spans="1:11">
      <c r="A237" s="4" t="s">
        <v>19</v>
      </c>
      <c r="B237" s="5">
        <v>235</v>
      </c>
      <c r="C237" s="6" t="s">
        <v>23</v>
      </c>
      <c r="D237" s="6" t="str">
        <f>"张荆"</f>
        <v>张荆</v>
      </c>
      <c r="E237" s="6" t="str">
        <f t="shared" si="166"/>
        <v>女</v>
      </c>
      <c r="F237" s="6" t="str">
        <f t="shared" si="130"/>
        <v>汉族</v>
      </c>
      <c r="G237" s="6" t="s">
        <v>258</v>
      </c>
      <c r="H237" s="6" t="str">
        <f t="shared" si="161"/>
        <v>专科</v>
      </c>
      <c r="I237" s="6" t="str">
        <f>"2021-07-01"</f>
        <v>2021-07-01</v>
      </c>
      <c r="J237" s="6" t="str">
        <f>"黄河科技学院"</f>
        <v>黄河科技学院</v>
      </c>
      <c r="K237" s="6" t="str">
        <f t="shared" ref="K237:K242" si="167">"临床医学"</f>
        <v>临床医学</v>
      </c>
    </row>
    <row r="238" ht="25" customHeight="1" spans="1:11">
      <c r="A238" s="4" t="s">
        <v>28</v>
      </c>
      <c r="B238" s="5">
        <v>236</v>
      </c>
      <c r="C238" s="6" t="s">
        <v>29</v>
      </c>
      <c r="D238" s="6" t="str">
        <f>"梁廷博"</f>
        <v>梁廷博</v>
      </c>
      <c r="E238" s="6" t="str">
        <f t="shared" si="166"/>
        <v>女</v>
      </c>
      <c r="F238" s="6" t="str">
        <f t="shared" si="130"/>
        <v>汉族</v>
      </c>
      <c r="G238" s="6" t="s">
        <v>259</v>
      </c>
      <c r="H238" s="6" t="str">
        <f t="shared" si="161"/>
        <v>专科</v>
      </c>
      <c r="I238" s="6" t="str">
        <f t="shared" ref="I238:I243" si="168">"2023-07-01"</f>
        <v>2023-07-01</v>
      </c>
      <c r="J238" s="6" t="str">
        <f>"河南护理职业学院"</f>
        <v>河南护理职业学院</v>
      </c>
      <c r="K238" s="6" t="str">
        <f>"医学检验技术"</f>
        <v>医学检验技术</v>
      </c>
    </row>
    <row r="239" ht="25" customHeight="1" spans="1:11">
      <c r="A239" s="4" t="s">
        <v>19</v>
      </c>
      <c r="B239" s="5">
        <v>237</v>
      </c>
      <c r="C239" s="6" t="s">
        <v>31</v>
      </c>
      <c r="D239" s="6" t="str">
        <f>"王丰泽"</f>
        <v>王丰泽</v>
      </c>
      <c r="E239" s="6" t="str">
        <f t="shared" si="165"/>
        <v>男</v>
      </c>
      <c r="F239" s="6" t="str">
        <f>"回族"</f>
        <v>回族</v>
      </c>
      <c r="G239" s="6" t="s">
        <v>260</v>
      </c>
      <c r="H239" s="6" t="str">
        <f>"本科"</f>
        <v>本科</v>
      </c>
      <c r="I239" s="6" t="str">
        <f>"2021.07"</f>
        <v>2021.07</v>
      </c>
      <c r="J239" s="6" t="str">
        <f>"新乡医学院三全学院"</f>
        <v>新乡医学院三全学院</v>
      </c>
      <c r="K239" s="6" t="str">
        <f t="shared" si="167"/>
        <v>临床医学</v>
      </c>
    </row>
    <row r="240" ht="25" customHeight="1" spans="1:11">
      <c r="A240" s="4" t="s">
        <v>11</v>
      </c>
      <c r="B240" s="5">
        <v>238</v>
      </c>
      <c r="C240" s="6" t="s">
        <v>62</v>
      </c>
      <c r="D240" s="6" t="str">
        <f>"刘盼"</f>
        <v>刘盼</v>
      </c>
      <c r="E240" s="6" t="str">
        <f t="shared" ref="E240:E242" si="169">"女"</f>
        <v>女</v>
      </c>
      <c r="F240" s="6" t="str">
        <f t="shared" ref="F240:F288" si="170">"汉族"</f>
        <v>汉族</v>
      </c>
      <c r="G240" s="6" t="s">
        <v>261</v>
      </c>
      <c r="H240" s="6" t="str">
        <f t="shared" ref="H240:H245" si="171">"专科"</f>
        <v>专科</v>
      </c>
      <c r="I240" s="6" t="str">
        <f t="shared" si="168"/>
        <v>2023-07-01</v>
      </c>
      <c r="J240" s="6" t="str">
        <f>"河南推拿职业学院"</f>
        <v>河南推拿职业学院</v>
      </c>
      <c r="K240" s="6" t="str">
        <f>"康复治疗技术"</f>
        <v>康复治疗技术</v>
      </c>
    </row>
    <row r="241" ht="25" customHeight="1" spans="1:11">
      <c r="A241" s="4" t="s">
        <v>28</v>
      </c>
      <c r="B241" s="5">
        <v>239</v>
      </c>
      <c r="C241" s="6" t="s">
        <v>29</v>
      </c>
      <c r="D241" s="6" t="str">
        <f>"武鸿博"</f>
        <v>武鸿博</v>
      </c>
      <c r="E241" s="6" t="str">
        <f t="shared" si="169"/>
        <v>女</v>
      </c>
      <c r="F241" s="6" t="str">
        <f>"回族"</f>
        <v>回族</v>
      </c>
      <c r="G241" s="6" t="s">
        <v>134</v>
      </c>
      <c r="H241" s="6" t="str">
        <f t="shared" si="171"/>
        <v>专科</v>
      </c>
      <c r="I241" s="6" t="str">
        <f>"2023.07"</f>
        <v>2023.07</v>
      </c>
      <c r="J241" s="6" t="str">
        <f>"河南护理职业学院"</f>
        <v>河南护理职业学院</v>
      </c>
      <c r="K241" s="6" t="str">
        <f>"医学检验技术"</f>
        <v>医学检验技术</v>
      </c>
    </row>
    <row r="242" ht="25" customHeight="1" spans="1:11">
      <c r="A242" s="4" t="s">
        <v>19</v>
      </c>
      <c r="B242" s="5">
        <v>240</v>
      </c>
      <c r="C242" s="6" t="s">
        <v>71</v>
      </c>
      <c r="D242" s="6" t="str">
        <f>"陈壕冉"</f>
        <v>陈壕冉</v>
      </c>
      <c r="E242" s="6" t="str">
        <f t="shared" si="169"/>
        <v>女</v>
      </c>
      <c r="F242" s="6" t="str">
        <f t="shared" si="170"/>
        <v>汉族</v>
      </c>
      <c r="G242" s="6" t="s">
        <v>262</v>
      </c>
      <c r="H242" s="6" t="str">
        <f t="shared" si="171"/>
        <v>专科</v>
      </c>
      <c r="I242" s="6" t="str">
        <f t="shared" si="168"/>
        <v>2023-07-01</v>
      </c>
      <c r="J242" s="6" t="str">
        <f>"信阳职业技术学院"</f>
        <v>信阳职业技术学院</v>
      </c>
      <c r="K242" s="6" t="str">
        <f t="shared" si="167"/>
        <v>临床医学</v>
      </c>
    </row>
    <row r="243" ht="25" customHeight="1" spans="1:11">
      <c r="A243" s="4" t="s">
        <v>11</v>
      </c>
      <c r="B243" s="5">
        <v>241</v>
      </c>
      <c r="C243" s="6" t="s">
        <v>17</v>
      </c>
      <c r="D243" s="6" t="str">
        <f>"王举"</f>
        <v>王举</v>
      </c>
      <c r="E243" s="6" t="str">
        <f t="shared" ref="E243:E245" si="172">"男"</f>
        <v>男</v>
      </c>
      <c r="F243" s="6" t="str">
        <f t="shared" si="170"/>
        <v>汉族</v>
      </c>
      <c r="G243" s="6" t="s">
        <v>263</v>
      </c>
      <c r="H243" s="6" t="str">
        <f t="shared" si="171"/>
        <v>专科</v>
      </c>
      <c r="I243" s="6" t="str">
        <f t="shared" si="168"/>
        <v>2023-07-01</v>
      </c>
      <c r="J243" s="6" t="str">
        <f>"商丘工学院"</f>
        <v>商丘工学院</v>
      </c>
      <c r="K243" s="6" t="str">
        <f>"康复治疗技术"</f>
        <v>康复治疗技术</v>
      </c>
    </row>
    <row r="244" ht="25" customHeight="1" spans="1:11">
      <c r="A244" s="4" t="s">
        <v>19</v>
      </c>
      <c r="B244" s="5">
        <v>242</v>
      </c>
      <c r="C244" s="6" t="s">
        <v>23</v>
      </c>
      <c r="D244" s="6" t="str">
        <f>"卢西文"</f>
        <v>卢西文</v>
      </c>
      <c r="E244" s="6" t="str">
        <f t="shared" si="172"/>
        <v>男</v>
      </c>
      <c r="F244" s="6" t="str">
        <f t="shared" si="170"/>
        <v>汉族</v>
      </c>
      <c r="G244" s="6" t="s">
        <v>264</v>
      </c>
      <c r="H244" s="6" t="str">
        <f t="shared" si="171"/>
        <v>专科</v>
      </c>
      <c r="I244" s="6" t="str">
        <f>"2018-07-01"</f>
        <v>2018-07-01</v>
      </c>
      <c r="J244" s="6" t="str">
        <f>"商洛职业技术学院"</f>
        <v>商洛职业技术学院</v>
      </c>
      <c r="K244" s="6" t="str">
        <f t="shared" ref="K244:K246" si="173">"临床医学"</f>
        <v>临床医学</v>
      </c>
    </row>
    <row r="245" ht="25" customHeight="1" spans="1:11">
      <c r="A245" s="4" t="s">
        <v>19</v>
      </c>
      <c r="B245" s="5">
        <v>243</v>
      </c>
      <c r="C245" s="6" t="s">
        <v>39</v>
      </c>
      <c r="D245" s="6" t="str">
        <f>"李欢"</f>
        <v>李欢</v>
      </c>
      <c r="E245" s="6" t="str">
        <f t="shared" si="172"/>
        <v>男</v>
      </c>
      <c r="F245" s="6" t="str">
        <f t="shared" si="170"/>
        <v>汉族</v>
      </c>
      <c r="G245" s="6" t="s">
        <v>265</v>
      </c>
      <c r="H245" s="6" t="str">
        <f t="shared" si="171"/>
        <v>专科</v>
      </c>
      <c r="I245" s="6" t="str">
        <f>"2020-07-01"</f>
        <v>2020-07-01</v>
      </c>
      <c r="J245" s="6" t="str">
        <f>"南阳医学高等专科学校"</f>
        <v>南阳医学高等专科学校</v>
      </c>
      <c r="K245" s="6" t="str">
        <f t="shared" si="173"/>
        <v>临床医学</v>
      </c>
    </row>
    <row r="246" ht="25" customHeight="1" spans="1:11">
      <c r="A246" s="4" t="s">
        <v>19</v>
      </c>
      <c r="B246" s="5">
        <v>244</v>
      </c>
      <c r="C246" s="6" t="s">
        <v>31</v>
      </c>
      <c r="D246" s="6" t="str">
        <f>"李珂竹"</f>
        <v>李珂竹</v>
      </c>
      <c r="E246" s="6" t="str">
        <f t="shared" ref="E246:E250" si="174">"女"</f>
        <v>女</v>
      </c>
      <c r="F246" s="6" t="str">
        <f t="shared" si="170"/>
        <v>汉族</v>
      </c>
      <c r="G246" s="6" t="s">
        <v>266</v>
      </c>
      <c r="H246" s="6" t="str">
        <f>"本科"</f>
        <v>本科</v>
      </c>
      <c r="I246" s="6" t="str">
        <f>"2020-07-01"</f>
        <v>2020-07-01</v>
      </c>
      <c r="J246" s="6" t="str">
        <f>"新乡医学院三全学院"</f>
        <v>新乡医学院三全学院</v>
      </c>
      <c r="K246" s="6" t="str">
        <f t="shared" si="173"/>
        <v>临床医学</v>
      </c>
    </row>
    <row r="247" ht="25" customHeight="1" spans="1:11">
      <c r="A247" s="4" t="s">
        <v>14</v>
      </c>
      <c r="B247" s="5">
        <v>245</v>
      </c>
      <c r="C247" s="6" t="s">
        <v>233</v>
      </c>
      <c r="D247" s="6" t="str">
        <f>"常家宝"</f>
        <v>常家宝</v>
      </c>
      <c r="E247" s="6" t="str">
        <f t="shared" ref="E247:E251" si="175">"男"</f>
        <v>男</v>
      </c>
      <c r="F247" s="6" t="str">
        <f t="shared" si="170"/>
        <v>汉族</v>
      </c>
      <c r="G247" s="6" t="s">
        <v>267</v>
      </c>
      <c r="H247" s="6" t="str">
        <f t="shared" ref="H247:H249" si="176">"专科"</f>
        <v>专科</v>
      </c>
      <c r="I247" s="6" t="str">
        <f>"2023-07-01"</f>
        <v>2023-07-01</v>
      </c>
      <c r="J247" s="6" t="str">
        <f>"洛阳职业技术学院"</f>
        <v>洛阳职业技术学院</v>
      </c>
      <c r="K247" s="6" t="str">
        <f>"中医学"</f>
        <v>中医学</v>
      </c>
    </row>
    <row r="248" ht="25" customHeight="1" spans="1:11">
      <c r="A248" s="4" t="s">
        <v>22</v>
      </c>
      <c r="B248" s="5">
        <v>246</v>
      </c>
      <c r="C248" s="6" t="s">
        <v>62</v>
      </c>
      <c r="D248" s="6" t="str">
        <f>"乔梦诗"</f>
        <v>乔梦诗</v>
      </c>
      <c r="E248" s="6" t="str">
        <f t="shared" si="174"/>
        <v>女</v>
      </c>
      <c r="F248" s="6" t="str">
        <f t="shared" si="170"/>
        <v>汉族</v>
      </c>
      <c r="G248" s="6" t="s">
        <v>268</v>
      </c>
      <c r="H248" s="6" t="str">
        <f t="shared" si="176"/>
        <v>专科</v>
      </c>
      <c r="I248" s="6" t="str">
        <f>"2019-07-01"</f>
        <v>2019-07-01</v>
      </c>
      <c r="J248" s="6" t="str">
        <f>"安阳职业技术学院"</f>
        <v>安阳职业技术学院</v>
      </c>
      <c r="K248" s="6" t="str">
        <f t="shared" ref="K248:K253" si="177">"医学影像技术"</f>
        <v>医学影像技术</v>
      </c>
    </row>
    <row r="249" ht="25" customHeight="1" spans="1:11">
      <c r="A249" s="4" t="s">
        <v>14</v>
      </c>
      <c r="B249" s="5">
        <v>247</v>
      </c>
      <c r="C249" s="6" t="s">
        <v>233</v>
      </c>
      <c r="D249" s="6" t="str">
        <f>"杨世鹏"</f>
        <v>杨世鹏</v>
      </c>
      <c r="E249" s="6" t="str">
        <f t="shared" si="175"/>
        <v>男</v>
      </c>
      <c r="F249" s="6" t="str">
        <f t="shared" si="170"/>
        <v>汉族</v>
      </c>
      <c r="G249" s="6" t="s">
        <v>269</v>
      </c>
      <c r="H249" s="6" t="str">
        <f t="shared" si="176"/>
        <v>专科</v>
      </c>
      <c r="I249" s="6" t="str">
        <f>"2017-07-30"</f>
        <v>2017-07-30</v>
      </c>
      <c r="J249" s="6" t="str">
        <f>"郑州澍青医学高等专科学校"</f>
        <v>郑州澍青医学高等专科学校</v>
      </c>
      <c r="K249" s="6" t="str">
        <f>"中医学"</f>
        <v>中医学</v>
      </c>
    </row>
    <row r="250" ht="25" customHeight="1" spans="1:11">
      <c r="A250" s="4" t="s">
        <v>19</v>
      </c>
      <c r="B250" s="5">
        <v>248</v>
      </c>
      <c r="C250" s="6" t="s">
        <v>31</v>
      </c>
      <c r="D250" s="6" t="str">
        <f>"刘董卓"</f>
        <v>刘董卓</v>
      </c>
      <c r="E250" s="6" t="str">
        <f t="shared" si="174"/>
        <v>女</v>
      </c>
      <c r="F250" s="6" t="str">
        <f t="shared" si="170"/>
        <v>汉族</v>
      </c>
      <c r="G250" s="6" t="s">
        <v>270</v>
      </c>
      <c r="H250" s="6" t="str">
        <f>"本科"</f>
        <v>本科</v>
      </c>
      <c r="I250" s="6" t="str">
        <f>"2023-06-30"</f>
        <v>2023-06-30</v>
      </c>
      <c r="J250" s="6" t="str">
        <f>"新乡医学院三全学院"</f>
        <v>新乡医学院三全学院</v>
      </c>
      <c r="K250" s="6" t="str">
        <f>"临床医学"</f>
        <v>临床医学</v>
      </c>
    </row>
    <row r="251" ht="25" customHeight="1" spans="1:11">
      <c r="A251" s="4" t="s">
        <v>19</v>
      </c>
      <c r="B251" s="5">
        <v>249</v>
      </c>
      <c r="C251" s="6" t="s">
        <v>23</v>
      </c>
      <c r="D251" s="6" t="str">
        <f>"周强"</f>
        <v>周强</v>
      </c>
      <c r="E251" s="6" t="str">
        <f t="shared" si="175"/>
        <v>男</v>
      </c>
      <c r="F251" s="6" t="str">
        <f t="shared" si="170"/>
        <v>汉族</v>
      </c>
      <c r="G251" s="6" t="s">
        <v>271</v>
      </c>
      <c r="H251" s="6" t="str">
        <f t="shared" ref="H251:H254" si="178">"专科"</f>
        <v>专科</v>
      </c>
      <c r="I251" s="6" t="str">
        <f>"2023-07-01"</f>
        <v>2023-07-01</v>
      </c>
      <c r="J251" s="6" t="str">
        <f>"洛阳职业技术学院"</f>
        <v>洛阳职业技术学院</v>
      </c>
      <c r="K251" s="6" t="str">
        <f>"临床医学"</f>
        <v>临床医学</v>
      </c>
    </row>
    <row r="252" ht="25" customHeight="1" spans="1:11">
      <c r="A252" s="4" t="s">
        <v>22</v>
      </c>
      <c r="B252" s="5">
        <v>250</v>
      </c>
      <c r="C252" s="6" t="s">
        <v>62</v>
      </c>
      <c r="D252" s="6" t="str">
        <f>"张哲"</f>
        <v>张哲</v>
      </c>
      <c r="E252" s="6" t="str">
        <f t="shared" ref="E252:E257" si="179">"女"</f>
        <v>女</v>
      </c>
      <c r="F252" s="6" t="str">
        <f t="shared" si="170"/>
        <v>汉族</v>
      </c>
      <c r="G252" s="6" t="s">
        <v>272</v>
      </c>
      <c r="H252" s="6" t="str">
        <f t="shared" si="178"/>
        <v>专科</v>
      </c>
      <c r="I252" s="6" t="str">
        <f>"2022.7.1"</f>
        <v>2022.7.1</v>
      </c>
      <c r="J252" s="6" t="str">
        <f>"河南科技职业大学"</f>
        <v>河南科技职业大学</v>
      </c>
      <c r="K252" s="6" t="str">
        <f t="shared" si="177"/>
        <v>医学影像技术</v>
      </c>
    </row>
    <row r="253" ht="25" customHeight="1" spans="1:11">
      <c r="A253" s="4" t="s">
        <v>22</v>
      </c>
      <c r="B253" s="5">
        <v>251</v>
      </c>
      <c r="C253" s="6" t="s">
        <v>62</v>
      </c>
      <c r="D253" s="6" t="str">
        <f>"李崇"</f>
        <v>李崇</v>
      </c>
      <c r="E253" s="6" t="str">
        <f t="shared" ref="E253:E259" si="180">"男"</f>
        <v>男</v>
      </c>
      <c r="F253" s="6" t="str">
        <f t="shared" si="170"/>
        <v>汉族</v>
      </c>
      <c r="G253" s="6" t="s">
        <v>182</v>
      </c>
      <c r="H253" s="6" t="str">
        <f t="shared" si="178"/>
        <v>专科</v>
      </c>
      <c r="I253" s="6" t="str">
        <f>"2021-09-01"</f>
        <v>2021-09-01</v>
      </c>
      <c r="J253" s="6" t="str">
        <f>"郑州澍清医学高等专科学校"</f>
        <v>郑州澍清医学高等专科学校</v>
      </c>
      <c r="K253" s="6" t="str">
        <f t="shared" si="177"/>
        <v>医学影像技术</v>
      </c>
    </row>
    <row r="254" ht="25" customHeight="1" spans="1:11">
      <c r="A254" s="4" t="s">
        <v>11</v>
      </c>
      <c r="B254" s="5">
        <v>252</v>
      </c>
      <c r="C254" s="6" t="s">
        <v>12</v>
      </c>
      <c r="D254" s="6" t="str">
        <f>"孙桂荣"</f>
        <v>孙桂荣</v>
      </c>
      <c r="E254" s="6" t="str">
        <f t="shared" si="179"/>
        <v>女</v>
      </c>
      <c r="F254" s="6" t="str">
        <f t="shared" si="170"/>
        <v>汉族</v>
      </c>
      <c r="G254" s="6" t="s">
        <v>273</v>
      </c>
      <c r="H254" s="6" t="str">
        <f t="shared" si="178"/>
        <v>专科</v>
      </c>
      <c r="I254" s="6" t="str">
        <f>"2021-07-01"</f>
        <v>2021-07-01</v>
      </c>
      <c r="J254" s="6" t="str">
        <f>"河南科技职业大学"</f>
        <v>河南科技职业大学</v>
      </c>
      <c r="K254" s="6" t="str">
        <f>"康复治疗技术"</f>
        <v>康复治疗技术</v>
      </c>
    </row>
    <row r="255" ht="25" customHeight="1" spans="1:11">
      <c r="A255" s="4" t="s">
        <v>22</v>
      </c>
      <c r="B255" s="5">
        <v>253</v>
      </c>
      <c r="C255" s="6" t="s">
        <v>31</v>
      </c>
      <c r="D255" s="6" t="str">
        <f>"王佳楠"</f>
        <v>王佳楠</v>
      </c>
      <c r="E255" s="6" t="str">
        <f t="shared" si="180"/>
        <v>男</v>
      </c>
      <c r="F255" s="6" t="str">
        <f t="shared" si="170"/>
        <v>汉族</v>
      </c>
      <c r="G255" s="6" t="s">
        <v>274</v>
      </c>
      <c r="H255" s="6" t="str">
        <f>"本科"</f>
        <v>本科</v>
      </c>
      <c r="I255" s="6" t="str">
        <f>"2021-07-01"</f>
        <v>2021-07-01</v>
      </c>
      <c r="J255" s="6" t="str">
        <f>"新乡医学院三全学院"</f>
        <v>新乡医学院三全学院</v>
      </c>
      <c r="K255" s="6" t="str">
        <f>"医学影像技术"</f>
        <v>医学影像技术</v>
      </c>
    </row>
    <row r="256" ht="25" customHeight="1" spans="1:11">
      <c r="A256" s="4" t="s">
        <v>50</v>
      </c>
      <c r="B256" s="5">
        <v>254</v>
      </c>
      <c r="C256" s="6" t="s">
        <v>51</v>
      </c>
      <c r="D256" s="6" t="str">
        <f>"田博宇"</f>
        <v>田博宇</v>
      </c>
      <c r="E256" s="6" t="str">
        <f t="shared" si="179"/>
        <v>女</v>
      </c>
      <c r="F256" s="6" t="str">
        <f t="shared" si="170"/>
        <v>汉族</v>
      </c>
      <c r="G256" s="6" t="s">
        <v>275</v>
      </c>
      <c r="H256" s="6" t="str">
        <f t="shared" ref="H256:H262" si="181">"专科"</f>
        <v>专科</v>
      </c>
      <c r="I256" s="6" t="str">
        <f>"2021-06-30"</f>
        <v>2021-06-30</v>
      </c>
      <c r="J256" s="6" t="str">
        <f>"荆楚理工学院"</f>
        <v>荆楚理工学院</v>
      </c>
      <c r="K256" s="6" t="str">
        <f>"口腔医学"</f>
        <v>口腔医学</v>
      </c>
    </row>
    <row r="257" ht="25" customHeight="1" spans="1:11">
      <c r="A257" s="4" t="s">
        <v>22</v>
      </c>
      <c r="B257" s="5">
        <v>255</v>
      </c>
      <c r="C257" s="6" t="s">
        <v>23</v>
      </c>
      <c r="D257" s="6" t="str">
        <f>"薛松阳"</f>
        <v>薛松阳</v>
      </c>
      <c r="E257" s="6" t="str">
        <f t="shared" si="179"/>
        <v>女</v>
      </c>
      <c r="F257" s="6" t="str">
        <f t="shared" si="170"/>
        <v>汉族</v>
      </c>
      <c r="G257" s="6" t="s">
        <v>276</v>
      </c>
      <c r="H257" s="6" t="str">
        <f t="shared" si="181"/>
        <v>专科</v>
      </c>
      <c r="I257" s="6" t="str">
        <f>"2022-07-01"</f>
        <v>2022-07-01</v>
      </c>
      <c r="J257" s="6" t="str">
        <f>"河南科技职业学院"</f>
        <v>河南科技职业学院</v>
      </c>
      <c r="K257" s="6" t="str">
        <f>"医学影像技术"</f>
        <v>医学影像技术</v>
      </c>
    </row>
    <row r="258" ht="25" customHeight="1" spans="1:11">
      <c r="A258" s="4" t="s">
        <v>19</v>
      </c>
      <c r="B258" s="5">
        <v>256</v>
      </c>
      <c r="C258" s="6" t="s">
        <v>187</v>
      </c>
      <c r="D258" s="6" t="str">
        <f>"朱青文"</f>
        <v>朱青文</v>
      </c>
      <c r="E258" s="6" t="str">
        <f t="shared" si="180"/>
        <v>男</v>
      </c>
      <c r="F258" s="6" t="str">
        <f t="shared" si="170"/>
        <v>汉族</v>
      </c>
      <c r="G258" s="6" t="s">
        <v>277</v>
      </c>
      <c r="H258" s="6" t="str">
        <f t="shared" si="181"/>
        <v>专科</v>
      </c>
      <c r="I258" s="6" t="str">
        <f>"2023-07-01"</f>
        <v>2023-07-01</v>
      </c>
      <c r="J258" s="6" t="str">
        <f>"郑州澍青医学高等专科学校"</f>
        <v>郑州澍青医学高等专科学校</v>
      </c>
      <c r="K258" s="6" t="str">
        <f t="shared" ref="K258:K261" si="182">"临床医学"</f>
        <v>临床医学</v>
      </c>
    </row>
    <row r="259" ht="25" customHeight="1" spans="1:11">
      <c r="A259" s="4" t="s">
        <v>19</v>
      </c>
      <c r="B259" s="5">
        <v>257</v>
      </c>
      <c r="C259" s="6" t="s">
        <v>20</v>
      </c>
      <c r="D259" s="6" t="str">
        <f>"李智"</f>
        <v>李智</v>
      </c>
      <c r="E259" s="6" t="str">
        <f t="shared" si="180"/>
        <v>男</v>
      </c>
      <c r="F259" s="6" t="str">
        <f t="shared" si="170"/>
        <v>汉族</v>
      </c>
      <c r="G259" s="6" t="s">
        <v>278</v>
      </c>
      <c r="H259" s="6" t="str">
        <f t="shared" si="181"/>
        <v>专科</v>
      </c>
      <c r="I259" s="6" t="str">
        <f>"2022.07"</f>
        <v>2022.07</v>
      </c>
      <c r="J259" s="6" t="str">
        <f>"漯河医学高等专科学校"</f>
        <v>漯河医学高等专科学校</v>
      </c>
      <c r="K259" s="6" t="str">
        <f>"临床医学（卓越医生教育培养计划）"</f>
        <v>临床医学（卓越医生教育培养计划）</v>
      </c>
    </row>
    <row r="260" ht="25" customHeight="1" spans="1:11">
      <c r="A260" s="4" t="s">
        <v>19</v>
      </c>
      <c r="B260" s="5">
        <v>258</v>
      </c>
      <c r="C260" s="6" t="s">
        <v>71</v>
      </c>
      <c r="D260" s="6" t="str">
        <f>"闫闪闪"</f>
        <v>闫闪闪</v>
      </c>
      <c r="E260" s="6" t="str">
        <f t="shared" ref="E260:E268" si="183">"女"</f>
        <v>女</v>
      </c>
      <c r="F260" s="6" t="str">
        <f t="shared" si="170"/>
        <v>汉族</v>
      </c>
      <c r="G260" s="6" t="s">
        <v>279</v>
      </c>
      <c r="H260" s="6" t="str">
        <f t="shared" si="181"/>
        <v>专科</v>
      </c>
      <c r="I260" s="6" t="str">
        <f>"2020-12-21"</f>
        <v>2020-12-21</v>
      </c>
      <c r="J260" s="6" t="str">
        <f>"南阳医学高等专科学校"</f>
        <v>南阳医学高等专科学校</v>
      </c>
      <c r="K260" s="6" t="str">
        <f t="shared" si="182"/>
        <v>临床医学</v>
      </c>
    </row>
    <row r="261" ht="25" customHeight="1" spans="1:11">
      <c r="A261" s="4" t="s">
        <v>19</v>
      </c>
      <c r="B261" s="5">
        <v>259</v>
      </c>
      <c r="C261" s="6" t="s">
        <v>71</v>
      </c>
      <c r="D261" s="6" t="str">
        <f>"张浩"</f>
        <v>张浩</v>
      </c>
      <c r="E261" s="6" t="str">
        <f t="shared" ref="E261:E263" si="184">"男"</f>
        <v>男</v>
      </c>
      <c r="F261" s="6" t="str">
        <f t="shared" si="170"/>
        <v>汉族</v>
      </c>
      <c r="G261" s="6" t="s">
        <v>280</v>
      </c>
      <c r="H261" s="6" t="str">
        <f t="shared" si="181"/>
        <v>专科</v>
      </c>
      <c r="I261" s="6" t="str">
        <f>"2022-07-01"</f>
        <v>2022-07-01</v>
      </c>
      <c r="J261" s="6" t="str">
        <f>"郑州澍青医学高等专业学校"</f>
        <v>郑州澍青医学高等专业学校</v>
      </c>
      <c r="K261" s="6" t="str">
        <f t="shared" si="182"/>
        <v>临床医学</v>
      </c>
    </row>
    <row r="262" ht="25" customHeight="1" spans="1:11">
      <c r="A262" s="4" t="s">
        <v>22</v>
      </c>
      <c r="B262" s="5">
        <v>260</v>
      </c>
      <c r="C262" s="6" t="s">
        <v>23</v>
      </c>
      <c r="D262" s="6" t="str">
        <f>"石成梁"</f>
        <v>石成梁</v>
      </c>
      <c r="E262" s="6" t="str">
        <f t="shared" si="184"/>
        <v>男</v>
      </c>
      <c r="F262" s="6" t="str">
        <f t="shared" si="170"/>
        <v>汉族</v>
      </c>
      <c r="G262" s="6" t="s">
        <v>281</v>
      </c>
      <c r="H262" s="6" t="str">
        <f t="shared" si="181"/>
        <v>专科</v>
      </c>
      <c r="I262" s="6" t="str">
        <f>"2021-07-01"</f>
        <v>2021-07-01</v>
      </c>
      <c r="J262" s="6" t="str">
        <f>"河南科技职业大学"</f>
        <v>河南科技职业大学</v>
      </c>
      <c r="K262" s="6" t="str">
        <f t="shared" ref="K262:K264" si="185">"医学影像技术"</f>
        <v>医学影像技术</v>
      </c>
    </row>
    <row r="263" ht="25" customHeight="1" spans="1:11">
      <c r="A263" s="4" t="s">
        <v>22</v>
      </c>
      <c r="B263" s="5">
        <v>261</v>
      </c>
      <c r="C263" s="6" t="s">
        <v>31</v>
      </c>
      <c r="D263" s="6" t="str">
        <f>"赵亮发"</f>
        <v>赵亮发</v>
      </c>
      <c r="E263" s="6" t="str">
        <f t="shared" si="184"/>
        <v>男</v>
      </c>
      <c r="F263" s="6" t="str">
        <f t="shared" si="170"/>
        <v>汉族</v>
      </c>
      <c r="G263" s="6" t="s">
        <v>128</v>
      </c>
      <c r="H263" s="6" t="str">
        <f>"本科"</f>
        <v>本科</v>
      </c>
      <c r="I263" s="6" t="str">
        <f>"2018.7.1"</f>
        <v>2018.7.1</v>
      </c>
      <c r="J263" s="6" t="str">
        <f>"新乡医学院三全学院"</f>
        <v>新乡医学院三全学院</v>
      </c>
      <c r="K263" s="6" t="str">
        <f t="shared" si="185"/>
        <v>医学影像技术</v>
      </c>
    </row>
    <row r="264" ht="25" customHeight="1" spans="1:11">
      <c r="A264" s="4" t="s">
        <v>22</v>
      </c>
      <c r="B264" s="5">
        <v>262</v>
      </c>
      <c r="C264" s="6" t="s">
        <v>62</v>
      </c>
      <c r="D264" s="6" t="str">
        <f>"周冰俏"</f>
        <v>周冰俏</v>
      </c>
      <c r="E264" s="6" t="str">
        <f t="shared" si="183"/>
        <v>女</v>
      </c>
      <c r="F264" s="6" t="str">
        <f t="shared" si="170"/>
        <v>汉族</v>
      </c>
      <c r="G264" s="6" t="s">
        <v>282</v>
      </c>
      <c r="H264" s="6" t="str">
        <f t="shared" ref="H264:H269" si="186">"专科"</f>
        <v>专科</v>
      </c>
      <c r="I264" s="6" t="str">
        <f>"2020-07-01"</f>
        <v>2020-07-01</v>
      </c>
      <c r="J264" s="6" t="str">
        <f>"信阳职业技术学院"</f>
        <v>信阳职业技术学院</v>
      </c>
      <c r="K264" s="6" t="str">
        <f t="shared" si="185"/>
        <v>医学影像技术</v>
      </c>
    </row>
    <row r="265" ht="25" customHeight="1" spans="1:11">
      <c r="A265" s="4" t="s">
        <v>14</v>
      </c>
      <c r="B265" s="5">
        <v>263</v>
      </c>
      <c r="C265" s="6" t="s">
        <v>233</v>
      </c>
      <c r="D265" s="6" t="str">
        <f>"谢萌蕾"</f>
        <v>谢萌蕾</v>
      </c>
      <c r="E265" s="6" t="str">
        <f t="shared" si="183"/>
        <v>女</v>
      </c>
      <c r="F265" s="6" t="str">
        <f t="shared" si="170"/>
        <v>汉族</v>
      </c>
      <c r="G265" s="6" t="s">
        <v>283</v>
      </c>
      <c r="H265" s="6" t="str">
        <f t="shared" si="186"/>
        <v>专科</v>
      </c>
      <c r="I265" s="6" t="str">
        <f>"2020.07"</f>
        <v>2020.07</v>
      </c>
      <c r="J265" s="6" t="str">
        <f t="shared" ref="J265:J269" si="187">"南阳医学高等专科学校"</f>
        <v>南阳医学高等专科学校</v>
      </c>
      <c r="K265" s="6" t="str">
        <f>"中医学"</f>
        <v>中医学</v>
      </c>
    </row>
    <row r="266" ht="25" customHeight="1" spans="1:11">
      <c r="A266" s="4" t="s">
        <v>19</v>
      </c>
      <c r="B266" s="5">
        <v>264</v>
      </c>
      <c r="C266" s="6" t="s">
        <v>23</v>
      </c>
      <c r="D266" s="6" t="str">
        <f>"卢世超"</f>
        <v>卢世超</v>
      </c>
      <c r="E266" s="6" t="str">
        <f t="shared" si="183"/>
        <v>女</v>
      </c>
      <c r="F266" s="6" t="str">
        <f t="shared" si="170"/>
        <v>汉族</v>
      </c>
      <c r="G266" s="6" t="s">
        <v>284</v>
      </c>
      <c r="H266" s="6" t="str">
        <f t="shared" si="186"/>
        <v>专科</v>
      </c>
      <c r="I266" s="6" t="str">
        <f>"2021-07-02"</f>
        <v>2021-07-02</v>
      </c>
      <c r="J266" s="6" t="str">
        <f>"黄河科技学院"</f>
        <v>黄河科技学院</v>
      </c>
      <c r="K266" s="6" t="str">
        <f>"临床医学"</f>
        <v>临床医学</v>
      </c>
    </row>
    <row r="267" ht="25" customHeight="1" spans="1:11">
      <c r="A267" s="4" t="s">
        <v>28</v>
      </c>
      <c r="B267" s="5">
        <v>265</v>
      </c>
      <c r="C267" s="6" t="s">
        <v>29</v>
      </c>
      <c r="D267" s="6" t="str">
        <f>"王好"</f>
        <v>王好</v>
      </c>
      <c r="E267" s="6" t="str">
        <f t="shared" si="183"/>
        <v>女</v>
      </c>
      <c r="F267" s="6" t="str">
        <f t="shared" si="170"/>
        <v>汉族</v>
      </c>
      <c r="G267" s="6" t="s">
        <v>259</v>
      </c>
      <c r="H267" s="6" t="str">
        <f t="shared" si="186"/>
        <v>专科</v>
      </c>
      <c r="I267" s="6" t="str">
        <f>"2021.07"</f>
        <v>2021.07</v>
      </c>
      <c r="J267" s="6" t="str">
        <f>"洛阳职业技术学院"</f>
        <v>洛阳职业技术学院</v>
      </c>
      <c r="K267" s="6" t="str">
        <f>"医学检验技术"</f>
        <v>医学检验技术</v>
      </c>
    </row>
    <row r="268" ht="25" customHeight="1" spans="1:11">
      <c r="A268" s="4" t="s">
        <v>22</v>
      </c>
      <c r="B268" s="5">
        <v>266</v>
      </c>
      <c r="C268" s="6" t="s">
        <v>62</v>
      </c>
      <c r="D268" s="6" t="str">
        <f>"刘璞"</f>
        <v>刘璞</v>
      </c>
      <c r="E268" s="6" t="str">
        <f t="shared" si="183"/>
        <v>女</v>
      </c>
      <c r="F268" s="6" t="str">
        <f t="shared" si="170"/>
        <v>汉族</v>
      </c>
      <c r="G268" s="6" t="s">
        <v>285</v>
      </c>
      <c r="H268" s="6" t="str">
        <f t="shared" si="186"/>
        <v>专科</v>
      </c>
      <c r="I268" s="6" t="str">
        <f>"2018-07-01"</f>
        <v>2018-07-01</v>
      </c>
      <c r="J268" s="6" t="str">
        <f t="shared" si="187"/>
        <v>南阳医学高等专科学校</v>
      </c>
      <c r="K268" s="6" t="str">
        <f t="shared" ref="K268:K272" si="188">"医学影像技术"</f>
        <v>医学影像技术</v>
      </c>
    </row>
    <row r="269" ht="25" customHeight="1" spans="1:11">
      <c r="A269" s="4" t="s">
        <v>19</v>
      </c>
      <c r="B269" s="5">
        <v>267</v>
      </c>
      <c r="C269" s="6" t="s">
        <v>187</v>
      </c>
      <c r="D269" s="6" t="str">
        <f>"肖知坦"</f>
        <v>肖知坦</v>
      </c>
      <c r="E269" s="6" t="str">
        <f t="shared" ref="E269:E274" si="189">"男"</f>
        <v>男</v>
      </c>
      <c r="F269" s="6" t="str">
        <f t="shared" si="170"/>
        <v>汉族</v>
      </c>
      <c r="G269" s="6" t="s">
        <v>286</v>
      </c>
      <c r="H269" s="6" t="str">
        <f t="shared" si="186"/>
        <v>专科</v>
      </c>
      <c r="I269" s="6" t="str">
        <f>"2023-07-01"</f>
        <v>2023-07-01</v>
      </c>
      <c r="J269" s="6" t="str">
        <f t="shared" si="187"/>
        <v>南阳医学高等专科学校</v>
      </c>
      <c r="K269" s="6" t="str">
        <f>"临床医学"</f>
        <v>临床医学</v>
      </c>
    </row>
    <row r="270" ht="25" customHeight="1" spans="1:11">
      <c r="A270" s="4" t="s">
        <v>22</v>
      </c>
      <c r="B270" s="5">
        <v>268</v>
      </c>
      <c r="C270" s="6" t="s">
        <v>31</v>
      </c>
      <c r="D270" s="6" t="str">
        <f>"李阳果"</f>
        <v>李阳果</v>
      </c>
      <c r="E270" s="6" t="str">
        <f t="shared" si="189"/>
        <v>男</v>
      </c>
      <c r="F270" s="6" t="str">
        <f t="shared" si="170"/>
        <v>汉族</v>
      </c>
      <c r="G270" s="6" t="s">
        <v>287</v>
      </c>
      <c r="H270" s="6" t="str">
        <f>"本科"</f>
        <v>本科</v>
      </c>
      <c r="I270" s="6" t="str">
        <f>"2023-07-01"</f>
        <v>2023-07-01</v>
      </c>
      <c r="J270" s="6" t="str">
        <f>"河南中医药大学"</f>
        <v>河南中医药大学</v>
      </c>
      <c r="K270" s="6" t="str">
        <f t="shared" si="188"/>
        <v>医学影像技术</v>
      </c>
    </row>
    <row r="271" ht="25" customHeight="1" spans="1:11">
      <c r="A271" s="4" t="s">
        <v>50</v>
      </c>
      <c r="B271" s="5">
        <v>269</v>
      </c>
      <c r="C271" s="6" t="s">
        <v>39</v>
      </c>
      <c r="D271" s="6" t="str">
        <f>"苟世鹏"</f>
        <v>苟世鹏</v>
      </c>
      <c r="E271" s="6" t="str">
        <f t="shared" si="189"/>
        <v>男</v>
      </c>
      <c r="F271" s="6" t="str">
        <f t="shared" si="170"/>
        <v>汉族</v>
      </c>
      <c r="G271" s="6" t="s">
        <v>288</v>
      </c>
      <c r="H271" s="6" t="str">
        <f t="shared" ref="H271:H279" si="190">"专科"</f>
        <v>专科</v>
      </c>
      <c r="I271" s="6" t="str">
        <f t="shared" ref="I271:I274" si="191">"2022-07-01"</f>
        <v>2022-07-01</v>
      </c>
      <c r="J271" s="6" t="str">
        <f t="shared" ref="J271:J273" si="192">"南阳医学高等专科学校"</f>
        <v>南阳医学高等专科学校</v>
      </c>
      <c r="K271" s="6" t="str">
        <f>"口腔医学"</f>
        <v>口腔医学</v>
      </c>
    </row>
    <row r="272" ht="25" customHeight="1" spans="1:11">
      <c r="A272" s="4" t="s">
        <v>22</v>
      </c>
      <c r="B272" s="5">
        <v>270</v>
      </c>
      <c r="C272" s="6" t="s">
        <v>23</v>
      </c>
      <c r="D272" s="6" t="str">
        <f>"岳佟生"</f>
        <v>岳佟生</v>
      </c>
      <c r="E272" s="6" t="str">
        <f t="shared" si="189"/>
        <v>男</v>
      </c>
      <c r="F272" s="6" t="str">
        <f t="shared" si="170"/>
        <v>汉族</v>
      </c>
      <c r="G272" s="6" t="s">
        <v>289</v>
      </c>
      <c r="H272" s="6" t="str">
        <f t="shared" si="190"/>
        <v>专科</v>
      </c>
      <c r="I272" s="6" t="str">
        <f t="shared" si="191"/>
        <v>2022-07-01</v>
      </c>
      <c r="J272" s="6" t="str">
        <f t="shared" si="192"/>
        <v>南阳医学高等专科学校</v>
      </c>
      <c r="K272" s="6" t="str">
        <f t="shared" si="188"/>
        <v>医学影像技术</v>
      </c>
    </row>
    <row r="273" ht="25" customHeight="1" spans="1:11">
      <c r="A273" s="4" t="s">
        <v>19</v>
      </c>
      <c r="B273" s="5">
        <v>271</v>
      </c>
      <c r="C273" s="6" t="s">
        <v>39</v>
      </c>
      <c r="D273" s="6" t="str">
        <f>"王志伟"</f>
        <v>王志伟</v>
      </c>
      <c r="E273" s="6" t="str">
        <f t="shared" si="189"/>
        <v>男</v>
      </c>
      <c r="F273" s="6" t="str">
        <f t="shared" si="170"/>
        <v>汉族</v>
      </c>
      <c r="G273" s="6" t="s">
        <v>155</v>
      </c>
      <c r="H273" s="6" t="str">
        <f t="shared" si="190"/>
        <v>专科</v>
      </c>
      <c r="I273" s="6" t="str">
        <f>"2020-07-01"</f>
        <v>2020-07-01</v>
      </c>
      <c r="J273" s="6" t="str">
        <f t="shared" si="192"/>
        <v>南阳医学高等专科学校</v>
      </c>
      <c r="K273" s="6" t="str">
        <f t="shared" ref="K273:K277" si="193">"临床医学"</f>
        <v>临床医学</v>
      </c>
    </row>
    <row r="274" ht="25" customHeight="1" spans="1:11">
      <c r="A274" s="4" t="s">
        <v>22</v>
      </c>
      <c r="B274" s="5">
        <v>272</v>
      </c>
      <c r="C274" s="6" t="s">
        <v>23</v>
      </c>
      <c r="D274" s="6" t="str">
        <f>"海深"</f>
        <v>海深</v>
      </c>
      <c r="E274" s="6" t="str">
        <f t="shared" si="189"/>
        <v>男</v>
      </c>
      <c r="F274" s="6" t="str">
        <f t="shared" si="170"/>
        <v>汉族</v>
      </c>
      <c r="G274" s="6" t="s">
        <v>290</v>
      </c>
      <c r="H274" s="6" t="str">
        <f t="shared" si="190"/>
        <v>专科</v>
      </c>
      <c r="I274" s="6" t="str">
        <f t="shared" si="191"/>
        <v>2022-07-01</v>
      </c>
      <c r="J274" s="6" t="str">
        <f>"河南科技职业大学"</f>
        <v>河南科技职业大学</v>
      </c>
      <c r="K274" s="6" t="str">
        <f>"医学影像技术"</f>
        <v>医学影像技术</v>
      </c>
    </row>
    <row r="275" ht="25" customHeight="1" spans="1:11">
      <c r="A275" s="4" t="s">
        <v>19</v>
      </c>
      <c r="B275" s="5">
        <v>273</v>
      </c>
      <c r="C275" s="6" t="s">
        <v>15</v>
      </c>
      <c r="D275" s="6" t="str">
        <f>"乔道丹"</f>
        <v>乔道丹</v>
      </c>
      <c r="E275" s="6" t="str">
        <f t="shared" ref="E275:E280" si="194">"女"</f>
        <v>女</v>
      </c>
      <c r="F275" s="6" t="str">
        <f t="shared" si="170"/>
        <v>汉族</v>
      </c>
      <c r="G275" s="6" t="s">
        <v>291</v>
      </c>
      <c r="H275" s="6" t="str">
        <f t="shared" si="190"/>
        <v>专科</v>
      </c>
      <c r="I275" s="6" t="str">
        <f>"2020-07-01"</f>
        <v>2020-07-01</v>
      </c>
      <c r="J275" s="6" t="str">
        <f>"漯河医学高等专科学校"</f>
        <v>漯河医学高等专科学校</v>
      </c>
      <c r="K275" s="6" t="str">
        <f t="shared" si="193"/>
        <v>临床医学</v>
      </c>
    </row>
    <row r="276" ht="25" customHeight="1" spans="1:11">
      <c r="A276" s="4" t="s">
        <v>50</v>
      </c>
      <c r="B276" s="5">
        <v>274</v>
      </c>
      <c r="C276" s="6" t="s">
        <v>51</v>
      </c>
      <c r="D276" s="6" t="str">
        <f>"刘一鸣"</f>
        <v>刘一鸣</v>
      </c>
      <c r="E276" s="6" t="str">
        <f t="shared" ref="E276:E279" si="195">"男"</f>
        <v>男</v>
      </c>
      <c r="F276" s="6" t="str">
        <f t="shared" si="170"/>
        <v>汉族</v>
      </c>
      <c r="G276" s="6" t="s">
        <v>292</v>
      </c>
      <c r="H276" s="6" t="str">
        <f t="shared" si="190"/>
        <v>专科</v>
      </c>
      <c r="I276" s="6" t="str">
        <f>"2023.07"</f>
        <v>2023.07</v>
      </c>
      <c r="J276" s="6" t="str">
        <f>"漯河医学高等专科学校"</f>
        <v>漯河医学高等专科学校</v>
      </c>
      <c r="K276" s="6" t="str">
        <f>"口腔医学"</f>
        <v>口腔医学</v>
      </c>
    </row>
    <row r="277" ht="25" customHeight="1" spans="1:11">
      <c r="A277" s="4" t="s">
        <v>19</v>
      </c>
      <c r="B277" s="5">
        <v>275</v>
      </c>
      <c r="C277" s="6" t="s">
        <v>39</v>
      </c>
      <c r="D277" s="6" t="str">
        <f>"张冬凡"</f>
        <v>张冬凡</v>
      </c>
      <c r="E277" s="6" t="str">
        <f t="shared" si="194"/>
        <v>女</v>
      </c>
      <c r="F277" s="6" t="str">
        <f t="shared" si="170"/>
        <v>汉族</v>
      </c>
      <c r="G277" s="6" t="s">
        <v>293</v>
      </c>
      <c r="H277" s="6" t="str">
        <f t="shared" si="190"/>
        <v>专科</v>
      </c>
      <c r="I277" s="6" t="str">
        <f>"2022-06-30"</f>
        <v>2022-06-30</v>
      </c>
      <c r="J277" s="6" t="str">
        <f>"黄冈职业技术学院"</f>
        <v>黄冈职业技术学院</v>
      </c>
      <c r="K277" s="6" t="str">
        <f t="shared" si="193"/>
        <v>临床医学</v>
      </c>
    </row>
    <row r="278" ht="25" customHeight="1" spans="1:11">
      <c r="A278" s="4" t="s">
        <v>22</v>
      </c>
      <c r="B278" s="5">
        <v>276</v>
      </c>
      <c r="C278" s="6" t="s">
        <v>25</v>
      </c>
      <c r="D278" s="6" t="str">
        <f>"韩君"</f>
        <v>韩君</v>
      </c>
      <c r="E278" s="6" t="str">
        <f t="shared" si="195"/>
        <v>男</v>
      </c>
      <c r="F278" s="6" t="str">
        <f t="shared" si="170"/>
        <v>汉族</v>
      </c>
      <c r="G278" s="6" t="s">
        <v>294</v>
      </c>
      <c r="H278" s="6" t="str">
        <f t="shared" si="190"/>
        <v>专科</v>
      </c>
      <c r="I278" s="6" t="str">
        <f t="shared" ref="I278:I283" si="196">"2022-07-01"</f>
        <v>2022-07-01</v>
      </c>
      <c r="J278" s="6" t="str">
        <f>"河南科技职业大学"</f>
        <v>河南科技职业大学</v>
      </c>
      <c r="K278" s="6" t="str">
        <f>"医学影像技术"</f>
        <v>医学影像技术</v>
      </c>
    </row>
    <row r="279" ht="25" customHeight="1" spans="1:11">
      <c r="A279" s="4" t="s">
        <v>14</v>
      </c>
      <c r="B279" s="5">
        <v>277</v>
      </c>
      <c r="C279" s="6" t="s">
        <v>15</v>
      </c>
      <c r="D279" s="6" t="str">
        <f>"刘根青"</f>
        <v>刘根青</v>
      </c>
      <c r="E279" s="6" t="str">
        <f t="shared" si="195"/>
        <v>男</v>
      </c>
      <c r="F279" s="6" t="str">
        <f t="shared" si="170"/>
        <v>汉族</v>
      </c>
      <c r="G279" s="6" t="s">
        <v>295</v>
      </c>
      <c r="H279" s="6" t="str">
        <f t="shared" si="190"/>
        <v>专科</v>
      </c>
      <c r="I279" s="6" t="str">
        <f>"2020-07-01"</f>
        <v>2020-07-01</v>
      </c>
      <c r="J279" s="6" t="str">
        <f>"郑州澍青医学高等专科学校"</f>
        <v>郑州澍青医学高等专科学校</v>
      </c>
      <c r="K279" s="6" t="str">
        <f>"中医学"</f>
        <v>中医学</v>
      </c>
    </row>
    <row r="280" ht="25" customHeight="1" spans="1:11">
      <c r="A280" s="4" t="s">
        <v>28</v>
      </c>
      <c r="B280" s="5">
        <v>278</v>
      </c>
      <c r="C280" s="6" t="s">
        <v>31</v>
      </c>
      <c r="D280" s="6" t="str">
        <f>"刘世娇"</f>
        <v>刘世娇</v>
      </c>
      <c r="E280" s="6" t="str">
        <f t="shared" si="194"/>
        <v>女</v>
      </c>
      <c r="F280" s="6" t="str">
        <f t="shared" si="170"/>
        <v>汉族</v>
      </c>
      <c r="G280" s="6" t="s">
        <v>296</v>
      </c>
      <c r="H280" s="6" t="str">
        <f>"本科"</f>
        <v>本科</v>
      </c>
      <c r="I280" s="6" t="str">
        <f>"2019-07-01"</f>
        <v>2019-07-01</v>
      </c>
      <c r="J280" s="6" t="str">
        <f>"河南科技大学"</f>
        <v>河南科技大学</v>
      </c>
      <c r="K280" s="6" t="str">
        <f>"医学检验技术"</f>
        <v>医学检验技术</v>
      </c>
    </row>
    <row r="281" ht="25" customHeight="1" spans="1:11">
      <c r="A281" s="4" t="s">
        <v>11</v>
      </c>
      <c r="B281" s="5">
        <v>279</v>
      </c>
      <c r="C281" s="6" t="s">
        <v>17</v>
      </c>
      <c r="D281" s="6" t="str">
        <f>"徐兆启"</f>
        <v>徐兆启</v>
      </c>
      <c r="E281" s="6" t="str">
        <f t="shared" ref="E281:E286" si="197">"男"</f>
        <v>男</v>
      </c>
      <c r="F281" s="6" t="str">
        <f t="shared" si="170"/>
        <v>汉族</v>
      </c>
      <c r="G281" s="6" t="s">
        <v>297</v>
      </c>
      <c r="H281" s="6" t="str">
        <f t="shared" ref="H281:H295" si="198">"专科"</f>
        <v>专科</v>
      </c>
      <c r="I281" s="6" t="str">
        <f>"2022-06-02"</f>
        <v>2022-06-02</v>
      </c>
      <c r="J281" s="6" t="str">
        <f>"长沙民政职业技术学院"</f>
        <v>长沙民政职业技术学院</v>
      </c>
      <c r="K281" s="6" t="str">
        <f t="shared" ref="K281:K286" si="199">"康复治疗技术"</f>
        <v>康复治疗技术</v>
      </c>
    </row>
    <row r="282" ht="25" customHeight="1" spans="1:11">
      <c r="A282" s="4" t="s">
        <v>22</v>
      </c>
      <c r="B282" s="5">
        <v>280</v>
      </c>
      <c r="C282" s="6" t="s">
        <v>23</v>
      </c>
      <c r="D282" s="6" t="str">
        <f>"李知汇"</f>
        <v>李知汇</v>
      </c>
      <c r="E282" s="6" t="str">
        <f t="shared" ref="E282:E289" si="200">"女"</f>
        <v>女</v>
      </c>
      <c r="F282" s="6" t="str">
        <f t="shared" si="170"/>
        <v>汉族</v>
      </c>
      <c r="G282" s="6" t="s">
        <v>298</v>
      </c>
      <c r="H282" s="6" t="str">
        <f t="shared" si="198"/>
        <v>专科</v>
      </c>
      <c r="I282" s="6" t="str">
        <f t="shared" si="196"/>
        <v>2022-07-01</v>
      </c>
      <c r="J282" s="6" t="str">
        <f>"郑州澍青医学高等专科学校"</f>
        <v>郑州澍青医学高等专科学校</v>
      </c>
      <c r="K282" s="6" t="str">
        <f>"医学影像技术"</f>
        <v>医学影像技术</v>
      </c>
    </row>
    <row r="283" ht="25" customHeight="1" spans="1:11">
      <c r="A283" s="4" t="s">
        <v>19</v>
      </c>
      <c r="B283" s="5">
        <v>281</v>
      </c>
      <c r="C283" s="6" t="s">
        <v>31</v>
      </c>
      <c r="D283" s="6" t="str">
        <f>"刘娇娇"</f>
        <v>刘娇娇</v>
      </c>
      <c r="E283" s="6" t="str">
        <f t="shared" si="200"/>
        <v>女</v>
      </c>
      <c r="F283" s="6" t="str">
        <f t="shared" si="170"/>
        <v>汉族</v>
      </c>
      <c r="G283" s="6" t="s">
        <v>299</v>
      </c>
      <c r="H283" s="6" t="str">
        <f>"本科"</f>
        <v>本科</v>
      </c>
      <c r="I283" s="6" t="str">
        <f t="shared" si="196"/>
        <v>2022-07-01</v>
      </c>
      <c r="J283" s="6" t="str">
        <f>"新乡医学院三全学院"</f>
        <v>新乡医学院三全学院</v>
      </c>
      <c r="K283" s="6" t="str">
        <f t="shared" ref="K283:K288" si="201">"临床医学"</f>
        <v>临床医学</v>
      </c>
    </row>
    <row r="284" ht="25" customHeight="1" spans="1:11">
      <c r="A284" s="4" t="s">
        <v>11</v>
      </c>
      <c r="B284" s="5">
        <v>282</v>
      </c>
      <c r="C284" s="6" t="s">
        <v>62</v>
      </c>
      <c r="D284" s="6" t="str">
        <f>"王胜杰"</f>
        <v>王胜杰</v>
      </c>
      <c r="E284" s="6" t="str">
        <f t="shared" si="197"/>
        <v>男</v>
      </c>
      <c r="F284" s="6" t="str">
        <f t="shared" si="170"/>
        <v>汉族</v>
      </c>
      <c r="G284" s="6" t="s">
        <v>300</v>
      </c>
      <c r="H284" s="6" t="str">
        <f t="shared" si="198"/>
        <v>专科</v>
      </c>
      <c r="I284" s="6" t="str">
        <f t="shared" ref="I284:I289" si="202">"2021-07-01"</f>
        <v>2021-07-01</v>
      </c>
      <c r="J284" s="6" t="str">
        <f>"河南科技职业大学"</f>
        <v>河南科技职业大学</v>
      </c>
      <c r="K284" s="6" t="str">
        <f t="shared" si="199"/>
        <v>康复治疗技术</v>
      </c>
    </row>
    <row r="285" ht="25" customHeight="1" spans="1:11">
      <c r="A285" s="4" t="s">
        <v>19</v>
      </c>
      <c r="B285" s="5">
        <v>283</v>
      </c>
      <c r="C285" s="6" t="s">
        <v>20</v>
      </c>
      <c r="D285" s="6" t="str">
        <f>"陈鹏"</f>
        <v>陈鹏</v>
      </c>
      <c r="E285" s="6" t="str">
        <f t="shared" si="197"/>
        <v>男</v>
      </c>
      <c r="F285" s="6" t="str">
        <f t="shared" si="170"/>
        <v>汉族</v>
      </c>
      <c r="G285" s="6" t="s">
        <v>301</v>
      </c>
      <c r="H285" s="6" t="str">
        <f t="shared" si="198"/>
        <v>专科</v>
      </c>
      <c r="I285" s="6" t="str">
        <f>"2023-07-01"</f>
        <v>2023-07-01</v>
      </c>
      <c r="J285" s="6" t="str">
        <f>"南阳医学高等专科学校"</f>
        <v>南阳医学高等专科学校</v>
      </c>
      <c r="K285" s="6" t="str">
        <f t="shared" si="201"/>
        <v>临床医学</v>
      </c>
    </row>
    <row r="286" ht="25" customHeight="1" spans="1:11">
      <c r="A286" s="4" t="s">
        <v>11</v>
      </c>
      <c r="B286" s="5">
        <v>284</v>
      </c>
      <c r="C286" s="6" t="s">
        <v>62</v>
      </c>
      <c r="D286" s="6" t="str">
        <f>"岳鼎"</f>
        <v>岳鼎</v>
      </c>
      <c r="E286" s="6" t="str">
        <f t="shared" si="197"/>
        <v>男</v>
      </c>
      <c r="F286" s="6" t="str">
        <f t="shared" si="170"/>
        <v>汉族</v>
      </c>
      <c r="G286" s="6" t="s">
        <v>302</v>
      </c>
      <c r="H286" s="6" t="str">
        <f t="shared" si="198"/>
        <v>专科</v>
      </c>
      <c r="I286" s="6" t="str">
        <f>"2021-07"</f>
        <v>2021-07</v>
      </c>
      <c r="J286" s="6" t="str">
        <f>"郑州工业应用技术学院"</f>
        <v>郑州工业应用技术学院</v>
      </c>
      <c r="K286" s="6" t="str">
        <f t="shared" si="199"/>
        <v>康复治疗技术</v>
      </c>
    </row>
    <row r="287" ht="25" customHeight="1" spans="1:11">
      <c r="A287" s="4" t="s">
        <v>50</v>
      </c>
      <c r="B287" s="5">
        <v>285</v>
      </c>
      <c r="C287" s="6" t="s">
        <v>12</v>
      </c>
      <c r="D287" s="6" t="str">
        <f>"刘佳林"</f>
        <v>刘佳林</v>
      </c>
      <c r="E287" s="6" t="str">
        <f t="shared" si="200"/>
        <v>女</v>
      </c>
      <c r="F287" s="6" t="str">
        <f t="shared" si="170"/>
        <v>汉族</v>
      </c>
      <c r="G287" s="6" t="s">
        <v>303</v>
      </c>
      <c r="H287" s="6" t="str">
        <f t="shared" si="198"/>
        <v>专科</v>
      </c>
      <c r="I287" s="6" t="str">
        <f>"2023-07-01"</f>
        <v>2023-07-01</v>
      </c>
      <c r="J287" s="6" t="str">
        <f>"河南护理职业学院"</f>
        <v>河南护理职业学院</v>
      </c>
      <c r="K287" s="6" t="str">
        <f>"口腔医学"</f>
        <v>口腔医学</v>
      </c>
    </row>
    <row r="288" ht="25" customHeight="1" spans="1:11">
      <c r="A288" s="4" t="s">
        <v>19</v>
      </c>
      <c r="B288" s="5">
        <v>286</v>
      </c>
      <c r="C288" s="6" t="s">
        <v>201</v>
      </c>
      <c r="D288" s="6" t="str">
        <f>"时培鑫"</f>
        <v>时培鑫</v>
      </c>
      <c r="E288" s="6" t="str">
        <f t="shared" si="200"/>
        <v>女</v>
      </c>
      <c r="F288" s="6" t="str">
        <f t="shared" si="170"/>
        <v>汉族</v>
      </c>
      <c r="G288" s="6" t="s">
        <v>304</v>
      </c>
      <c r="H288" s="6" t="str">
        <f t="shared" si="198"/>
        <v>专科</v>
      </c>
      <c r="I288" s="6" t="str">
        <f t="shared" si="202"/>
        <v>2021-07-01</v>
      </c>
      <c r="J288" s="6" t="str">
        <f>"平顶山学院"</f>
        <v>平顶山学院</v>
      </c>
      <c r="K288" s="6" t="str">
        <f t="shared" si="201"/>
        <v>临床医学</v>
      </c>
    </row>
    <row r="289" ht="25" customHeight="1" spans="1:11">
      <c r="A289" s="4" t="s">
        <v>22</v>
      </c>
      <c r="B289" s="5">
        <v>287</v>
      </c>
      <c r="C289" s="6" t="s">
        <v>62</v>
      </c>
      <c r="D289" s="6" t="str">
        <f>"海国雯"</f>
        <v>海国雯</v>
      </c>
      <c r="E289" s="6" t="str">
        <f t="shared" si="200"/>
        <v>女</v>
      </c>
      <c r="F289" s="6" t="str">
        <f>"回族"</f>
        <v>回族</v>
      </c>
      <c r="G289" s="6" t="s">
        <v>121</v>
      </c>
      <c r="H289" s="6" t="str">
        <f t="shared" si="198"/>
        <v>专科</v>
      </c>
      <c r="I289" s="6" t="str">
        <f t="shared" si="202"/>
        <v>2021-07-01</v>
      </c>
      <c r="J289" s="6" t="str">
        <f>"郑州澍青医学高等专科学校"</f>
        <v>郑州澍青医学高等专科学校</v>
      </c>
      <c r="K289" s="6" t="str">
        <f t="shared" ref="K289:K295" si="203">"医学影像技术"</f>
        <v>医学影像技术</v>
      </c>
    </row>
    <row r="290" ht="25" customHeight="1" spans="1:11">
      <c r="A290" s="4" t="s">
        <v>19</v>
      </c>
      <c r="B290" s="5">
        <v>288</v>
      </c>
      <c r="C290" s="6" t="s">
        <v>39</v>
      </c>
      <c r="D290" s="6" t="str">
        <f>"宋海良"</f>
        <v>宋海良</v>
      </c>
      <c r="E290" s="6" t="str">
        <f t="shared" ref="E290:E295" si="204">"男"</f>
        <v>男</v>
      </c>
      <c r="F290" s="6" t="str">
        <f t="shared" ref="F290:F329" si="205">"汉族"</f>
        <v>汉族</v>
      </c>
      <c r="G290" s="6" t="s">
        <v>305</v>
      </c>
      <c r="H290" s="6" t="str">
        <f t="shared" si="198"/>
        <v>专科</v>
      </c>
      <c r="I290" s="6" t="str">
        <f>"2015-07-01"</f>
        <v>2015-07-01</v>
      </c>
      <c r="J290" s="6" t="str">
        <f>"南阳医学高等专科学校"</f>
        <v>南阳医学高等专科学校</v>
      </c>
      <c r="K290" s="6" t="str">
        <f>"临床医学"</f>
        <v>临床医学</v>
      </c>
    </row>
    <row r="291" ht="25" customHeight="1" spans="1:11">
      <c r="A291" s="4" t="s">
        <v>22</v>
      </c>
      <c r="B291" s="5">
        <v>289</v>
      </c>
      <c r="C291" s="6" t="s">
        <v>62</v>
      </c>
      <c r="D291" s="6" t="str">
        <f>"杨澜"</f>
        <v>杨澜</v>
      </c>
      <c r="E291" s="6" t="str">
        <f t="shared" ref="E291:E296" si="206">"女"</f>
        <v>女</v>
      </c>
      <c r="F291" s="6" t="str">
        <f t="shared" si="205"/>
        <v>汉族</v>
      </c>
      <c r="G291" s="6" t="s">
        <v>238</v>
      </c>
      <c r="H291" s="6" t="str">
        <f t="shared" si="198"/>
        <v>专科</v>
      </c>
      <c r="I291" s="6" t="str">
        <f>"2021-07-01"</f>
        <v>2021-07-01</v>
      </c>
      <c r="J291" s="6" t="str">
        <f>"商丘医学高等专科学校"</f>
        <v>商丘医学高等专科学校</v>
      </c>
      <c r="K291" s="6" t="str">
        <f t="shared" si="203"/>
        <v>医学影像技术</v>
      </c>
    </row>
    <row r="292" ht="25" customHeight="1" spans="1:11">
      <c r="A292" s="4" t="s">
        <v>19</v>
      </c>
      <c r="B292" s="5">
        <v>290</v>
      </c>
      <c r="C292" s="6" t="s">
        <v>201</v>
      </c>
      <c r="D292" s="6" t="str">
        <f>"刘文坤"</f>
        <v>刘文坤</v>
      </c>
      <c r="E292" s="6" t="str">
        <f t="shared" si="204"/>
        <v>男</v>
      </c>
      <c r="F292" s="6" t="str">
        <f t="shared" si="205"/>
        <v>汉族</v>
      </c>
      <c r="G292" s="6" t="s">
        <v>306</v>
      </c>
      <c r="H292" s="6" t="str">
        <f t="shared" si="198"/>
        <v>专科</v>
      </c>
      <c r="I292" s="6" t="str">
        <f>"2023-07-01"</f>
        <v>2023-07-01</v>
      </c>
      <c r="J292" s="6" t="str">
        <f>"洛阳职业技术学院"</f>
        <v>洛阳职业技术学院</v>
      </c>
      <c r="K292" s="6" t="str">
        <f>"临床医学"</f>
        <v>临床医学</v>
      </c>
    </row>
    <row r="293" ht="25" customHeight="1" spans="1:11">
      <c r="A293" s="4" t="s">
        <v>22</v>
      </c>
      <c r="B293" s="5">
        <v>291</v>
      </c>
      <c r="C293" s="6" t="s">
        <v>62</v>
      </c>
      <c r="D293" s="6" t="str">
        <f>"仝迪"</f>
        <v>仝迪</v>
      </c>
      <c r="E293" s="6" t="str">
        <f t="shared" si="206"/>
        <v>女</v>
      </c>
      <c r="F293" s="6" t="str">
        <f t="shared" si="205"/>
        <v>汉族</v>
      </c>
      <c r="G293" s="6" t="s">
        <v>307</v>
      </c>
      <c r="H293" s="6" t="str">
        <f t="shared" si="198"/>
        <v>专科</v>
      </c>
      <c r="I293" s="6" t="str">
        <f>"2023-08-02"</f>
        <v>2023-08-02</v>
      </c>
      <c r="J293" s="6" t="str">
        <f>"周口职业技术学院"</f>
        <v>周口职业技术学院</v>
      </c>
      <c r="K293" s="6" t="str">
        <f t="shared" si="203"/>
        <v>医学影像技术</v>
      </c>
    </row>
    <row r="294" ht="25" customHeight="1" spans="1:11">
      <c r="A294" s="4" t="s">
        <v>22</v>
      </c>
      <c r="B294" s="5">
        <v>292</v>
      </c>
      <c r="C294" s="6" t="s">
        <v>46</v>
      </c>
      <c r="D294" s="6" t="str">
        <f>"郭勇"</f>
        <v>郭勇</v>
      </c>
      <c r="E294" s="6" t="str">
        <f t="shared" si="204"/>
        <v>男</v>
      </c>
      <c r="F294" s="6" t="str">
        <f t="shared" si="205"/>
        <v>汉族</v>
      </c>
      <c r="G294" s="6" t="s">
        <v>308</v>
      </c>
      <c r="H294" s="6" t="str">
        <f t="shared" si="198"/>
        <v>专科</v>
      </c>
      <c r="I294" s="6" t="str">
        <f>"2026-10-01"</f>
        <v>2026-10-01</v>
      </c>
      <c r="J294" s="6" t="str">
        <f>"河南科技职业大学"</f>
        <v>河南科技职业大学</v>
      </c>
      <c r="K294" s="6" t="str">
        <f t="shared" si="203"/>
        <v>医学影像技术</v>
      </c>
    </row>
    <row r="295" ht="25" customHeight="1" spans="1:11">
      <c r="A295" s="4" t="s">
        <v>22</v>
      </c>
      <c r="B295" s="5">
        <v>293</v>
      </c>
      <c r="C295" s="6" t="s">
        <v>23</v>
      </c>
      <c r="D295" s="6" t="str">
        <f>"王子杰"</f>
        <v>王子杰</v>
      </c>
      <c r="E295" s="6" t="str">
        <f t="shared" si="204"/>
        <v>男</v>
      </c>
      <c r="F295" s="6" t="str">
        <f t="shared" si="205"/>
        <v>汉族</v>
      </c>
      <c r="G295" s="6" t="s">
        <v>309</v>
      </c>
      <c r="H295" s="6" t="str">
        <f t="shared" si="198"/>
        <v>专科</v>
      </c>
      <c r="I295" s="6" t="str">
        <f>"2020.7"</f>
        <v>2020.7</v>
      </c>
      <c r="J295" s="6" t="str">
        <f>"商丘医学高等专科学校"</f>
        <v>商丘医学高等专科学校</v>
      </c>
      <c r="K295" s="6" t="str">
        <f t="shared" si="203"/>
        <v>医学影像技术</v>
      </c>
    </row>
    <row r="296" ht="25" customHeight="1" spans="1:11">
      <c r="A296" s="4" t="s">
        <v>28</v>
      </c>
      <c r="B296" s="5">
        <v>294</v>
      </c>
      <c r="C296" s="6" t="s">
        <v>31</v>
      </c>
      <c r="D296" s="6" t="str">
        <f>"郭阳珂"</f>
        <v>郭阳珂</v>
      </c>
      <c r="E296" s="6" t="str">
        <f t="shared" si="206"/>
        <v>女</v>
      </c>
      <c r="F296" s="6" t="str">
        <f t="shared" si="205"/>
        <v>汉族</v>
      </c>
      <c r="G296" s="6" t="s">
        <v>310</v>
      </c>
      <c r="H296" s="6" t="str">
        <f>"本科"</f>
        <v>本科</v>
      </c>
      <c r="I296" s="6" t="str">
        <f>"2023-07-01"</f>
        <v>2023-07-01</v>
      </c>
      <c r="J296" s="6" t="str">
        <f>"新乡医学院三全学院"</f>
        <v>新乡医学院三全学院</v>
      </c>
      <c r="K296" s="6" t="str">
        <f>"医学检验技术"</f>
        <v>医学检验技术</v>
      </c>
    </row>
    <row r="297" ht="25" customHeight="1" spans="1:11">
      <c r="A297" s="4" t="s">
        <v>22</v>
      </c>
      <c r="B297" s="5">
        <v>295</v>
      </c>
      <c r="C297" s="6" t="s">
        <v>23</v>
      </c>
      <c r="D297" s="6" t="str">
        <f>"伍洲龙"</f>
        <v>伍洲龙</v>
      </c>
      <c r="E297" s="6" t="str">
        <f t="shared" ref="E297:E300" si="207">"男"</f>
        <v>男</v>
      </c>
      <c r="F297" s="6" t="str">
        <f t="shared" si="205"/>
        <v>汉族</v>
      </c>
      <c r="G297" s="6" t="s">
        <v>311</v>
      </c>
      <c r="H297" s="6" t="str">
        <f t="shared" ref="H297:H310" si="208">"专科"</f>
        <v>专科</v>
      </c>
      <c r="I297" s="6" t="str">
        <f>"2021-06-30"</f>
        <v>2021-06-30</v>
      </c>
      <c r="J297" s="6" t="str">
        <f>"湘潭医卫职业技术学院"</f>
        <v>湘潭医卫职业技术学院</v>
      </c>
      <c r="K297" s="6" t="str">
        <f>"医学影像技术"</f>
        <v>医学影像技术</v>
      </c>
    </row>
    <row r="298" ht="25" customHeight="1" spans="1:11">
      <c r="A298" s="4" t="s">
        <v>22</v>
      </c>
      <c r="B298" s="5">
        <v>296</v>
      </c>
      <c r="C298" s="6" t="s">
        <v>23</v>
      </c>
      <c r="D298" s="6" t="str">
        <f>"张青松"</f>
        <v>张青松</v>
      </c>
      <c r="E298" s="6" t="str">
        <f t="shared" si="207"/>
        <v>男</v>
      </c>
      <c r="F298" s="6" t="str">
        <f t="shared" si="205"/>
        <v>汉族</v>
      </c>
      <c r="G298" s="6" t="s">
        <v>312</v>
      </c>
      <c r="H298" s="6" t="str">
        <f>"本科"</f>
        <v>本科</v>
      </c>
      <c r="I298" s="6" t="str">
        <f>"2021-06-21"</f>
        <v>2021-06-21</v>
      </c>
      <c r="J298" s="6" t="str">
        <f>"新乡医学院"</f>
        <v>新乡医学院</v>
      </c>
      <c r="K298" s="6" t="str">
        <f>"医学影像技术"</f>
        <v>医学影像技术</v>
      </c>
    </row>
    <row r="299" ht="25" customHeight="1" spans="1:11">
      <c r="A299" s="4" t="s">
        <v>19</v>
      </c>
      <c r="B299" s="5">
        <v>297</v>
      </c>
      <c r="C299" s="6" t="s">
        <v>39</v>
      </c>
      <c r="D299" s="6" t="str">
        <f>"宋杨"</f>
        <v>宋杨</v>
      </c>
      <c r="E299" s="6" t="str">
        <f t="shared" ref="E299:E304" si="209">"女"</f>
        <v>女</v>
      </c>
      <c r="F299" s="6" t="str">
        <f t="shared" si="205"/>
        <v>汉族</v>
      </c>
      <c r="G299" s="6" t="s">
        <v>313</v>
      </c>
      <c r="H299" s="6" t="str">
        <f t="shared" si="208"/>
        <v>专科</v>
      </c>
      <c r="I299" s="6" t="str">
        <f>"2023-07-01"</f>
        <v>2023-07-01</v>
      </c>
      <c r="J299" s="6" t="str">
        <f t="shared" ref="J299:J303" si="210">"南阳医学高等专科学校"</f>
        <v>南阳医学高等专科学校</v>
      </c>
      <c r="K299" s="6" t="str">
        <f t="shared" ref="K299:K304" si="211">"临床医学"</f>
        <v>临床医学</v>
      </c>
    </row>
    <row r="300" ht="25" customHeight="1" spans="1:11">
      <c r="A300" s="4" t="s">
        <v>19</v>
      </c>
      <c r="B300" s="5">
        <v>298</v>
      </c>
      <c r="C300" s="6" t="s">
        <v>39</v>
      </c>
      <c r="D300" s="6" t="str">
        <f>"王湛霖"</f>
        <v>王湛霖</v>
      </c>
      <c r="E300" s="6" t="str">
        <f t="shared" si="207"/>
        <v>男</v>
      </c>
      <c r="F300" s="6" t="str">
        <f t="shared" si="205"/>
        <v>汉族</v>
      </c>
      <c r="G300" s="6" t="s">
        <v>314</v>
      </c>
      <c r="H300" s="6" t="str">
        <f t="shared" si="208"/>
        <v>专科</v>
      </c>
      <c r="I300" s="6" t="str">
        <f>"2022-07-01"</f>
        <v>2022-07-01</v>
      </c>
      <c r="J300" s="6" t="str">
        <f>"商丘医学高等专科学校"</f>
        <v>商丘医学高等专科学校</v>
      </c>
      <c r="K300" s="6" t="str">
        <f t="shared" si="211"/>
        <v>临床医学</v>
      </c>
    </row>
    <row r="301" ht="25" customHeight="1" spans="1:11">
      <c r="A301" s="4" t="s">
        <v>50</v>
      </c>
      <c r="B301" s="5">
        <v>299</v>
      </c>
      <c r="C301" s="6" t="s">
        <v>51</v>
      </c>
      <c r="D301" s="6" t="str">
        <f>"薛洋子"</f>
        <v>薛洋子</v>
      </c>
      <c r="E301" s="6" t="str">
        <f t="shared" si="209"/>
        <v>女</v>
      </c>
      <c r="F301" s="6" t="str">
        <f t="shared" si="205"/>
        <v>汉族</v>
      </c>
      <c r="G301" s="6" t="s">
        <v>315</v>
      </c>
      <c r="H301" s="6" t="str">
        <f t="shared" si="208"/>
        <v>专科</v>
      </c>
      <c r="I301" s="6" t="str">
        <f>"2022-07-01"</f>
        <v>2022-07-01</v>
      </c>
      <c r="J301" s="6" t="str">
        <f t="shared" si="210"/>
        <v>南阳医学高等专科学校</v>
      </c>
      <c r="K301" s="6" t="str">
        <f>"口腔医学"</f>
        <v>口腔医学</v>
      </c>
    </row>
    <row r="302" ht="25" customHeight="1" spans="1:11">
      <c r="A302" s="4" t="s">
        <v>19</v>
      </c>
      <c r="B302" s="5">
        <v>300</v>
      </c>
      <c r="C302" s="6" t="s">
        <v>39</v>
      </c>
      <c r="D302" s="6" t="str">
        <f>"吕静"</f>
        <v>吕静</v>
      </c>
      <c r="E302" s="6" t="str">
        <f t="shared" si="209"/>
        <v>女</v>
      </c>
      <c r="F302" s="6" t="str">
        <f t="shared" si="205"/>
        <v>汉族</v>
      </c>
      <c r="G302" s="6" t="s">
        <v>316</v>
      </c>
      <c r="H302" s="6" t="str">
        <f t="shared" si="208"/>
        <v>专科</v>
      </c>
      <c r="I302" s="6" t="str">
        <f>"2021-06-30"</f>
        <v>2021-06-30</v>
      </c>
      <c r="J302" s="6" t="str">
        <f>"襄阳职业技术学院"</f>
        <v>襄阳职业技术学院</v>
      </c>
      <c r="K302" s="6" t="str">
        <f t="shared" si="211"/>
        <v>临床医学</v>
      </c>
    </row>
    <row r="303" ht="25" customHeight="1" spans="1:11">
      <c r="A303" s="4" t="s">
        <v>19</v>
      </c>
      <c r="B303" s="5">
        <v>301</v>
      </c>
      <c r="C303" s="6" t="s">
        <v>51</v>
      </c>
      <c r="D303" s="6" t="str">
        <f>"余冠锦"</f>
        <v>余冠锦</v>
      </c>
      <c r="E303" s="6" t="str">
        <f t="shared" si="209"/>
        <v>女</v>
      </c>
      <c r="F303" s="6" t="str">
        <f t="shared" si="205"/>
        <v>汉族</v>
      </c>
      <c r="G303" s="6" t="s">
        <v>317</v>
      </c>
      <c r="H303" s="6" t="str">
        <f t="shared" si="208"/>
        <v>专科</v>
      </c>
      <c r="I303" s="6" t="str">
        <f t="shared" ref="I303:I306" si="212">"2023-07-01"</f>
        <v>2023-07-01</v>
      </c>
      <c r="J303" s="6" t="str">
        <f t="shared" si="210"/>
        <v>南阳医学高等专科学校</v>
      </c>
      <c r="K303" s="6" t="str">
        <f t="shared" si="211"/>
        <v>临床医学</v>
      </c>
    </row>
    <row r="304" ht="25" customHeight="1" spans="1:11">
      <c r="A304" s="4" t="s">
        <v>19</v>
      </c>
      <c r="B304" s="5">
        <v>302</v>
      </c>
      <c r="C304" s="6" t="s">
        <v>233</v>
      </c>
      <c r="D304" s="6" t="str">
        <f>"郭恒宏"</f>
        <v>郭恒宏</v>
      </c>
      <c r="E304" s="6" t="str">
        <f t="shared" si="209"/>
        <v>女</v>
      </c>
      <c r="F304" s="6" t="str">
        <f t="shared" si="205"/>
        <v>汉族</v>
      </c>
      <c r="G304" s="6" t="s">
        <v>318</v>
      </c>
      <c r="H304" s="6" t="str">
        <f t="shared" si="208"/>
        <v>专科</v>
      </c>
      <c r="I304" s="6" t="str">
        <f>"2020-07-01"</f>
        <v>2020-07-01</v>
      </c>
      <c r="J304" s="6" t="str">
        <f>"郑州澍青医学高等专科学校"</f>
        <v>郑州澍青医学高等专科学校</v>
      </c>
      <c r="K304" s="6" t="str">
        <f t="shared" si="211"/>
        <v>临床医学</v>
      </c>
    </row>
    <row r="305" ht="25" customHeight="1" spans="1:11">
      <c r="A305" s="4" t="s">
        <v>14</v>
      </c>
      <c r="B305" s="5">
        <v>303</v>
      </c>
      <c r="C305" s="6" t="s">
        <v>17</v>
      </c>
      <c r="D305" s="6" t="str">
        <f>"梅爱文"</f>
        <v>梅爱文</v>
      </c>
      <c r="E305" s="6" t="str">
        <f t="shared" ref="E305:E310" si="213">"男"</f>
        <v>男</v>
      </c>
      <c r="F305" s="6" t="str">
        <f t="shared" si="205"/>
        <v>汉族</v>
      </c>
      <c r="G305" s="6" t="s">
        <v>319</v>
      </c>
      <c r="H305" s="6" t="str">
        <f t="shared" si="208"/>
        <v>专科</v>
      </c>
      <c r="I305" s="6" t="str">
        <f t="shared" si="212"/>
        <v>2023-07-01</v>
      </c>
      <c r="J305" s="6" t="str">
        <f t="shared" ref="J305:J310" si="214">"南阳医学高等专科学校"</f>
        <v>南阳医学高等专科学校</v>
      </c>
      <c r="K305" s="6" t="str">
        <f t="shared" ref="K305:K310" si="215">"中医学"</f>
        <v>中医学</v>
      </c>
    </row>
    <row r="306" ht="25" customHeight="1" spans="1:11">
      <c r="A306" s="4" t="s">
        <v>19</v>
      </c>
      <c r="B306" s="5">
        <v>304</v>
      </c>
      <c r="C306" s="6" t="s">
        <v>23</v>
      </c>
      <c r="D306" s="6" t="str">
        <f>"刘冰"</f>
        <v>刘冰</v>
      </c>
      <c r="E306" s="6" t="str">
        <f t="shared" ref="E306:E308" si="216">"女"</f>
        <v>女</v>
      </c>
      <c r="F306" s="6" t="str">
        <f t="shared" si="205"/>
        <v>汉族</v>
      </c>
      <c r="G306" s="6" t="s">
        <v>320</v>
      </c>
      <c r="H306" s="6" t="str">
        <f t="shared" si="208"/>
        <v>专科</v>
      </c>
      <c r="I306" s="6" t="str">
        <f t="shared" si="212"/>
        <v>2023-07-01</v>
      </c>
      <c r="J306" s="6" t="str">
        <f t="shared" si="214"/>
        <v>南阳医学高等专科学校</v>
      </c>
      <c r="K306" s="6" t="str">
        <f t="shared" ref="K306:K309" si="217">"临床医学"</f>
        <v>临床医学</v>
      </c>
    </row>
    <row r="307" ht="25" customHeight="1" spans="1:11">
      <c r="A307" s="4" t="s">
        <v>19</v>
      </c>
      <c r="B307" s="5">
        <v>305</v>
      </c>
      <c r="C307" s="6" t="s">
        <v>39</v>
      </c>
      <c r="D307" s="6" t="str">
        <f>"邢秋琳"</f>
        <v>邢秋琳</v>
      </c>
      <c r="E307" s="6" t="str">
        <f t="shared" si="216"/>
        <v>女</v>
      </c>
      <c r="F307" s="6" t="str">
        <f t="shared" si="205"/>
        <v>汉族</v>
      </c>
      <c r="G307" s="6" t="s">
        <v>321</v>
      </c>
      <c r="H307" s="6" t="str">
        <f t="shared" si="208"/>
        <v>专科</v>
      </c>
      <c r="I307" s="6" t="str">
        <f>"2021-07-01"</f>
        <v>2021-07-01</v>
      </c>
      <c r="J307" s="6" t="str">
        <f t="shared" si="214"/>
        <v>南阳医学高等专科学校</v>
      </c>
      <c r="K307" s="6" t="str">
        <f t="shared" si="217"/>
        <v>临床医学</v>
      </c>
    </row>
    <row r="308" ht="25" customHeight="1" spans="1:11">
      <c r="A308" s="4" t="s">
        <v>14</v>
      </c>
      <c r="B308" s="5">
        <v>306</v>
      </c>
      <c r="C308" s="6" t="s">
        <v>15</v>
      </c>
      <c r="D308" s="6" t="str">
        <f>"郑菁菁"</f>
        <v>郑菁菁</v>
      </c>
      <c r="E308" s="6" t="str">
        <f t="shared" si="216"/>
        <v>女</v>
      </c>
      <c r="F308" s="6" t="str">
        <f t="shared" si="205"/>
        <v>汉族</v>
      </c>
      <c r="G308" s="6" t="s">
        <v>304</v>
      </c>
      <c r="H308" s="6" t="str">
        <f t="shared" si="208"/>
        <v>专科</v>
      </c>
      <c r="I308" s="6" t="str">
        <f>"2021-07-07"</f>
        <v>2021-07-07</v>
      </c>
      <c r="J308" s="6" t="str">
        <f t="shared" si="214"/>
        <v>南阳医学高等专科学校</v>
      </c>
      <c r="K308" s="6" t="str">
        <f t="shared" si="215"/>
        <v>中医学</v>
      </c>
    </row>
    <row r="309" ht="25" customHeight="1" spans="1:11">
      <c r="A309" s="4" t="s">
        <v>19</v>
      </c>
      <c r="B309" s="5">
        <v>307</v>
      </c>
      <c r="C309" s="6" t="s">
        <v>39</v>
      </c>
      <c r="D309" s="6" t="str">
        <f>"郭朋鑫"</f>
        <v>郭朋鑫</v>
      </c>
      <c r="E309" s="6" t="str">
        <f t="shared" si="213"/>
        <v>男</v>
      </c>
      <c r="F309" s="6" t="str">
        <f t="shared" si="205"/>
        <v>汉族</v>
      </c>
      <c r="G309" s="6" t="s">
        <v>322</v>
      </c>
      <c r="H309" s="6" t="str">
        <f t="shared" si="208"/>
        <v>专科</v>
      </c>
      <c r="I309" s="6" t="str">
        <f>"2017-07-01"</f>
        <v>2017-07-01</v>
      </c>
      <c r="J309" s="6" t="str">
        <f t="shared" si="214"/>
        <v>南阳医学高等专科学校</v>
      </c>
      <c r="K309" s="6" t="str">
        <f t="shared" si="217"/>
        <v>临床医学</v>
      </c>
    </row>
    <row r="310" ht="25" customHeight="1" spans="1:11">
      <c r="A310" s="4" t="s">
        <v>14</v>
      </c>
      <c r="B310" s="5">
        <v>308</v>
      </c>
      <c r="C310" s="6" t="s">
        <v>233</v>
      </c>
      <c r="D310" s="6" t="str">
        <f>"李健"</f>
        <v>李健</v>
      </c>
      <c r="E310" s="6" t="str">
        <f t="shared" si="213"/>
        <v>男</v>
      </c>
      <c r="F310" s="6" t="str">
        <f t="shared" si="205"/>
        <v>汉族</v>
      </c>
      <c r="G310" s="6" t="s">
        <v>323</v>
      </c>
      <c r="H310" s="6" t="str">
        <f t="shared" si="208"/>
        <v>专科</v>
      </c>
      <c r="I310" s="6" t="str">
        <f>"2022-07-01"</f>
        <v>2022-07-01</v>
      </c>
      <c r="J310" s="6" t="str">
        <f t="shared" si="214"/>
        <v>南阳医学高等专科学校</v>
      </c>
      <c r="K310" s="6" t="str">
        <f t="shared" si="215"/>
        <v>中医学</v>
      </c>
    </row>
    <row r="311" ht="25" customHeight="1" spans="1:11">
      <c r="A311" s="4" t="s">
        <v>28</v>
      </c>
      <c r="B311" s="5">
        <v>309</v>
      </c>
      <c r="C311" s="6" t="s">
        <v>29</v>
      </c>
      <c r="D311" s="6" t="str">
        <f>"王亚楠"</f>
        <v>王亚楠</v>
      </c>
      <c r="E311" s="6" t="str">
        <f>"女"</f>
        <v>女</v>
      </c>
      <c r="F311" s="6" t="str">
        <f t="shared" si="205"/>
        <v>汉族</v>
      </c>
      <c r="G311" s="6" t="s">
        <v>324</v>
      </c>
      <c r="H311" s="6" t="str">
        <f>"本科"</f>
        <v>本科</v>
      </c>
      <c r="I311" s="6" t="str">
        <f>"2018-07-01"</f>
        <v>2018-07-01</v>
      </c>
      <c r="J311" s="6" t="str">
        <f>"新乡医学院"</f>
        <v>新乡医学院</v>
      </c>
      <c r="K311" s="6" t="str">
        <f>"医学检验技术"</f>
        <v>医学检验技术</v>
      </c>
    </row>
    <row r="312" ht="25" customHeight="1" spans="1:11">
      <c r="A312" s="4" t="s">
        <v>11</v>
      </c>
      <c r="B312" s="5">
        <v>310</v>
      </c>
      <c r="C312" s="6" t="s">
        <v>12</v>
      </c>
      <c r="D312" s="6" t="str">
        <f>"刘向东"</f>
        <v>刘向东</v>
      </c>
      <c r="E312" s="6" t="str">
        <f t="shared" ref="E312:E323" si="218">"男"</f>
        <v>男</v>
      </c>
      <c r="F312" s="6" t="str">
        <f t="shared" si="205"/>
        <v>汉族</v>
      </c>
      <c r="G312" s="6" t="s">
        <v>325</v>
      </c>
      <c r="H312" s="6" t="str">
        <f t="shared" ref="H312:H321" si="219">"专科"</f>
        <v>专科</v>
      </c>
      <c r="I312" s="6" t="str">
        <f>"2021.06"</f>
        <v>2021.06</v>
      </c>
      <c r="J312" s="6" t="str">
        <f>"郑州工业应用技术学院"</f>
        <v>郑州工业应用技术学院</v>
      </c>
      <c r="K312" s="6" t="str">
        <f>"康复治疗技术"</f>
        <v>康复治疗技术</v>
      </c>
    </row>
    <row r="313" ht="25" customHeight="1" spans="1:11">
      <c r="A313" s="4" t="s">
        <v>14</v>
      </c>
      <c r="B313" s="5">
        <v>311</v>
      </c>
      <c r="C313" s="6" t="s">
        <v>15</v>
      </c>
      <c r="D313" s="6" t="str">
        <f>"赵淦"</f>
        <v>赵淦</v>
      </c>
      <c r="E313" s="6" t="str">
        <f t="shared" si="218"/>
        <v>男</v>
      </c>
      <c r="F313" s="6" t="str">
        <f t="shared" si="205"/>
        <v>汉族</v>
      </c>
      <c r="G313" s="6" t="s">
        <v>218</v>
      </c>
      <c r="H313" s="6" t="str">
        <f t="shared" si="219"/>
        <v>专科</v>
      </c>
      <c r="I313" s="6" t="str">
        <f>"2023-07-01"</f>
        <v>2023-07-01</v>
      </c>
      <c r="J313" s="6" t="str">
        <f>"南阳医学高等专科学校"</f>
        <v>南阳医学高等专科学校</v>
      </c>
      <c r="K313" s="6" t="str">
        <f>"中医学"</f>
        <v>中医学</v>
      </c>
    </row>
    <row r="314" ht="25" customHeight="1" spans="1:11">
      <c r="A314" s="4" t="s">
        <v>19</v>
      </c>
      <c r="B314" s="5">
        <v>312</v>
      </c>
      <c r="C314" s="6" t="s">
        <v>187</v>
      </c>
      <c r="D314" s="6" t="str">
        <f>"李哲"</f>
        <v>李哲</v>
      </c>
      <c r="E314" s="6" t="str">
        <f t="shared" si="218"/>
        <v>男</v>
      </c>
      <c r="F314" s="6" t="str">
        <f t="shared" si="205"/>
        <v>汉族</v>
      </c>
      <c r="G314" s="6" t="s">
        <v>326</v>
      </c>
      <c r="H314" s="6" t="str">
        <f t="shared" si="219"/>
        <v>专科</v>
      </c>
      <c r="I314" s="6" t="str">
        <f>"2023-07-01"</f>
        <v>2023-07-01</v>
      </c>
      <c r="J314" s="6" t="str">
        <f>"南阳医学高等专科学校"</f>
        <v>南阳医学高等专科学校</v>
      </c>
      <c r="K314" s="6" t="str">
        <f t="shared" ref="K314:K320" si="220">"临床医学"</f>
        <v>临床医学</v>
      </c>
    </row>
    <row r="315" ht="25" customHeight="1" spans="1:11">
      <c r="A315" s="4" t="s">
        <v>19</v>
      </c>
      <c r="B315" s="5">
        <v>313</v>
      </c>
      <c r="C315" s="6" t="s">
        <v>23</v>
      </c>
      <c r="D315" s="6" t="str">
        <f>"程福斌"</f>
        <v>程福斌</v>
      </c>
      <c r="E315" s="6" t="str">
        <f t="shared" si="218"/>
        <v>男</v>
      </c>
      <c r="F315" s="6" t="str">
        <f t="shared" si="205"/>
        <v>汉族</v>
      </c>
      <c r="G315" s="6" t="s">
        <v>327</v>
      </c>
      <c r="H315" s="6" t="str">
        <f t="shared" si="219"/>
        <v>专科</v>
      </c>
      <c r="I315" s="6" t="str">
        <f>"2020-07-01"</f>
        <v>2020-07-01</v>
      </c>
      <c r="J315" s="6" t="str">
        <f>"河南医学高等专科学校"</f>
        <v>河南医学高等专科学校</v>
      </c>
      <c r="K315" s="6" t="str">
        <f t="shared" si="220"/>
        <v>临床医学</v>
      </c>
    </row>
    <row r="316" ht="25" customHeight="1" spans="1:11">
      <c r="A316" s="4" t="s">
        <v>19</v>
      </c>
      <c r="B316" s="5">
        <v>314</v>
      </c>
      <c r="C316" s="6" t="s">
        <v>233</v>
      </c>
      <c r="D316" s="6" t="str">
        <f>"程传栋"</f>
        <v>程传栋</v>
      </c>
      <c r="E316" s="6" t="str">
        <f t="shared" si="218"/>
        <v>男</v>
      </c>
      <c r="F316" s="6" t="str">
        <f t="shared" si="205"/>
        <v>汉族</v>
      </c>
      <c r="G316" s="6" t="s">
        <v>328</v>
      </c>
      <c r="H316" s="6" t="str">
        <f t="shared" si="219"/>
        <v>专科</v>
      </c>
      <c r="I316" s="6" t="str">
        <f>"2019-07-02"</f>
        <v>2019-07-02</v>
      </c>
      <c r="J316" s="6" t="str">
        <f>"信阳职业技术学院"</f>
        <v>信阳职业技术学院</v>
      </c>
      <c r="K316" s="6" t="str">
        <f t="shared" si="220"/>
        <v>临床医学</v>
      </c>
    </row>
    <row r="317" ht="25" customHeight="1" spans="1:11">
      <c r="A317" s="4" t="s">
        <v>19</v>
      </c>
      <c r="B317" s="5">
        <v>315</v>
      </c>
      <c r="C317" s="6" t="s">
        <v>39</v>
      </c>
      <c r="D317" s="6" t="str">
        <f>"李乾"</f>
        <v>李乾</v>
      </c>
      <c r="E317" s="6" t="str">
        <f t="shared" si="218"/>
        <v>男</v>
      </c>
      <c r="F317" s="6" t="str">
        <f t="shared" si="205"/>
        <v>汉族</v>
      </c>
      <c r="G317" s="6" t="s">
        <v>37</v>
      </c>
      <c r="H317" s="6" t="str">
        <f t="shared" si="219"/>
        <v>专科</v>
      </c>
      <c r="I317" s="6" t="str">
        <f>"2016-06-30"</f>
        <v>2016-06-30</v>
      </c>
      <c r="J317" s="6" t="str">
        <f>"黄河科技学院"</f>
        <v>黄河科技学院</v>
      </c>
      <c r="K317" s="6" t="str">
        <f t="shared" si="220"/>
        <v>临床医学</v>
      </c>
    </row>
    <row r="318" ht="25" customHeight="1" spans="1:11">
      <c r="A318" s="4" t="s">
        <v>19</v>
      </c>
      <c r="B318" s="5">
        <v>316</v>
      </c>
      <c r="C318" s="6" t="s">
        <v>39</v>
      </c>
      <c r="D318" s="6" t="str">
        <f>"王翰洋"</f>
        <v>王翰洋</v>
      </c>
      <c r="E318" s="6" t="str">
        <f t="shared" si="218"/>
        <v>男</v>
      </c>
      <c r="F318" s="6" t="str">
        <f t="shared" si="205"/>
        <v>汉族</v>
      </c>
      <c r="G318" s="6" t="s">
        <v>329</v>
      </c>
      <c r="H318" s="6" t="str">
        <f t="shared" si="219"/>
        <v>专科</v>
      </c>
      <c r="I318" s="6" t="str">
        <f>"2022-07-01"</f>
        <v>2022-07-01</v>
      </c>
      <c r="J318" s="6" t="str">
        <f>"江苏卫生职业健康学校"</f>
        <v>江苏卫生职业健康学校</v>
      </c>
      <c r="K318" s="6" t="str">
        <f t="shared" si="220"/>
        <v>临床医学</v>
      </c>
    </row>
    <row r="319" ht="25" customHeight="1" spans="1:11">
      <c r="A319" s="4" t="s">
        <v>19</v>
      </c>
      <c r="B319" s="5">
        <v>317</v>
      </c>
      <c r="C319" s="6" t="s">
        <v>71</v>
      </c>
      <c r="D319" s="6" t="str">
        <f>"候洪帅"</f>
        <v>候洪帅</v>
      </c>
      <c r="E319" s="6" t="str">
        <f t="shared" si="218"/>
        <v>男</v>
      </c>
      <c r="F319" s="6" t="str">
        <f t="shared" si="205"/>
        <v>汉族</v>
      </c>
      <c r="G319" s="6" t="s">
        <v>330</v>
      </c>
      <c r="H319" s="6" t="str">
        <f t="shared" si="219"/>
        <v>专科</v>
      </c>
      <c r="I319" s="6" t="str">
        <f>"2020-12-02"</f>
        <v>2020-12-02</v>
      </c>
      <c r="J319" s="6" t="str">
        <f>"南阳医学高等专科学校"</f>
        <v>南阳医学高等专科学校</v>
      </c>
      <c r="K319" s="6" t="str">
        <f t="shared" si="220"/>
        <v>临床医学</v>
      </c>
    </row>
    <row r="320" ht="25" customHeight="1" spans="1:11">
      <c r="A320" s="4" t="s">
        <v>19</v>
      </c>
      <c r="B320" s="5">
        <v>318</v>
      </c>
      <c r="C320" s="6" t="s">
        <v>201</v>
      </c>
      <c r="D320" s="6" t="str">
        <f>"陈智扬"</f>
        <v>陈智扬</v>
      </c>
      <c r="E320" s="6" t="str">
        <f t="shared" si="218"/>
        <v>男</v>
      </c>
      <c r="F320" s="6" t="str">
        <f t="shared" si="205"/>
        <v>汉族</v>
      </c>
      <c r="G320" s="6" t="s">
        <v>331</v>
      </c>
      <c r="H320" s="6" t="str">
        <f t="shared" si="219"/>
        <v>专科</v>
      </c>
      <c r="I320" s="6" t="str">
        <f t="shared" ref="I320:I325" si="221">"2023-07-01"</f>
        <v>2023-07-01</v>
      </c>
      <c r="J320" s="6" t="str">
        <f>"河南护理职业学院"</f>
        <v>河南护理职业学院</v>
      </c>
      <c r="K320" s="6" t="str">
        <f t="shared" si="220"/>
        <v>临床医学</v>
      </c>
    </row>
    <row r="321" ht="25" customHeight="1" spans="1:11">
      <c r="A321" s="4" t="s">
        <v>22</v>
      </c>
      <c r="B321" s="5">
        <v>319</v>
      </c>
      <c r="C321" s="6" t="s">
        <v>46</v>
      </c>
      <c r="D321" s="6" t="str">
        <f>"景政献"</f>
        <v>景政献</v>
      </c>
      <c r="E321" s="6" t="str">
        <f t="shared" si="218"/>
        <v>男</v>
      </c>
      <c r="F321" s="6" t="str">
        <f t="shared" si="205"/>
        <v>汉族</v>
      </c>
      <c r="G321" s="6" t="s">
        <v>332</v>
      </c>
      <c r="H321" s="6" t="str">
        <f t="shared" si="219"/>
        <v>专科</v>
      </c>
      <c r="I321" s="6" t="str">
        <f>"2022-07-01"</f>
        <v>2022-07-01</v>
      </c>
      <c r="J321" s="6" t="str">
        <f>"商丘医学高等专科学校"</f>
        <v>商丘医学高等专科学校</v>
      </c>
      <c r="K321" s="6" t="str">
        <f>"医学影像技术"</f>
        <v>医学影像技术</v>
      </c>
    </row>
    <row r="322" ht="25" customHeight="1" spans="1:11">
      <c r="A322" s="4" t="s">
        <v>19</v>
      </c>
      <c r="B322" s="5">
        <v>320</v>
      </c>
      <c r="C322" s="6" t="s">
        <v>20</v>
      </c>
      <c r="D322" s="6" t="str">
        <f>"杨召"</f>
        <v>杨召</v>
      </c>
      <c r="E322" s="6" t="str">
        <f t="shared" si="218"/>
        <v>男</v>
      </c>
      <c r="F322" s="6" t="str">
        <f t="shared" si="205"/>
        <v>汉族</v>
      </c>
      <c r="G322" s="6" t="s">
        <v>333</v>
      </c>
      <c r="H322" s="6" t="str">
        <f>"本科"</f>
        <v>本科</v>
      </c>
      <c r="I322" s="6" t="str">
        <f>"2020-01-01"</f>
        <v>2020-01-01</v>
      </c>
      <c r="J322" s="6" t="str">
        <f>"信阳职业技术学院"</f>
        <v>信阳职业技术学院</v>
      </c>
      <c r="K322" s="6" t="str">
        <f>"临床医学"</f>
        <v>临床医学</v>
      </c>
    </row>
    <row r="323" ht="25" customHeight="1" spans="1:11">
      <c r="A323" s="4" t="s">
        <v>11</v>
      </c>
      <c r="B323" s="5">
        <v>321</v>
      </c>
      <c r="C323" s="6" t="s">
        <v>17</v>
      </c>
      <c r="D323" s="6" t="str">
        <f>"赵家屹"</f>
        <v>赵家屹</v>
      </c>
      <c r="E323" s="6" t="str">
        <f t="shared" si="218"/>
        <v>男</v>
      </c>
      <c r="F323" s="6" t="str">
        <f t="shared" si="205"/>
        <v>汉族</v>
      </c>
      <c r="G323" s="6" t="s">
        <v>237</v>
      </c>
      <c r="H323" s="6" t="str">
        <f t="shared" ref="H323:H329" si="222">"专科"</f>
        <v>专科</v>
      </c>
      <c r="I323" s="6" t="str">
        <f t="shared" si="221"/>
        <v>2023-07-01</v>
      </c>
      <c r="J323" s="6" t="str">
        <f>"商丘工学院"</f>
        <v>商丘工学院</v>
      </c>
      <c r="K323" s="6" t="str">
        <f>"康复治疗技术"</f>
        <v>康复治疗技术</v>
      </c>
    </row>
    <row r="324" ht="25" customHeight="1" spans="1:11">
      <c r="A324" s="4" t="s">
        <v>11</v>
      </c>
      <c r="B324" s="5">
        <v>322</v>
      </c>
      <c r="C324" s="6" t="s">
        <v>12</v>
      </c>
      <c r="D324" s="6" t="str">
        <f>"吕春雪"</f>
        <v>吕春雪</v>
      </c>
      <c r="E324" s="6" t="str">
        <f t="shared" ref="E324:E327" si="223">"女"</f>
        <v>女</v>
      </c>
      <c r="F324" s="6" t="str">
        <f t="shared" si="205"/>
        <v>汉族</v>
      </c>
      <c r="G324" s="6" t="s">
        <v>88</v>
      </c>
      <c r="H324" s="6" t="str">
        <f t="shared" si="222"/>
        <v>专科</v>
      </c>
      <c r="I324" s="6" t="str">
        <f t="shared" si="221"/>
        <v>2023-07-01</v>
      </c>
      <c r="J324" s="6" t="str">
        <f>"河南推拿职业学院"</f>
        <v>河南推拿职业学院</v>
      </c>
      <c r="K324" s="6" t="str">
        <f>"康复治疗技术"</f>
        <v>康复治疗技术</v>
      </c>
    </row>
    <row r="325" ht="25" customHeight="1" spans="1:11">
      <c r="A325" s="4" t="s">
        <v>50</v>
      </c>
      <c r="B325" s="5">
        <v>323</v>
      </c>
      <c r="C325" s="6" t="s">
        <v>51</v>
      </c>
      <c r="D325" s="6" t="str">
        <f>"张玉莹"</f>
        <v>张玉莹</v>
      </c>
      <c r="E325" s="6" t="str">
        <f t="shared" si="223"/>
        <v>女</v>
      </c>
      <c r="F325" s="6" t="str">
        <f t="shared" si="205"/>
        <v>汉族</v>
      </c>
      <c r="G325" s="6" t="s">
        <v>334</v>
      </c>
      <c r="H325" s="6" t="str">
        <f t="shared" si="222"/>
        <v>专科</v>
      </c>
      <c r="I325" s="6" t="str">
        <f t="shared" si="221"/>
        <v>2023-07-01</v>
      </c>
      <c r="J325" s="6" t="str">
        <f>"漯河医学高等专科学校"</f>
        <v>漯河医学高等专科学校</v>
      </c>
      <c r="K325" s="6" t="str">
        <f>"口腔医学"</f>
        <v>口腔医学</v>
      </c>
    </row>
    <row r="326" ht="25" customHeight="1" spans="1:11">
      <c r="A326" s="4" t="s">
        <v>22</v>
      </c>
      <c r="B326" s="5">
        <v>324</v>
      </c>
      <c r="C326" s="6" t="s">
        <v>23</v>
      </c>
      <c r="D326" s="6" t="str">
        <f>"闫峰"</f>
        <v>闫峰</v>
      </c>
      <c r="E326" s="6" t="str">
        <f>"男"</f>
        <v>男</v>
      </c>
      <c r="F326" s="6" t="str">
        <f t="shared" si="205"/>
        <v>汉族</v>
      </c>
      <c r="G326" s="6" t="s">
        <v>335</v>
      </c>
      <c r="H326" s="6" t="str">
        <f t="shared" si="222"/>
        <v>专科</v>
      </c>
      <c r="I326" s="6" t="str">
        <f>"2019-07-01"</f>
        <v>2019-07-01</v>
      </c>
      <c r="J326" s="6" t="str">
        <f>"郑州澍青医学高等专科学校"</f>
        <v>郑州澍青医学高等专科学校</v>
      </c>
      <c r="K326" s="6" t="str">
        <f>"医学影像技术"</f>
        <v>医学影像技术</v>
      </c>
    </row>
    <row r="327" ht="25" customHeight="1" spans="1:11">
      <c r="A327" s="4" t="s">
        <v>22</v>
      </c>
      <c r="B327" s="5">
        <v>325</v>
      </c>
      <c r="C327" s="6" t="s">
        <v>46</v>
      </c>
      <c r="D327" s="6" t="str">
        <f>"郭玑祯"</f>
        <v>郭玑祯</v>
      </c>
      <c r="E327" s="6" t="str">
        <f t="shared" si="223"/>
        <v>女</v>
      </c>
      <c r="F327" s="6" t="str">
        <f t="shared" si="205"/>
        <v>汉族</v>
      </c>
      <c r="G327" s="6" t="s">
        <v>164</v>
      </c>
      <c r="H327" s="6" t="str">
        <f t="shared" si="222"/>
        <v>专科</v>
      </c>
      <c r="I327" s="6" t="str">
        <f>"2019-07-26"</f>
        <v>2019-07-26</v>
      </c>
      <c r="J327" s="6" t="str">
        <f>"开封大学"</f>
        <v>开封大学</v>
      </c>
      <c r="K327" s="6" t="str">
        <f>"医学影像技术"</f>
        <v>医学影像技术</v>
      </c>
    </row>
    <row r="328" ht="25" customHeight="1" spans="1:11">
      <c r="A328" s="4" t="s">
        <v>50</v>
      </c>
      <c r="B328" s="5">
        <v>326</v>
      </c>
      <c r="C328" s="6" t="s">
        <v>51</v>
      </c>
      <c r="D328" s="6" t="str">
        <f>"李耀成"</f>
        <v>李耀成</v>
      </c>
      <c r="E328" s="6" t="str">
        <f>"男"</f>
        <v>男</v>
      </c>
      <c r="F328" s="6" t="str">
        <f t="shared" si="205"/>
        <v>汉族</v>
      </c>
      <c r="G328" s="6" t="s">
        <v>336</v>
      </c>
      <c r="H328" s="6" t="str">
        <f t="shared" si="222"/>
        <v>专科</v>
      </c>
      <c r="I328" s="6" t="str">
        <f>"201807"</f>
        <v>201807</v>
      </c>
      <c r="J328" s="6" t="str">
        <f>"商丘医学高等专科学校"</f>
        <v>商丘医学高等专科学校</v>
      </c>
      <c r="K328" s="6" t="str">
        <f>"口腔医学"</f>
        <v>口腔医学</v>
      </c>
    </row>
    <row r="329" ht="25" customHeight="1" spans="1:11">
      <c r="A329" s="4" t="s">
        <v>19</v>
      </c>
      <c r="B329" s="5">
        <v>327</v>
      </c>
      <c r="C329" s="6" t="s">
        <v>39</v>
      </c>
      <c r="D329" s="6" t="str">
        <f>"朱丽萍"</f>
        <v>朱丽萍</v>
      </c>
      <c r="E329" s="6" t="str">
        <f>"女"</f>
        <v>女</v>
      </c>
      <c r="F329" s="6" t="str">
        <f t="shared" si="205"/>
        <v>汉族</v>
      </c>
      <c r="G329" s="6" t="s">
        <v>337</v>
      </c>
      <c r="H329" s="6" t="str">
        <f t="shared" si="222"/>
        <v>专科</v>
      </c>
      <c r="I329" s="6" t="str">
        <f>"2022-07-01"</f>
        <v>2022-07-01</v>
      </c>
      <c r="J329" s="6" t="str">
        <f>"南阳医学高等专科学校"</f>
        <v>南阳医学高等专科学校</v>
      </c>
      <c r="K329" s="6" t="str">
        <f>"临床医学"</f>
        <v>临床医学</v>
      </c>
    </row>
  </sheetData>
  <mergeCells count="1">
    <mergeCell ref="B1:K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5607_64cc6077e1646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LinHong</cp:lastModifiedBy>
  <dcterms:created xsi:type="dcterms:W3CDTF">2023-08-04T02:22:00Z</dcterms:created>
  <dcterms:modified xsi:type="dcterms:W3CDTF">2023-08-04T07:52:45Z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43552EAD14164549974183CEB823B189_13</vt:lpwstr>
  </property>
  <property fmtid="{D5CDD505-2E9C-101B-9397-08002B2CF9AE}" pid="3" name="KSOProductBuildVer">
    <vt:lpwstr>2052-11.8.2.8506</vt:lpwstr>
  </property>
</Properties>
</file>