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名单分组" sheetId="1" r:id="rId1"/>
  </sheets>
  <definedNames/>
  <calcPr fullCalcOnLoad="1"/>
</workbook>
</file>

<file path=xl/sharedStrings.xml><?xml version="1.0" encoding="utf-8"?>
<sst xmlns="http://schemas.openxmlformats.org/spreadsheetml/2006/main" count="2548" uniqueCount="23">
  <si>
    <t>海南省公安厅公开招聘警务辅助人员入围体能测评人员名单</t>
  </si>
  <si>
    <t>序号</t>
  </si>
  <si>
    <t>姓名</t>
  </si>
  <si>
    <t>准考证号</t>
  </si>
  <si>
    <t>体测时间</t>
  </si>
  <si>
    <t>人员分组</t>
  </si>
  <si>
    <t>考试号</t>
  </si>
  <si>
    <t>备注</t>
  </si>
  <si>
    <t>7月6日下午</t>
  </si>
  <si>
    <r>
      <t>第1</t>
    </r>
    <r>
      <rPr>
        <sz val="16"/>
        <rFont val="方正书宋_GBK"/>
        <family val="0"/>
      </rPr>
      <t>组</t>
    </r>
  </si>
  <si>
    <r>
      <t>第2</t>
    </r>
    <r>
      <rPr>
        <sz val="16"/>
        <rFont val="方正书宋_GBK"/>
        <family val="0"/>
      </rPr>
      <t>组</t>
    </r>
  </si>
  <si>
    <t>第3组</t>
  </si>
  <si>
    <r>
      <t>第4</t>
    </r>
    <r>
      <rPr>
        <sz val="16"/>
        <rFont val="方正书宋_GBK"/>
        <family val="0"/>
      </rPr>
      <t>组</t>
    </r>
  </si>
  <si>
    <r>
      <t>第5</t>
    </r>
    <r>
      <rPr>
        <sz val="16"/>
        <rFont val="方正书宋_GBK"/>
        <family val="0"/>
      </rPr>
      <t>组</t>
    </r>
  </si>
  <si>
    <r>
      <t>第6</t>
    </r>
    <r>
      <rPr>
        <sz val="16"/>
        <rFont val="方正书宋_GBK"/>
        <family val="0"/>
      </rPr>
      <t>组</t>
    </r>
  </si>
  <si>
    <r>
      <t>第7</t>
    </r>
    <r>
      <rPr>
        <sz val="16"/>
        <rFont val="方正书宋_GBK"/>
        <family val="0"/>
      </rPr>
      <t>组</t>
    </r>
  </si>
  <si>
    <t>7月7日上午</t>
  </si>
  <si>
    <t>第1组</t>
  </si>
  <si>
    <r>
      <t>第</t>
    </r>
    <r>
      <rPr>
        <sz val="16"/>
        <rFont val="Arial"/>
        <family val="2"/>
      </rPr>
      <t>2</t>
    </r>
    <r>
      <rPr>
        <sz val="16"/>
        <rFont val="方正书宋_GBK"/>
        <family val="0"/>
      </rPr>
      <t>组</t>
    </r>
  </si>
  <si>
    <r>
      <t>第3</t>
    </r>
    <r>
      <rPr>
        <sz val="16"/>
        <rFont val="方正书宋_GBK"/>
        <family val="0"/>
      </rPr>
      <t>组</t>
    </r>
  </si>
  <si>
    <t>7月7日下午</t>
  </si>
  <si>
    <t>7月8日上午</t>
  </si>
  <si>
    <t>7月8日下午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</si>
</sst>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22"/>
      <name val="方正小标宋简体"/>
      <family val="0"/>
    </font>
    <font>
      <sz val="18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方正书宋_GBK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2"/>
  <sheetViews>
    <sheetView tabSelected="1" zoomScaleSheetLayoutView="100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24.00390625" style="1" customWidth="1"/>
    <col min="4" max="4" width="21.7109375" style="1" customWidth="1"/>
    <col min="5" max="5" width="18.8515625" style="1" customWidth="1"/>
    <col min="6" max="6" width="14.8515625" style="1" customWidth="1"/>
    <col min="7" max="7" width="13.00390625" style="1" customWidth="1"/>
  </cols>
  <sheetData>
    <row r="1" spans="1:7" ht="42.75" customHeight="1">
      <c r="A1" s="2" t="s">
        <v>0</v>
      </c>
      <c r="B1" s="3"/>
      <c r="C1" s="3"/>
      <c r="D1" s="3"/>
      <c r="E1" s="3"/>
      <c r="F1" s="3"/>
      <c r="G1" s="3"/>
    </row>
    <row r="2" spans="1:7" ht="21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v>1</v>
      </c>
      <c r="B3" s="6" t="str">
        <f>"卢周武"</f>
        <v>卢周武</v>
      </c>
      <c r="C3" s="6" t="str">
        <f>"230702207113"</f>
        <v>230702207113</v>
      </c>
      <c r="D3" s="5" t="s">
        <v>8</v>
      </c>
      <c r="E3" s="5" t="s">
        <v>9</v>
      </c>
      <c r="F3" s="5">
        <v>1</v>
      </c>
      <c r="G3" s="7"/>
    </row>
    <row r="4" spans="1:7" ht="27.75" customHeight="1">
      <c r="A4" s="5">
        <v>2</v>
      </c>
      <c r="B4" s="6" t="str">
        <f>"林道强"</f>
        <v>林道强</v>
      </c>
      <c r="C4" s="6" t="str">
        <f>"230702207501"</f>
        <v>230702207501</v>
      </c>
      <c r="D4" s="5" t="s">
        <v>8</v>
      </c>
      <c r="E4" s="5" t="s">
        <v>9</v>
      </c>
      <c r="F4" s="5">
        <v>2</v>
      </c>
      <c r="G4" s="7"/>
    </row>
    <row r="5" spans="1:7" ht="27.75" customHeight="1">
      <c r="A5" s="5">
        <v>3</v>
      </c>
      <c r="B5" s="6" t="str">
        <f>"陈源孝"</f>
        <v>陈源孝</v>
      </c>
      <c r="C5" s="6" t="str">
        <f>"230702206729"</f>
        <v>230702206729</v>
      </c>
      <c r="D5" s="5" t="s">
        <v>8</v>
      </c>
      <c r="E5" s="5" t="s">
        <v>9</v>
      </c>
      <c r="F5" s="5">
        <v>3</v>
      </c>
      <c r="G5" s="7"/>
    </row>
    <row r="6" spans="1:7" ht="27.75" customHeight="1">
      <c r="A6" s="5">
        <v>4</v>
      </c>
      <c r="B6" s="6" t="str">
        <f>"梁敬源"</f>
        <v>梁敬源</v>
      </c>
      <c r="C6" s="6" t="str">
        <f>"230702206605"</f>
        <v>230702206605</v>
      </c>
      <c r="D6" s="5" t="s">
        <v>8</v>
      </c>
      <c r="E6" s="5" t="s">
        <v>9</v>
      </c>
      <c r="F6" s="5">
        <v>4</v>
      </c>
      <c r="G6" s="7"/>
    </row>
    <row r="7" spans="1:7" ht="27.75" customHeight="1">
      <c r="A7" s="5">
        <v>5</v>
      </c>
      <c r="B7" s="6" t="str">
        <f>"曾敬雄"</f>
        <v>曾敬雄</v>
      </c>
      <c r="C7" s="6" t="str">
        <f>"230702206316"</f>
        <v>230702206316</v>
      </c>
      <c r="D7" s="5" t="s">
        <v>8</v>
      </c>
      <c r="E7" s="5" t="s">
        <v>9</v>
      </c>
      <c r="F7" s="5">
        <v>5</v>
      </c>
      <c r="G7" s="7"/>
    </row>
    <row r="8" spans="1:7" ht="27.75" customHeight="1">
      <c r="A8" s="5">
        <v>6</v>
      </c>
      <c r="B8" s="6" t="str">
        <f>"林帅"</f>
        <v>林帅</v>
      </c>
      <c r="C8" s="6" t="str">
        <f>"230702206319"</f>
        <v>230702206319</v>
      </c>
      <c r="D8" s="5" t="s">
        <v>8</v>
      </c>
      <c r="E8" s="5" t="s">
        <v>9</v>
      </c>
      <c r="F8" s="5">
        <v>6</v>
      </c>
      <c r="G8" s="7"/>
    </row>
    <row r="9" spans="1:7" ht="27.75" customHeight="1">
      <c r="A9" s="5">
        <v>7</v>
      </c>
      <c r="B9" s="6" t="str">
        <f>"符传志"</f>
        <v>符传志</v>
      </c>
      <c r="C9" s="6" t="str">
        <f>"230702207715"</f>
        <v>230702207715</v>
      </c>
      <c r="D9" s="5" t="s">
        <v>8</v>
      </c>
      <c r="E9" s="5" t="s">
        <v>9</v>
      </c>
      <c r="F9" s="5">
        <v>7</v>
      </c>
      <c r="G9" s="7"/>
    </row>
    <row r="10" spans="1:7" ht="27.75" customHeight="1">
      <c r="A10" s="5">
        <v>8</v>
      </c>
      <c r="B10" s="6" t="str">
        <f>"叶鸿"</f>
        <v>叶鸿</v>
      </c>
      <c r="C10" s="6" t="str">
        <f>"230702206515"</f>
        <v>230702206515</v>
      </c>
      <c r="D10" s="5" t="s">
        <v>8</v>
      </c>
      <c r="E10" s="5" t="s">
        <v>9</v>
      </c>
      <c r="F10" s="5">
        <v>8</v>
      </c>
      <c r="G10" s="7"/>
    </row>
    <row r="11" spans="1:7" ht="27.75" customHeight="1">
      <c r="A11" s="5">
        <v>9</v>
      </c>
      <c r="B11" s="6" t="str">
        <f>"刘锡珅"</f>
        <v>刘锡珅</v>
      </c>
      <c r="C11" s="6" t="str">
        <f>"230702206808"</f>
        <v>230702206808</v>
      </c>
      <c r="D11" s="5" t="s">
        <v>8</v>
      </c>
      <c r="E11" s="5" t="s">
        <v>9</v>
      </c>
      <c r="F11" s="5">
        <v>9</v>
      </c>
      <c r="G11" s="7"/>
    </row>
    <row r="12" spans="1:7" ht="27.75" customHeight="1">
      <c r="A12" s="5">
        <v>10</v>
      </c>
      <c r="B12" s="6" t="str">
        <f>"麦赋隆"</f>
        <v>麦赋隆</v>
      </c>
      <c r="C12" s="6" t="str">
        <f>"230702207210"</f>
        <v>230702207210</v>
      </c>
      <c r="D12" s="5" t="s">
        <v>8</v>
      </c>
      <c r="E12" s="5" t="s">
        <v>9</v>
      </c>
      <c r="F12" s="5">
        <v>10</v>
      </c>
      <c r="G12" s="7"/>
    </row>
    <row r="13" spans="1:7" ht="27.75" customHeight="1">
      <c r="A13" s="5">
        <v>11</v>
      </c>
      <c r="B13" s="6" t="str">
        <f>"周宗海"</f>
        <v>周宗海</v>
      </c>
      <c r="C13" s="6" t="str">
        <f>"230702207423"</f>
        <v>230702207423</v>
      </c>
      <c r="D13" s="5" t="s">
        <v>8</v>
      </c>
      <c r="E13" s="5" t="s">
        <v>9</v>
      </c>
      <c r="F13" s="5">
        <v>11</v>
      </c>
      <c r="G13" s="7"/>
    </row>
    <row r="14" spans="1:7" ht="27.75" customHeight="1">
      <c r="A14" s="5">
        <v>12</v>
      </c>
      <c r="B14" s="6" t="str">
        <f>"胡智星"</f>
        <v>胡智星</v>
      </c>
      <c r="C14" s="6" t="str">
        <f>"230702207629"</f>
        <v>230702207629</v>
      </c>
      <c r="D14" s="5" t="s">
        <v>8</v>
      </c>
      <c r="E14" s="5" t="s">
        <v>9</v>
      </c>
      <c r="F14" s="5">
        <v>12</v>
      </c>
      <c r="G14" s="7"/>
    </row>
    <row r="15" spans="1:7" ht="27.75" customHeight="1">
      <c r="A15" s="5">
        <v>13</v>
      </c>
      <c r="B15" s="6" t="str">
        <f>"谢业权"</f>
        <v>谢业权</v>
      </c>
      <c r="C15" s="6" t="str">
        <f>"230702207705"</f>
        <v>230702207705</v>
      </c>
      <c r="D15" s="5" t="s">
        <v>8</v>
      </c>
      <c r="E15" s="5" t="s">
        <v>9</v>
      </c>
      <c r="F15" s="5">
        <v>13</v>
      </c>
      <c r="G15" s="7"/>
    </row>
    <row r="16" spans="1:7" ht="27.75" customHeight="1">
      <c r="A16" s="5">
        <v>14</v>
      </c>
      <c r="B16" s="6" t="str">
        <f>"苏云龙"</f>
        <v>苏云龙</v>
      </c>
      <c r="C16" s="6" t="str">
        <f>"230702206514"</f>
        <v>230702206514</v>
      </c>
      <c r="D16" s="5" t="s">
        <v>8</v>
      </c>
      <c r="E16" s="5" t="s">
        <v>9</v>
      </c>
      <c r="F16" s="5">
        <v>14</v>
      </c>
      <c r="G16" s="7"/>
    </row>
    <row r="17" spans="1:7" ht="27.75" customHeight="1">
      <c r="A17" s="5">
        <v>15</v>
      </c>
      <c r="B17" s="6" t="str">
        <f>"王智帅"</f>
        <v>王智帅</v>
      </c>
      <c r="C17" s="6" t="str">
        <f>"230702207207"</f>
        <v>230702207207</v>
      </c>
      <c r="D17" s="5" t="s">
        <v>8</v>
      </c>
      <c r="E17" s="5" t="s">
        <v>9</v>
      </c>
      <c r="F17" s="5">
        <v>15</v>
      </c>
      <c r="G17" s="7"/>
    </row>
    <row r="18" spans="1:7" ht="27.75" customHeight="1">
      <c r="A18" s="5">
        <v>16</v>
      </c>
      <c r="B18" s="6" t="str">
        <f>"符德君"</f>
        <v>符德君</v>
      </c>
      <c r="C18" s="6" t="str">
        <f>"230702207018"</f>
        <v>230702207018</v>
      </c>
      <c r="D18" s="5" t="s">
        <v>8</v>
      </c>
      <c r="E18" s="5" t="s">
        <v>9</v>
      </c>
      <c r="F18" s="5">
        <v>16</v>
      </c>
      <c r="G18" s="7"/>
    </row>
    <row r="19" spans="1:7" ht="27.75" customHeight="1">
      <c r="A19" s="5">
        <v>17</v>
      </c>
      <c r="B19" s="6" t="str">
        <f>"温洲"</f>
        <v>温洲</v>
      </c>
      <c r="C19" s="6" t="str">
        <f>"230702206420"</f>
        <v>230702206420</v>
      </c>
      <c r="D19" s="5" t="s">
        <v>8</v>
      </c>
      <c r="E19" s="5" t="s">
        <v>9</v>
      </c>
      <c r="F19" s="5">
        <v>17</v>
      </c>
      <c r="G19" s="7"/>
    </row>
    <row r="20" spans="1:7" ht="27.75" customHeight="1">
      <c r="A20" s="5">
        <v>18</v>
      </c>
      <c r="B20" s="6" t="str">
        <f>"李博求"</f>
        <v>李博求</v>
      </c>
      <c r="C20" s="6" t="str">
        <f>"230702206423"</f>
        <v>230702206423</v>
      </c>
      <c r="D20" s="5" t="s">
        <v>8</v>
      </c>
      <c r="E20" s="5" t="s">
        <v>9</v>
      </c>
      <c r="F20" s="5">
        <v>18</v>
      </c>
      <c r="G20" s="7"/>
    </row>
    <row r="21" spans="1:7" ht="27.75" customHeight="1">
      <c r="A21" s="5">
        <v>19</v>
      </c>
      <c r="B21" s="6" t="str">
        <f>"符策钦"</f>
        <v>符策钦</v>
      </c>
      <c r="C21" s="6" t="str">
        <f>"230702206714"</f>
        <v>230702206714</v>
      </c>
      <c r="D21" s="5" t="s">
        <v>8</v>
      </c>
      <c r="E21" s="5" t="s">
        <v>9</v>
      </c>
      <c r="F21" s="5">
        <v>19</v>
      </c>
      <c r="G21" s="7"/>
    </row>
    <row r="22" spans="1:7" ht="27.75" customHeight="1">
      <c r="A22" s="5">
        <v>20</v>
      </c>
      <c r="B22" s="6" t="str">
        <f>"何佳"</f>
        <v>何佳</v>
      </c>
      <c r="C22" s="6" t="str">
        <f>"230702207017"</f>
        <v>230702207017</v>
      </c>
      <c r="D22" s="5" t="s">
        <v>8</v>
      </c>
      <c r="E22" s="5" t="s">
        <v>9</v>
      </c>
      <c r="F22" s="5">
        <v>20</v>
      </c>
      <c r="G22" s="7"/>
    </row>
    <row r="23" spans="1:7" ht="27.75" customHeight="1">
      <c r="A23" s="5">
        <v>21</v>
      </c>
      <c r="B23" s="6" t="str">
        <f>"冯奇"</f>
        <v>冯奇</v>
      </c>
      <c r="C23" s="6" t="str">
        <f>"230702207220"</f>
        <v>230702207220</v>
      </c>
      <c r="D23" s="5" t="s">
        <v>8</v>
      </c>
      <c r="E23" s="5" t="s">
        <v>9</v>
      </c>
      <c r="F23" s="5">
        <v>21</v>
      </c>
      <c r="G23" s="7"/>
    </row>
    <row r="24" spans="1:7" ht="27.75" customHeight="1">
      <c r="A24" s="5">
        <v>22</v>
      </c>
      <c r="B24" s="6" t="str">
        <f>"吴霖"</f>
        <v>吴霖</v>
      </c>
      <c r="C24" s="6" t="str">
        <f>"230702206727"</f>
        <v>230702206727</v>
      </c>
      <c r="D24" s="5" t="s">
        <v>8</v>
      </c>
      <c r="E24" s="5" t="s">
        <v>9</v>
      </c>
      <c r="F24" s="5">
        <v>22</v>
      </c>
      <c r="G24" s="7"/>
    </row>
    <row r="25" spans="1:7" ht="27.75" customHeight="1">
      <c r="A25" s="5">
        <v>23</v>
      </c>
      <c r="B25" s="6" t="str">
        <f>"冯永强"</f>
        <v>冯永强</v>
      </c>
      <c r="C25" s="6" t="str">
        <f>"230702207303"</f>
        <v>230702207303</v>
      </c>
      <c r="D25" s="5" t="s">
        <v>8</v>
      </c>
      <c r="E25" s="5" t="s">
        <v>9</v>
      </c>
      <c r="F25" s="5">
        <v>23</v>
      </c>
      <c r="G25" s="7"/>
    </row>
    <row r="26" spans="1:7" ht="27.75" customHeight="1">
      <c r="A26" s="5">
        <v>24</v>
      </c>
      <c r="B26" s="6" t="str">
        <f>"陈辉煌"</f>
        <v>陈辉煌</v>
      </c>
      <c r="C26" s="6" t="str">
        <f>"230702206920"</f>
        <v>230702206920</v>
      </c>
      <c r="D26" s="5" t="s">
        <v>8</v>
      </c>
      <c r="E26" s="5" t="s">
        <v>9</v>
      </c>
      <c r="F26" s="5">
        <v>24</v>
      </c>
      <c r="G26" s="7"/>
    </row>
    <row r="27" spans="1:7" ht="27.75" customHeight="1">
      <c r="A27" s="5">
        <v>25</v>
      </c>
      <c r="B27" s="6" t="str">
        <f>"王阳辉"</f>
        <v>王阳辉</v>
      </c>
      <c r="C27" s="6" t="str">
        <f>"230702207106"</f>
        <v>230702207106</v>
      </c>
      <c r="D27" s="5" t="s">
        <v>8</v>
      </c>
      <c r="E27" s="5" t="s">
        <v>9</v>
      </c>
      <c r="F27" s="5">
        <v>25</v>
      </c>
      <c r="G27" s="7"/>
    </row>
    <row r="28" spans="1:7" ht="27.75" customHeight="1">
      <c r="A28" s="5">
        <v>26</v>
      </c>
      <c r="B28" s="6" t="str">
        <f>"徐日鹏"</f>
        <v>徐日鹏</v>
      </c>
      <c r="C28" s="6" t="str">
        <f>"230702207117"</f>
        <v>230702207117</v>
      </c>
      <c r="D28" s="5" t="s">
        <v>8</v>
      </c>
      <c r="E28" s="5" t="s">
        <v>9</v>
      </c>
      <c r="F28" s="5">
        <v>26</v>
      </c>
      <c r="G28" s="7"/>
    </row>
    <row r="29" spans="1:7" ht="27.75" customHeight="1">
      <c r="A29" s="5">
        <v>27</v>
      </c>
      <c r="B29" s="6" t="str">
        <f>"董其立"</f>
        <v>董其立</v>
      </c>
      <c r="C29" s="6" t="str">
        <f>"230702207601"</f>
        <v>230702207601</v>
      </c>
      <c r="D29" s="5" t="s">
        <v>8</v>
      </c>
      <c r="E29" s="5" t="s">
        <v>9</v>
      </c>
      <c r="F29" s="5">
        <v>27</v>
      </c>
      <c r="G29" s="7"/>
    </row>
    <row r="30" spans="1:7" ht="27.75" customHeight="1">
      <c r="A30" s="5">
        <v>28</v>
      </c>
      <c r="B30" s="6" t="str">
        <f>"郑心勝"</f>
        <v>郑心勝</v>
      </c>
      <c r="C30" s="6" t="str">
        <f>"230702206617"</f>
        <v>230702206617</v>
      </c>
      <c r="D30" s="5" t="s">
        <v>8</v>
      </c>
      <c r="E30" s="5" t="s">
        <v>9</v>
      </c>
      <c r="F30" s="5">
        <v>28</v>
      </c>
      <c r="G30" s="7"/>
    </row>
    <row r="31" spans="1:7" ht="27.75" customHeight="1">
      <c r="A31" s="5">
        <v>29</v>
      </c>
      <c r="B31" s="6" t="str">
        <f>"方万广"</f>
        <v>方万广</v>
      </c>
      <c r="C31" s="6" t="str">
        <f>"230702206926"</f>
        <v>230702206926</v>
      </c>
      <c r="D31" s="5" t="s">
        <v>8</v>
      </c>
      <c r="E31" s="5" t="s">
        <v>9</v>
      </c>
      <c r="F31" s="5">
        <v>29</v>
      </c>
      <c r="G31" s="7"/>
    </row>
    <row r="32" spans="1:7" ht="27.75" customHeight="1">
      <c r="A32" s="5">
        <v>30</v>
      </c>
      <c r="B32" s="6" t="str">
        <f>"王学才"</f>
        <v>王学才</v>
      </c>
      <c r="C32" s="6" t="str">
        <f>"230702207405"</f>
        <v>230702207405</v>
      </c>
      <c r="D32" s="5" t="s">
        <v>8</v>
      </c>
      <c r="E32" s="5" t="s">
        <v>9</v>
      </c>
      <c r="F32" s="5">
        <v>30</v>
      </c>
      <c r="G32" s="7"/>
    </row>
    <row r="33" spans="1:7" ht="27.75" customHeight="1">
      <c r="A33" s="5">
        <v>31</v>
      </c>
      <c r="B33" s="6" t="str">
        <f>"卓怀东"</f>
        <v>卓怀东</v>
      </c>
      <c r="C33" s="6" t="str">
        <f>"230702206523"</f>
        <v>230702206523</v>
      </c>
      <c r="D33" s="5" t="s">
        <v>8</v>
      </c>
      <c r="E33" s="5" t="s">
        <v>9</v>
      </c>
      <c r="F33" s="5">
        <v>31</v>
      </c>
      <c r="G33" s="7"/>
    </row>
    <row r="34" spans="1:7" ht="27.75" customHeight="1">
      <c r="A34" s="5">
        <v>32</v>
      </c>
      <c r="B34" s="6" t="str">
        <f>"吴育兆"</f>
        <v>吴育兆</v>
      </c>
      <c r="C34" s="6" t="str">
        <f>"230702206329"</f>
        <v>230702206329</v>
      </c>
      <c r="D34" s="5" t="s">
        <v>8</v>
      </c>
      <c r="E34" s="5" t="s">
        <v>9</v>
      </c>
      <c r="F34" s="5">
        <v>32</v>
      </c>
      <c r="G34" s="7"/>
    </row>
    <row r="35" spans="1:7" ht="27.75" customHeight="1">
      <c r="A35" s="5">
        <v>33</v>
      </c>
      <c r="B35" s="6" t="str">
        <f>"莫道贇"</f>
        <v>莫道贇</v>
      </c>
      <c r="C35" s="6" t="str">
        <f>"230702206419"</f>
        <v>230702206419</v>
      </c>
      <c r="D35" s="5" t="s">
        <v>8</v>
      </c>
      <c r="E35" s="5" t="s">
        <v>9</v>
      </c>
      <c r="F35" s="5">
        <v>33</v>
      </c>
      <c r="G35" s="7"/>
    </row>
    <row r="36" spans="1:7" ht="27.75" customHeight="1">
      <c r="A36" s="5">
        <v>34</v>
      </c>
      <c r="B36" s="6" t="str">
        <f>"谭家铭"</f>
        <v>谭家铭</v>
      </c>
      <c r="C36" s="6" t="str">
        <f>"230702206517"</f>
        <v>230702206517</v>
      </c>
      <c r="D36" s="5" t="s">
        <v>8</v>
      </c>
      <c r="E36" s="5" t="s">
        <v>9</v>
      </c>
      <c r="F36" s="5">
        <v>34</v>
      </c>
      <c r="G36" s="7"/>
    </row>
    <row r="37" spans="1:7" ht="27.75" customHeight="1">
      <c r="A37" s="5">
        <v>35</v>
      </c>
      <c r="B37" s="6" t="str">
        <f>"李永山"</f>
        <v>李永山</v>
      </c>
      <c r="C37" s="6" t="str">
        <f>"230702206629"</f>
        <v>230702206629</v>
      </c>
      <c r="D37" s="5" t="s">
        <v>8</v>
      </c>
      <c r="E37" s="5" t="s">
        <v>9</v>
      </c>
      <c r="F37" s="5">
        <v>35</v>
      </c>
      <c r="G37" s="7"/>
    </row>
    <row r="38" spans="1:7" ht="27.75" customHeight="1">
      <c r="A38" s="5">
        <v>36</v>
      </c>
      <c r="B38" s="6" t="str">
        <f>"钟垂咏"</f>
        <v>钟垂咏</v>
      </c>
      <c r="C38" s="6" t="str">
        <f>"230702206824"</f>
        <v>230702206824</v>
      </c>
      <c r="D38" s="5" t="s">
        <v>8</v>
      </c>
      <c r="E38" s="5" t="s">
        <v>9</v>
      </c>
      <c r="F38" s="5">
        <v>36</v>
      </c>
      <c r="G38" s="7"/>
    </row>
    <row r="39" spans="1:7" ht="27.75" customHeight="1">
      <c r="A39" s="5">
        <v>37</v>
      </c>
      <c r="B39" s="6" t="str">
        <f>"王康"</f>
        <v>王康</v>
      </c>
      <c r="C39" s="6" t="str">
        <f>"230702207203"</f>
        <v>230702207203</v>
      </c>
      <c r="D39" s="5" t="s">
        <v>8</v>
      </c>
      <c r="E39" s="5" t="s">
        <v>9</v>
      </c>
      <c r="F39" s="5">
        <v>37</v>
      </c>
      <c r="G39" s="7"/>
    </row>
    <row r="40" spans="1:7" ht="27.75" customHeight="1">
      <c r="A40" s="5">
        <v>38</v>
      </c>
      <c r="B40" s="6" t="str">
        <f>"陈益鹏"</f>
        <v>陈益鹏</v>
      </c>
      <c r="C40" s="6" t="str">
        <f>"230702207522"</f>
        <v>230702207522</v>
      </c>
      <c r="D40" s="5" t="s">
        <v>8</v>
      </c>
      <c r="E40" s="5" t="s">
        <v>9</v>
      </c>
      <c r="F40" s="5">
        <v>38</v>
      </c>
      <c r="G40" s="7"/>
    </row>
    <row r="41" spans="1:7" ht="27.75" customHeight="1">
      <c r="A41" s="5">
        <v>39</v>
      </c>
      <c r="B41" s="6" t="str">
        <f>"纪新照"</f>
        <v>纪新照</v>
      </c>
      <c r="C41" s="6" t="str">
        <f>"230702207619"</f>
        <v>230702207619</v>
      </c>
      <c r="D41" s="5" t="s">
        <v>8</v>
      </c>
      <c r="E41" s="5" t="s">
        <v>9</v>
      </c>
      <c r="F41" s="5">
        <v>39</v>
      </c>
      <c r="G41" s="7"/>
    </row>
    <row r="42" spans="1:7" ht="27.75" customHeight="1">
      <c r="A42" s="5">
        <v>40</v>
      </c>
      <c r="B42" s="6" t="str">
        <f>"何杨"</f>
        <v>何杨</v>
      </c>
      <c r="C42" s="6" t="str">
        <f>"230702207703"</f>
        <v>230702207703</v>
      </c>
      <c r="D42" s="5" t="s">
        <v>8</v>
      </c>
      <c r="E42" s="5" t="s">
        <v>9</v>
      </c>
      <c r="F42" s="5">
        <v>40</v>
      </c>
      <c r="G42" s="7"/>
    </row>
    <row r="43" spans="1:7" ht="27.75" customHeight="1">
      <c r="A43" s="5">
        <v>41</v>
      </c>
      <c r="B43" s="6" t="str">
        <f>"周端"</f>
        <v>周端</v>
      </c>
      <c r="C43" s="6" t="str">
        <f>"230702206613"</f>
        <v>230702206613</v>
      </c>
      <c r="D43" s="5" t="s">
        <v>8</v>
      </c>
      <c r="E43" s="5" t="s">
        <v>9</v>
      </c>
      <c r="F43" s="5">
        <v>41</v>
      </c>
      <c r="G43" s="7"/>
    </row>
    <row r="44" spans="1:7" ht="27.75" customHeight="1">
      <c r="A44" s="5">
        <v>42</v>
      </c>
      <c r="B44" s="6" t="str">
        <f>"王裕达"</f>
        <v>王裕达</v>
      </c>
      <c r="C44" s="6" t="str">
        <f>"230702207102"</f>
        <v>230702207102</v>
      </c>
      <c r="D44" s="5" t="s">
        <v>8</v>
      </c>
      <c r="E44" s="5" t="s">
        <v>9</v>
      </c>
      <c r="F44" s="5">
        <v>42</v>
      </c>
      <c r="G44" s="7"/>
    </row>
    <row r="45" spans="1:7" ht="27.75" customHeight="1">
      <c r="A45" s="5">
        <v>43</v>
      </c>
      <c r="B45" s="6" t="str">
        <f>"陈国政"</f>
        <v>陈国政</v>
      </c>
      <c r="C45" s="6" t="str">
        <f>"230702206806"</f>
        <v>230702206806</v>
      </c>
      <c r="D45" s="5" t="s">
        <v>8</v>
      </c>
      <c r="E45" s="5" t="s">
        <v>9</v>
      </c>
      <c r="F45" s="5">
        <v>43</v>
      </c>
      <c r="G45" s="7"/>
    </row>
    <row r="46" spans="1:7" ht="27.75" customHeight="1">
      <c r="A46" s="5">
        <v>44</v>
      </c>
      <c r="B46" s="6" t="str">
        <f>"苏文祥"</f>
        <v>苏文祥</v>
      </c>
      <c r="C46" s="6" t="str">
        <f>"230702206902"</f>
        <v>230702206902</v>
      </c>
      <c r="D46" s="5" t="s">
        <v>8</v>
      </c>
      <c r="E46" s="5" t="s">
        <v>9</v>
      </c>
      <c r="F46" s="5">
        <v>44</v>
      </c>
      <c r="G46" s="7"/>
    </row>
    <row r="47" spans="1:7" ht="27.75" customHeight="1">
      <c r="A47" s="5">
        <v>45</v>
      </c>
      <c r="B47" s="6" t="str">
        <f>"王俊桦"</f>
        <v>王俊桦</v>
      </c>
      <c r="C47" s="6" t="str">
        <f>"230702206919"</f>
        <v>230702206919</v>
      </c>
      <c r="D47" s="5" t="s">
        <v>8</v>
      </c>
      <c r="E47" s="5" t="s">
        <v>9</v>
      </c>
      <c r="F47" s="5">
        <v>45</v>
      </c>
      <c r="G47" s="7"/>
    </row>
    <row r="48" spans="1:7" ht="27.75" customHeight="1">
      <c r="A48" s="5">
        <v>46</v>
      </c>
      <c r="B48" s="6" t="str">
        <f>"陈英冠"</f>
        <v>陈英冠</v>
      </c>
      <c r="C48" s="6" t="str">
        <f>"230702207007"</f>
        <v>230702207007</v>
      </c>
      <c r="D48" s="5" t="s">
        <v>8</v>
      </c>
      <c r="E48" s="5" t="s">
        <v>9</v>
      </c>
      <c r="F48" s="5">
        <v>46</v>
      </c>
      <c r="G48" s="7"/>
    </row>
    <row r="49" spans="1:7" ht="27.75" customHeight="1">
      <c r="A49" s="5">
        <v>47</v>
      </c>
      <c r="B49" s="6" t="str">
        <f>"王业"</f>
        <v>王业</v>
      </c>
      <c r="C49" s="6" t="str">
        <f>"230702207305"</f>
        <v>230702207305</v>
      </c>
      <c r="D49" s="5" t="s">
        <v>8</v>
      </c>
      <c r="E49" s="5" t="s">
        <v>9</v>
      </c>
      <c r="F49" s="5">
        <v>47</v>
      </c>
      <c r="G49" s="7"/>
    </row>
    <row r="50" spans="1:7" ht="27.75" customHeight="1">
      <c r="A50" s="5">
        <v>48</v>
      </c>
      <c r="B50" s="6" t="str">
        <f>"侯宗宇"</f>
        <v>侯宗宇</v>
      </c>
      <c r="C50" s="6" t="str">
        <f>"230702206306"</f>
        <v>230702206306</v>
      </c>
      <c r="D50" s="5" t="s">
        <v>8</v>
      </c>
      <c r="E50" s="5" t="s">
        <v>9</v>
      </c>
      <c r="F50" s="5">
        <v>48</v>
      </c>
      <c r="G50" s="7"/>
    </row>
    <row r="51" spans="1:7" ht="27.75" customHeight="1">
      <c r="A51" s="5">
        <v>49</v>
      </c>
      <c r="B51" s="6" t="str">
        <f>"洪世辉"</f>
        <v>洪世辉</v>
      </c>
      <c r="C51" s="6" t="str">
        <f>"230702206312"</f>
        <v>230702206312</v>
      </c>
      <c r="D51" s="5" t="s">
        <v>8</v>
      </c>
      <c r="E51" s="5" t="s">
        <v>9</v>
      </c>
      <c r="F51" s="5">
        <v>49</v>
      </c>
      <c r="G51" s="7"/>
    </row>
    <row r="52" spans="1:7" ht="27.75" customHeight="1">
      <c r="A52" s="5">
        <v>50</v>
      </c>
      <c r="B52" s="6" t="str">
        <f>"梁昌民"</f>
        <v>梁昌民</v>
      </c>
      <c r="C52" s="6" t="str">
        <f>"230702207627"</f>
        <v>230702207627</v>
      </c>
      <c r="D52" s="5" t="s">
        <v>8</v>
      </c>
      <c r="E52" s="5" t="s">
        <v>9</v>
      </c>
      <c r="F52" s="5">
        <v>50</v>
      </c>
      <c r="G52" s="7"/>
    </row>
    <row r="53" spans="1:7" ht="27.75" customHeight="1">
      <c r="A53" s="5">
        <v>51</v>
      </c>
      <c r="B53" s="6" t="str">
        <f>"吴锦喜"</f>
        <v>吴锦喜</v>
      </c>
      <c r="C53" s="6" t="str">
        <f>"230702112608"</f>
        <v>230702112608</v>
      </c>
      <c r="D53" s="5" t="s">
        <v>8</v>
      </c>
      <c r="E53" s="5" t="s">
        <v>10</v>
      </c>
      <c r="F53" s="5">
        <v>51</v>
      </c>
      <c r="G53" s="7"/>
    </row>
    <row r="54" spans="1:7" ht="27.75" customHeight="1">
      <c r="A54" s="5">
        <v>52</v>
      </c>
      <c r="B54" s="6" t="str">
        <f>"刘帆"</f>
        <v>刘帆</v>
      </c>
      <c r="C54" s="6" t="str">
        <f>"230702112428"</f>
        <v>230702112428</v>
      </c>
      <c r="D54" s="5" t="s">
        <v>8</v>
      </c>
      <c r="E54" s="5" t="s">
        <v>10</v>
      </c>
      <c r="F54" s="5">
        <v>52</v>
      </c>
      <c r="G54" s="7"/>
    </row>
    <row r="55" spans="1:7" ht="27.75" customHeight="1">
      <c r="A55" s="5">
        <v>53</v>
      </c>
      <c r="B55" s="6" t="str">
        <f>"黎运品"</f>
        <v>黎运品</v>
      </c>
      <c r="C55" s="6" t="str">
        <f>"230702113214"</f>
        <v>230702113214</v>
      </c>
      <c r="D55" s="5" t="s">
        <v>8</v>
      </c>
      <c r="E55" s="5" t="s">
        <v>10</v>
      </c>
      <c r="F55" s="5">
        <v>53</v>
      </c>
      <c r="G55" s="7"/>
    </row>
    <row r="56" spans="1:7" ht="27.75" customHeight="1">
      <c r="A56" s="5">
        <v>54</v>
      </c>
      <c r="B56" s="6" t="str">
        <f>"唐甸邦"</f>
        <v>唐甸邦</v>
      </c>
      <c r="C56" s="6" t="str">
        <f>"230702113422"</f>
        <v>230702113422</v>
      </c>
      <c r="D56" s="5" t="s">
        <v>8</v>
      </c>
      <c r="E56" s="5" t="s">
        <v>10</v>
      </c>
      <c r="F56" s="5">
        <v>54</v>
      </c>
      <c r="G56" s="7"/>
    </row>
    <row r="57" spans="1:7" ht="27.75" customHeight="1">
      <c r="A57" s="5">
        <v>55</v>
      </c>
      <c r="B57" s="6" t="str">
        <f>"戴凯"</f>
        <v>戴凯</v>
      </c>
      <c r="C57" s="6" t="str">
        <f>"230702112020"</f>
        <v>230702112020</v>
      </c>
      <c r="D57" s="5" t="s">
        <v>8</v>
      </c>
      <c r="E57" s="5" t="s">
        <v>10</v>
      </c>
      <c r="F57" s="5">
        <v>55</v>
      </c>
      <c r="G57" s="7"/>
    </row>
    <row r="58" spans="1:7" ht="27.75" customHeight="1">
      <c r="A58" s="5">
        <v>56</v>
      </c>
      <c r="B58" s="6" t="str">
        <f>"林道保"</f>
        <v>林道保</v>
      </c>
      <c r="C58" s="6" t="str">
        <f>"230702113313"</f>
        <v>230702113313</v>
      </c>
      <c r="D58" s="5" t="s">
        <v>8</v>
      </c>
      <c r="E58" s="5" t="s">
        <v>10</v>
      </c>
      <c r="F58" s="5">
        <v>56</v>
      </c>
      <c r="G58" s="7"/>
    </row>
    <row r="59" spans="1:7" ht="27.75" customHeight="1">
      <c r="A59" s="5">
        <v>57</v>
      </c>
      <c r="B59" s="6" t="str">
        <f>"王业康"</f>
        <v>王业康</v>
      </c>
      <c r="C59" s="6" t="str">
        <f>"230702113405"</f>
        <v>230702113405</v>
      </c>
      <c r="D59" s="5" t="s">
        <v>8</v>
      </c>
      <c r="E59" s="5" t="s">
        <v>10</v>
      </c>
      <c r="F59" s="5">
        <v>57</v>
      </c>
      <c r="G59" s="7"/>
    </row>
    <row r="60" spans="1:7" ht="27.75" customHeight="1">
      <c r="A60" s="5">
        <v>58</v>
      </c>
      <c r="B60" s="6" t="str">
        <f>"罗铭"</f>
        <v>罗铭</v>
      </c>
      <c r="C60" s="6" t="str">
        <f>"230702200227"</f>
        <v>230702200227</v>
      </c>
      <c r="D60" s="5" t="s">
        <v>8</v>
      </c>
      <c r="E60" s="5" t="s">
        <v>10</v>
      </c>
      <c r="F60" s="5">
        <v>58</v>
      </c>
      <c r="G60" s="7"/>
    </row>
    <row r="61" spans="1:7" ht="27.75" customHeight="1">
      <c r="A61" s="5">
        <v>59</v>
      </c>
      <c r="B61" s="6" t="str">
        <f>"王永森"</f>
        <v>王永森</v>
      </c>
      <c r="C61" s="6" t="str">
        <f>"230702200621"</f>
        <v>230702200621</v>
      </c>
      <c r="D61" s="5" t="s">
        <v>8</v>
      </c>
      <c r="E61" s="5" t="s">
        <v>10</v>
      </c>
      <c r="F61" s="5">
        <v>59</v>
      </c>
      <c r="G61" s="7"/>
    </row>
    <row r="62" spans="1:7" ht="27.75" customHeight="1">
      <c r="A62" s="5">
        <v>60</v>
      </c>
      <c r="B62" s="6" t="str">
        <f>"华琛"</f>
        <v>华琛</v>
      </c>
      <c r="C62" s="6" t="str">
        <f>"230702112029"</f>
        <v>230702112029</v>
      </c>
      <c r="D62" s="5" t="s">
        <v>8</v>
      </c>
      <c r="E62" s="5" t="s">
        <v>10</v>
      </c>
      <c r="F62" s="5">
        <v>60</v>
      </c>
      <c r="G62" s="7"/>
    </row>
    <row r="63" spans="1:7" ht="27.75" customHeight="1">
      <c r="A63" s="5">
        <v>61</v>
      </c>
      <c r="B63" s="6" t="str">
        <f>"杨生基"</f>
        <v>杨生基</v>
      </c>
      <c r="C63" s="6" t="str">
        <f>"230702112126"</f>
        <v>230702112126</v>
      </c>
      <c r="D63" s="5" t="s">
        <v>8</v>
      </c>
      <c r="E63" s="5" t="s">
        <v>10</v>
      </c>
      <c r="F63" s="5">
        <v>61</v>
      </c>
      <c r="G63" s="7"/>
    </row>
    <row r="64" spans="1:7" ht="27.75" customHeight="1">
      <c r="A64" s="5">
        <v>62</v>
      </c>
      <c r="B64" s="6" t="str">
        <f>"王立威"</f>
        <v>王立威</v>
      </c>
      <c r="C64" s="6" t="str">
        <f>"230702112203"</f>
        <v>230702112203</v>
      </c>
      <c r="D64" s="5" t="s">
        <v>8</v>
      </c>
      <c r="E64" s="5" t="s">
        <v>10</v>
      </c>
      <c r="F64" s="5">
        <v>62</v>
      </c>
      <c r="G64" s="7"/>
    </row>
    <row r="65" spans="1:7" ht="27.75" customHeight="1">
      <c r="A65" s="5">
        <v>63</v>
      </c>
      <c r="B65" s="6" t="str">
        <f>"孔德翔"</f>
        <v>孔德翔</v>
      </c>
      <c r="C65" s="6" t="str">
        <f>"230702113321"</f>
        <v>230702113321</v>
      </c>
      <c r="D65" s="5" t="s">
        <v>8</v>
      </c>
      <c r="E65" s="5" t="s">
        <v>10</v>
      </c>
      <c r="F65" s="5">
        <v>63</v>
      </c>
      <c r="G65" s="7"/>
    </row>
    <row r="66" spans="1:7" ht="27.75" customHeight="1">
      <c r="A66" s="5">
        <v>64</v>
      </c>
      <c r="B66" s="6" t="str">
        <f>"赵海浩"</f>
        <v>赵海浩</v>
      </c>
      <c r="C66" s="6" t="str">
        <f>"230702200112"</f>
        <v>230702200112</v>
      </c>
      <c r="D66" s="5" t="s">
        <v>8</v>
      </c>
      <c r="E66" s="5" t="s">
        <v>10</v>
      </c>
      <c r="F66" s="5">
        <v>64</v>
      </c>
      <c r="G66" s="7"/>
    </row>
    <row r="67" spans="1:7" ht="27.75" customHeight="1">
      <c r="A67" s="5">
        <v>65</v>
      </c>
      <c r="B67" s="6" t="str">
        <f>"吴秉修"</f>
        <v>吴秉修</v>
      </c>
      <c r="C67" s="6" t="str">
        <f>"230702113213"</f>
        <v>230702113213</v>
      </c>
      <c r="D67" s="5" t="s">
        <v>8</v>
      </c>
      <c r="E67" s="5" t="s">
        <v>10</v>
      </c>
      <c r="F67" s="5">
        <v>65</v>
      </c>
      <c r="G67" s="7"/>
    </row>
    <row r="68" spans="1:7" ht="27.75" customHeight="1">
      <c r="A68" s="5">
        <v>66</v>
      </c>
      <c r="B68" s="6" t="str">
        <f>"邱星杨"</f>
        <v>邱星杨</v>
      </c>
      <c r="C68" s="6" t="str">
        <f>"230702112512"</f>
        <v>230702112512</v>
      </c>
      <c r="D68" s="5" t="s">
        <v>8</v>
      </c>
      <c r="E68" s="5" t="s">
        <v>10</v>
      </c>
      <c r="F68" s="5">
        <v>66</v>
      </c>
      <c r="G68" s="7"/>
    </row>
    <row r="69" spans="1:7" ht="27.75" customHeight="1">
      <c r="A69" s="5">
        <v>67</v>
      </c>
      <c r="B69" s="6" t="str">
        <f>"罗祺"</f>
        <v>罗祺</v>
      </c>
      <c r="C69" s="6" t="str">
        <f>"230702112419"</f>
        <v>230702112419</v>
      </c>
      <c r="D69" s="5" t="s">
        <v>8</v>
      </c>
      <c r="E69" s="5" t="s">
        <v>10</v>
      </c>
      <c r="F69" s="5">
        <v>67</v>
      </c>
      <c r="G69" s="7"/>
    </row>
    <row r="70" spans="1:7" ht="27.75" customHeight="1">
      <c r="A70" s="5">
        <v>68</v>
      </c>
      <c r="B70" s="6" t="str">
        <f>"黄龙"</f>
        <v>黄龙</v>
      </c>
      <c r="C70" s="6" t="str">
        <f>"230702112708"</f>
        <v>230702112708</v>
      </c>
      <c r="D70" s="5" t="s">
        <v>8</v>
      </c>
      <c r="E70" s="5" t="s">
        <v>10</v>
      </c>
      <c r="F70" s="5">
        <v>68</v>
      </c>
      <c r="G70" s="7"/>
    </row>
    <row r="71" spans="1:7" ht="27.75" customHeight="1">
      <c r="A71" s="5">
        <v>69</v>
      </c>
      <c r="B71" s="6" t="str">
        <f>"黄振华"</f>
        <v>黄振华</v>
      </c>
      <c r="C71" s="6" t="str">
        <f>"230702113319"</f>
        <v>230702113319</v>
      </c>
      <c r="D71" s="5" t="s">
        <v>8</v>
      </c>
      <c r="E71" s="5" t="s">
        <v>10</v>
      </c>
      <c r="F71" s="5">
        <v>69</v>
      </c>
      <c r="G71" s="7"/>
    </row>
    <row r="72" spans="1:7" ht="27.75" customHeight="1">
      <c r="A72" s="5">
        <v>70</v>
      </c>
      <c r="B72" s="6" t="str">
        <f>"周必武"</f>
        <v>周必武</v>
      </c>
      <c r="C72" s="6" t="str">
        <f>"230702112011"</f>
        <v>230702112011</v>
      </c>
      <c r="D72" s="5" t="s">
        <v>8</v>
      </c>
      <c r="E72" s="5" t="s">
        <v>10</v>
      </c>
      <c r="F72" s="5">
        <v>70</v>
      </c>
      <c r="G72" s="7"/>
    </row>
    <row r="73" spans="1:7" ht="27.75" customHeight="1">
      <c r="A73" s="5">
        <v>71</v>
      </c>
      <c r="B73" s="6" t="str">
        <f>"蒙关绩"</f>
        <v>蒙关绩</v>
      </c>
      <c r="C73" s="6" t="str">
        <f>"230702112820"</f>
        <v>230702112820</v>
      </c>
      <c r="D73" s="5" t="s">
        <v>8</v>
      </c>
      <c r="E73" s="5" t="s">
        <v>10</v>
      </c>
      <c r="F73" s="5">
        <v>71</v>
      </c>
      <c r="G73" s="7"/>
    </row>
    <row r="74" spans="1:7" ht="27.75" customHeight="1">
      <c r="A74" s="5">
        <v>72</v>
      </c>
      <c r="B74" s="6" t="str">
        <f>"李俊文"</f>
        <v>李俊文</v>
      </c>
      <c r="C74" s="6" t="str">
        <f>"230702113318"</f>
        <v>230702113318</v>
      </c>
      <c r="D74" s="5" t="s">
        <v>8</v>
      </c>
      <c r="E74" s="5" t="s">
        <v>10</v>
      </c>
      <c r="F74" s="5">
        <v>72</v>
      </c>
      <c r="G74" s="7"/>
    </row>
    <row r="75" spans="1:7" ht="27.75" customHeight="1">
      <c r="A75" s="5">
        <v>73</v>
      </c>
      <c r="B75" s="6" t="str">
        <f>"陈荣健"</f>
        <v>陈荣健</v>
      </c>
      <c r="C75" s="6" t="str">
        <f>"230702112323"</f>
        <v>230702112323</v>
      </c>
      <c r="D75" s="5" t="s">
        <v>8</v>
      </c>
      <c r="E75" s="5" t="s">
        <v>10</v>
      </c>
      <c r="F75" s="5">
        <v>73</v>
      </c>
      <c r="G75" s="7"/>
    </row>
    <row r="76" spans="1:7" ht="27.75" customHeight="1">
      <c r="A76" s="5">
        <v>74</v>
      </c>
      <c r="B76" s="6" t="str">
        <f>"曾维广"</f>
        <v>曾维广</v>
      </c>
      <c r="C76" s="6" t="str">
        <f>"230702113013"</f>
        <v>230702113013</v>
      </c>
      <c r="D76" s="5" t="s">
        <v>8</v>
      </c>
      <c r="E76" s="5" t="s">
        <v>10</v>
      </c>
      <c r="F76" s="5">
        <v>74</v>
      </c>
      <c r="G76" s="7"/>
    </row>
    <row r="77" spans="1:7" ht="27.75" customHeight="1">
      <c r="A77" s="5">
        <v>75</v>
      </c>
      <c r="B77" s="6" t="str">
        <f>"陈益键"</f>
        <v>陈益键</v>
      </c>
      <c r="C77" s="6" t="str">
        <f>"230702113219"</f>
        <v>230702113219</v>
      </c>
      <c r="D77" s="5" t="s">
        <v>8</v>
      </c>
      <c r="E77" s="5" t="s">
        <v>10</v>
      </c>
      <c r="F77" s="5">
        <v>75</v>
      </c>
      <c r="G77" s="7"/>
    </row>
    <row r="78" spans="1:7" ht="27.75" customHeight="1">
      <c r="A78" s="5">
        <v>76</v>
      </c>
      <c r="B78" s="6" t="str">
        <f>"何杰"</f>
        <v>何杰</v>
      </c>
      <c r="C78" s="6" t="str">
        <f>"230702200506"</f>
        <v>230702200506</v>
      </c>
      <c r="D78" s="5" t="s">
        <v>8</v>
      </c>
      <c r="E78" s="5" t="s">
        <v>10</v>
      </c>
      <c r="F78" s="5">
        <v>76</v>
      </c>
      <c r="G78" s="7"/>
    </row>
    <row r="79" spans="1:7" ht="27.75" customHeight="1">
      <c r="A79" s="5">
        <v>77</v>
      </c>
      <c r="B79" s="6" t="str">
        <f>"麦鸿"</f>
        <v>麦鸿</v>
      </c>
      <c r="C79" s="6" t="str">
        <f>"230702200706"</f>
        <v>230702200706</v>
      </c>
      <c r="D79" s="5" t="s">
        <v>8</v>
      </c>
      <c r="E79" s="5" t="s">
        <v>10</v>
      </c>
      <c r="F79" s="5">
        <v>77</v>
      </c>
      <c r="G79" s="7"/>
    </row>
    <row r="80" spans="1:7" ht="27.75" customHeight="1">
      <c r="A80" s="5">
        <v>78</v>
      </c>
      <c r="B80" s="6" t="str">
        <f>"孔德杨"</f>
        <v>孔德杨</v>
      </c>
      <c r="C80" s="6" t="str">
        <f>"230702112313"</f>
        <v>230702112313</v>
      </c>
      <c r="D80" s="5" t="s">
        <v>8</v>
      </c>
      <c r="E80" s="5" t="s">
        <v>10</v>
      </c>
      <c r="F80" s="5">
        <v>78</v>
      </c>
      <c r="G80" s="7"/>
    </row>
    <row r="81" spans="1:7" ht="27.75" customHeight="1">
      <c r="A81" s="5">
        <v>79</v>
      </c>
      <c r="B81" s="6" t="str">
        <f>"王海勋"</f>
        <v>王海勋</v>
      </c>
      <c r="C81" s="6" t="str">
        <f>"230702112917"</f>
        <v>230702112917</v>
      </c>
      <c r="D81" s="5" t="s">
        <v>8</v>
      </c>
      <c r="E81" s="5" t="s">
        <v>10</v>
      </c>
      <c r="F81" s="5">
        <v>79</v>
      </c>
      <c r="G81" s="7"/>
    </row>
    <row r="82" spans="1:7" ht="27.75" customHeight="1">
      <c r="A82" s="5">
        <v>80</v>
      </c>
      <c r="B82" s="6" t="str">
        <f>"蒙勇良"</f>
        <v>蒙勇良</v>
      </c>
      <c r="C82" s="6" t="str">
        <f>"230702113212"</f>
        <v>230702113212</v>
      </c>
      <c r="D82" s="5" t="s">
        <v>8</v>
      </c>
      <c r="E82" s="5" t="s">
        <v>10</v>
      </c>
      <c r="F82" s="5">
        <v>80</v>
      </c>
      <c r="G82" s="7"/>
    </row>
    <row r="83" spans="1:7" ht="27.75" customHeight="1">
      <c r="A83" s="5">
        <v>81</v>
      </c>
      <c r="B83" s="6" t="str">
        <f>"殷承斌"</f>
        <v>殷承斌</v>
      </c>
      <c r="C83" s="6" t="str">
        <f>"230702113221"</f>
        <v>230702113221</v>
      </c>
      <c r="D83" s="5" t="s">
        <v>8</v>
      </c>
      <c r="E83" s="5" t="s">
        <v>10</v>
      </c>
      <c r="F83" s="5">
        <v>81</v>
      </c>
      <c r="G83" s="7"/>
    </row>
    <row r="84" spans="1:7" ht="27.75" customHeight="1">
      <c r="A84" s="5">
        <v>82</v>
      </c>
      <c r="B84" s="6" t="str">
        <f>"崔灿"</f>
        <v>崔灿</v>
      </c>
      <c r="C84" s="6" t="str">
        <f>"230702113302"</f>
        <v>230702113302</v>
      </c>
      <c r="D84" s="5" t="s">
        <v>8</v>
      </c>
      <c r="E84" s="5" t="s">
        <v>10</v>
      </c>
      <c r="F84" s="5">
        <v>82</v>
      </c>
      <c r="G84" s="7"/>
    </row>
    <row r="85" spans="1:7" ht="27.75" customHeight="1">
      <c r="A85" s="5">
        <v>83</v>
      </c>
      <c r="B85" s="6" t="str">
        <f>"徐明麟"</f>
        <v>徐明麟</v>
      </c>
      <c r="C85" s="6" t="str">
        <f>"230702200222"</f>
        <v>230702200222</v>
      </c>
      <c r="D85" s="5" t="s">
        <v>8</v>
      </c>
      <c r="E85" s="5" t="s">
        <v>10</v>
      </c>
      <c r="F85" s="5">
        <v>83</v>
      </c>
      <c r="G85" s="7"/>
    </row>
    <row r="86" spans="1:7" ht="27.75" customHeight="1">
      <c r="A86" s="5">
        <v>84</v>
      </c>
      <c r="B86" s="6" t="str">
        <f>"李道悦"</f>
        <v>李道悦</v>
      </c>
      <c r="C86" s="6" t="str">
        <f>"230702112927"</f>
        <v>230702112927</v>
      </c>
      <c r="D86" s="5" t="s">
        <v>8</v>
      </c>
      <c r="E86" s="5" t="s">
        <v>10</v>
      </c>
      <c r="F86" s="5">
        <v>84</v>
      </c>
      <c r="G86" s="7"/>
    </row>
    <row r="87" spans="1:7" ht="27.75" customHeight="1">
      <c r="A87" s="5">
        <v>85</v>
      </c>
      <c r="B87" s="6" t="str">
        <f>"蔡兴纳"</f>
        <v>蔡兴纳</v>
      </c>
      <c r="C87" s="6" t="str">
        <f>"230702200620"</f>
        <v>230702200620</v>
      </c>
      <c r="D87" s="5" t="s">
        <v>8</v>
      </c>
      <c r="E87" s="5" t="s">
        <v>10</v>
      </c>
      <c r="F87" s="5">
        <v>85</v>
      </c>
      <c r="G87" s="7"/>
    </row>
    <row r="88" spans="1:7" ht="27.75" customHeight="1">
      <c r="A88" s="5">
        <v>86</v>
      </c>
      <c r="B88" s="6" t="str">
        <f>"吴坤圣"</f>
        <v>吴坤圣</v>
      </c>
      <c r="C88" s="6" t="str">
        <f>"230702112019"</f>
        <v>230702112019</v>
      </c>
      <c r="D88" s="5" t="s">
        <v>8</v>
      </c>
      <c r="E88" s="5" t="s">
        <v>10</v>
      </c>
      <c r="F88" s="5">
        <v>86</v>
      </c>
      <c r="G88" s="7"/>
    </row>
    <row r="89" spans="1:7" ht="27.75" customHeight="1">
      <c r="A89" s="5">
        <v>87</v>
      </c>
      <c r="B89" s="6" t="str">
        <f>"林声再"</f>
        <v>林声再</v>
      </c>
      <c r="C89" s="6" t="str">
        <f>"230702112130"</f>
        <v>230702112130</v>
      </c>
      <c r="D89" s="5" t="s">
        <v>8</v>
      </c>
      <c r="E89" s="5" t="s">
        <v>10</v>
      </c>
      <c r="F89" s="5">
        <v>87</v>
      </c>
      <c r="G89" s="7"/>
    </row>
    <row r="90" spans="1:7" ht="27.75" customHeight="1">
      <c r="A90" s="5">
        <v>88</v>
      </c>
      <c r="B90" s="6" t="str">
        <f>"文云葵"</f>
        <v>文云葵</v>
      </c>
      <c r="C90" s="6" t="str">
        <f>"230702112205"</f>
        <v>230702112205</v>
      </c>
      <c r="D90" s="5" t="s">
        <v>8</v>
      </c>
      <c r="E90" s="5" t="s">
        <v>10</v>
      </c>
      <c r="F90" s="5">
        <v>88</v>
      </c>
      <c r="G90" s="7"/>
    </row>
    <row r="91" spans="1:7" ht="27.75" customHeight="1">
      <c r="A91" s="5">
        <v>89</v>
      </c>
      <c r="B91" s="6" t="str">
        <f>"钟翔"</f>
        <v>钟翔</v>
      </c>
      <c r="C91" s="6" t="str">
        <f>"230702113311"</f>
        <v>230702113311</v>
      </c>
      <c r="D91" s="5" t="s">
        <v>8</v>
      </c>
      <c r="E91" s="5" t="s">
        <v>10</v>
      </c>
      <c r="F91" s="5">
        <v>89</v>
      </c>
      <c r="G91" s="7"/>
    </row>
    <row r="92" spans="1:7" ht="27.75" customHeight="1">
      <c r="A92" s="5">
        <v>90</v>
      </c>
      <c r="B92" s="6" t="str">
        <f>"符晴"</f>
        <v>符晴</v>
      </c>
      <c r="C92" s="6" t="str">
        <f>"230702113412"</f>
        <v>230702113412</v>
      </c>
      <c r="D92" s="5" t="s">
        <v>8</v>
      </c>
      <c r="E92" s="5" t="s">
        <v>10</v>
      </c>
      <c r="F92" s="5">
        <v>90</v>
      </c>
      <c r="G92" s="7"/>
    </row>
    <row r="93" spans="1:7" ht="27.75" customHeight="1">
      <c r="A93" s="5">
        <v>91</v>
      </c>
      <c r="B93" s="6" t="str">
        <f>"孙庭润"</f>
        <v>孙庭润</v>
      </c>
      <c r="C93" s="6" t="str">
        <f>"230702200121"</f>
        <v>230702200121</v>
      </c>
      <c r="D93" s="5" t="s">
        <v>8</v>
      </c>
      <c r="E93" s="5" t="s">
        <v>10</v>
      </c>
      <c r="F93" s="5">
        <v>91</v>
      </c>
      <c r="G93" s="7"/>
    </row>
    <row r="94" spans="1:7" ht="27.75" customHeight="1">
      <c r="A94" s="5">
        <v>92</v>
      </c>
      <c r="B94" s="6" t="str">
        <f>"陈广斌"</f>
        <v>陈广斌</v>
      </c>
      <c r="C94" s="6" t="str">
        <f>"230702200402"</f>
        <v>230702200402</v>
      </c>
      <c r="D94" s="5" t="s">
        <v>8</v>
      </c>
      <c r="E94" s="5" t="s">
        <v>10</v>
      </c>
      <c r="F94" s="5">
        <v>92</v>
      </c>
      <c r="G94" s="7"/>
    </row>
    <row r="95" spans="1:7" ht="27.75" customHeight="1">
      <c r="A95" s="5">
        <v>93</v>
      </c>
      <c r="B95" s="6" t="str">
        <f>"王林彬"</f>
        <v>王林彬</v>
      </c>
      <c r="C95" s="6" t="str">
        <f>"230702200406"</f>
        <v>230702200406</v>
      </c>
      <c r="D95" s="5" t="s">
        <v>8</v>
      </c>
      <c r="E95" s="5" t="s">
        <v>10</v>
      </c>
      <c r="F95" s="5">
        <v>93</v>
      </c>
      <c r="G95" s="7"/>
    </row>
    <row r="96" spans="1:7" ht="27.75" customHeight="1">
      <c r="A96" s="5">
        <v>94</v>
      </c>
      <c r="B96" s="6" t="str">
        <f>"周仁华"</f>
        <v>周仁华</v>
      </c>
      <c r="C96" s="6" t="str">
        <f>"230702200728"</f>
        <v>230702200728</v>
      </c>
      <c r="D96" s="5" t="s">
        <v>8</v>
      </c>
      <c r="E96" s="5" t="s">
        <v>10</v>
      </c>
      <c r="F96" s="5">
        <v>94</v>
      </c>
      <c r="G96" s="7"/>
    </row>
    <row r="97" spans="1:7" ht="27.75" customHeight="1">
      <c r="A97" s="5">
        <v>95</v>
      </c>
      <c r="B97" s="6" t="str">
        <f>"杜柯"</f>
        <v>杜柯</v>
      </c>
      <c r="C97" s="6" t="str">
        <f>"230702112412"</f>
        <v>230702112412</v>
      </c>
      <c r="D97" s="5" t="s">
        <v>8</v>
      </c>
      <c r="E97" s="5" t="s">
        <v>10</v>
      </c>
      <c r="F97" s="5">
        <v>95</v>
      </c>
      <c r="G97" s="7"/>
    </row>
    <row r="98" spans="1:7" ht="27.75" customHeight="1">
      <c r="A98" s="5">
        <v>96</v>
      </c>
      <c r="B98" s="6" t="str">
        <f>"詹忠贤"</f>
        <v>詹忠贤</v>
      </c>
      <c r="C98" s="6" t="str">
        <f>"230702112429"</f>
        <v>230702112429</v>
      </c>
      <c r="D98" s="5" t="s">
        <v>8</v>
      </c>
      <c r="E98" s="5" t="s">
        <v>10</v>
      </c>
      <c r="F98" s="5">
        <v>96</v>
      </c>
      <c r="G98" s="7"/>
    </row>
    <row r="99" spans="1:7" ht="27.75" customHeight="1">
      <c r="A99" s="5">
        <v>97</v>
      </c>
      <c r="B99" s="6" t="str">
        <f>"王焕学"</f>
        <v>王焕学</v>
      </c>
      <c r="C99" s="6" t="str">
        <f>"230702112626"</f>
        <v>230702112626</v>
      </c>
      <c r="D99" s="5" t="s">
        <v>8</v>
      </c>
      <c r="E99" s="5" t="s">
        <v>10</v>
      </c>
      <c r="F99" s="5">
        <v>97</v>
      </c>
      <c r="G99" s="7"/>
    </row>
    <row r="100" spans="1:7" ht="27.75" customHeight="1">
      <c r="A100" s="5">
        <v>98</v>
      </c>
      <c r="B100" s="6" t="str">
        <f>"游景麟"</f>
        <v>游景麟</v>
      </c>
      <c r="C100" s="6" t="str">
        <f>"230702113202"</f>
        <v>230702113202</v>
      </c>
      <c r="D100" s="5" t="s">
        <v>8</v>
      </c>
      <c r="E100" s="5" t="s">
        <v>10</v>
      </c>
      <c r="F100" s="5">
        <v>98</v>
      </c>
      <c r="G100" s="7"/>
    </row>
    <row r="101" spans="1:7" ht="27.75" customHeight="1">
      <c r="A101" s="5">
        <v>99</v>
      </c>
      <c r="B101" s="6" t="str">
        <f>"李德高"</f>
        <v>李德高</v>
      </c>
      <c r="C101" s="6" t="str">
        <f>"230702200509"</f>
        <v>230702200509</v>
      </c>
      <c r="D101" s="5" t="s">
        <v>8</v>
      </c>
      <c r="E101" s="5" t="s">
        <v>10</v>
      </c>
      <c r="F101" s="5">
        <v>99</v>
      </c>
      <c r="G101" s="7"/>
    </row>
    <row r="102" spans="1:7" ht="27.75" customHeight="1">
      <c r="A102" s="5">
        <v>100</v>
      </c>
      <c r="B102" s="6" t="str">
        <f>"陈国骏"</f>
        <v>陈国骏</v>
      </c>
      <c r="C102" s="6" t="str">
        <f>"230702200612"</f>
        <v>230702200612</v>
      </c>
      <c r="D102" s="5" t="s">
        <v>8</v>
      </c>
      <c r="E102" s="5" t="s">
        <v>10</v>
      </c>
      <c r="F102" s="5">
        <v>100</v>
      </c>
      <c r="G102" s="7"/>
    </row>
    <row r="103" spans="1:7" ht="27.75" customHeight="1">
      <c r="A103" s="5">
        <v>101</v>
      </c>
      <c r="B103" s="6" t="str">
        <f>"葛大伟"</f>
        <v>葛大伟</v>
      </c>
      <c r="C103" s="6" t="str">
        <f>"230702202002"</f>
        <v>230702202002</v>
      </c>
      <c r="D103" s="5" t="s">
        <v>8</v>
      </c>
      <c r="E103" s="5" t="s">
        <v>11</v>
      </c>
      <c r="F103" s="5">
        <v>101</v>
      </c>
      <c r="G103" s="7"/>
    </row>
    <row r="104" spans="1:7" ht="27.75" customHeight="1">
      <c r="A104" s="5">
        <v>102</v>
      </c>
      <c r="B104" s="6" t="str">
        <f>"麦海宾"</f>
        <v>麦海宾</v>
      </c>
      <c r="C104" s="6" t="str">
        <f>"230702202712"</f>
        <v>230702202712</v>
      </c>
      <c r="D104" s="5" t="s">
        <v>8</v>
      </c>
      <c r="E104" s="5" t="s">
        <v>11</v>
      </c>
      <c r="F104" s="5">
        <v>102</v>
      </c>
      <c r="G104" s="7"/>
    </row>
    <row r="105" spans="1:7" ht="27.75" customHeight="1">
      <c r="A105" s="5">
        <v>103</v>
      </c>
      <c r="B105" s="6" t="str">
        <f>"董昌杨"</f>
        <v>董昌杨</v>
      </c>
      <c r="C105" s="6" t="str">
        <f>"230702202813"</f>
        <v>230702202813</v>
      </c>
      <c r="D105" s="5" t="s">
        <v>8</v>
      </c>
      <c r="E105" s="5" t="s">
        <v>11</v>
      </c>
      <c r="F105" s="5">
        <v>103</v>
      </c>
      <c r="G105" s="7"/>
    </row>
    <row r="106" spans="1:7" ht="27.75" customHeight="1">
      <c r="A106" s="5">
        <v>104</v>
      </c>
      <c r="B106" s="6" t="str">
        <f>"陈帅"</f>
        <v>陈帅</v>
      </c>
      <c r="C106" s="6" t="str">
        <f>"230702202012"</f>
        <v>230702202012</v>
      </c>
      <c r="D106" s="5" t="s">
        <v>8</v>
      </c>
      <c r="E106" s="5" t="s">
        <v>11</v>
      </c>
      <c r="F106" s="5">
        <v>104</v>
      </c>
      <c r="G106" s="7"/>
    </row>
    <row r="107" spans="1:7" ht="27.75" customHeight="1">
      <c r="A107" s="5">
        <v>105</v>
      </c>
      <c r="B107" s="6" t="str">
        <f>"曾正发"</f>
        <v>曾正发</v>
      </c>
      <c r="C107" s="6" t="str">
        <f>"230702202513"</f>
        <v>230702202513</v>
      </c>
      <c r="D107" s="5" t="s">
        <v>8</v>
      </c>
      <c r="E107" s="5" t="s">
        <v>11</v>
      </c>
      <c r="F107" s="5">
        <v>105</v>
      </c>
      <c r="G107" s="7"/>
    </row>
    <row r="108" spans="1:7" ht="27.75" customHeight="1">
      <c r="A108" s="5">
        <v>106</v>
      </c>
      <c r="B108" s="6" t="str">
        <f>"颜子富"</f>
        <v>颜子富</v>
      </c>
      <c r="C108" s="6" t="str">
        <f>"230702202309"</f>
        <v>230702202309</v>
      </c>
      <c r="D108" s="5" t="s">
        <v>8</v>
      </c>
      <c r="E108" s="5" t="s">
        <v>11</v>
      </c>
      <c r="F108" s="5">
        <v>106</v>
      </c>
      <c r="G108" s="7"/>
    </row>
    <row r="109" spans="1:7" ht="27.75" customHeight="1">
      <c r="A109" s="5">
        <v>107</v>
      </c>
      <c r="B109" s="6" t="str">
        <f>"徐野草"</f>
        <v>徐野草</v>
      </c>
      <c r="C109" s="6" t="str">
        <f>"230702202324"</f>
        <v>230702202324</v>
      </c>
      <c r="D109" s="5" t="s">
        <v>8</v>
      </c>
      <c r="E109" s="5" t="s">
        <v>11</v>
      </c>
      <c r="F109" s="5">
        <v>107</v>
      </c>
      <c r="G109" s="7"/>
    </row>
    <row r="110" spans="1:7" ht="27.75" customHeight="1">
      <c r="A110" s="5">
        <v>108</v>
      </c>
      <c r="B110" s="6" t="str">
        <f>"何泉滨"</f>
        <v>何泉滨</v>
      </c>
      <c r="C110" s="6" t="str">
        <f>"230702202327"</f>
        <v>230702202327</v>
      </c>
      <c r="D110" s="5" t="s">
        <v>8</v>
      </c>
      <c r="E110" s="5" t="s">
        <v>11</v>
      </c>
      <c r="F110" s="5">
        <v>108</v>
      </c>
      <c r="G110" s="7"/>
    </row>
    <row r="111" spans="1:7" ht="27.75" customHeight="1">
      <c r="A111" s="5">
        <v>109</v>
      </c>
      <c r="B111" s="6" t="str">
        <f>"黄家辉"</f>
        <v>黄家辉</v>
      </c>
      <c r="C111" s="6" t="str">
        <f>"230702201829"</f>
        <v>230702201829</v>
      </c>
      <c r="D111" s="5" t="s">
        <v>8</v>
      </c>
      <c r="E111" s="5" t="s">
        <v>11</v>
      </c>
      <c r="F111" s="5">
        <v>109</v>
      </c>
      <c r="G111" s="7"/>
    </row>
    <row r="112" spans="1:7" ht="27.75" customHeight="1">
      <c r="A112" s="5">
        <v>110</v>
      </c>
      <c r="B112" s="6" t="str">
        <f>"邢增笔"</f>
        <v>邢增笔</v>
      </c>
      <c r="C112" s="6" t="str">
        <f>"230702202404"</f>
        <v>230702202404</v>
      </c>
      <c r="D112" s="5" t="s">
        <v>8</v>
      </c>
      <c r="E112" s="5" t="s">
        <v>11</v>
      </c>
      <c r="F112" s="5">
        <v>110</v>
      </c>
      <c r="G112" s="7"/>
    </row>
    <row r="113" spans="1:7" ht="27.75" customHeight="1">
      <c r="A113" s="5">
        <v>111</v>
      </c>
      <c r="B113" s="6" t="str">
        <f>"罗延明"</f>
        <v>罗延明</v>
      </c>
      <c r="C113" s="6" t="str">
        <f>"230702202801"</f>
        <v>230702202801</v>
      </c>
      <c r="D113" s="5" t="s">
        <v>8</v>
      </c>
      <c r="E113" s="5" t="s">
        <v>11</v>
      </c>
      <c r="F113" s="5">
        <v>111</v>
      </c>
      <c r="G113" s="7"/>
    </row>
    <row r="114" spans="1:7" ht="27.75" customHeight="1">
      <c r="A114" s="5">
        <v>112</v>
      </c>
      <c r="B114" s="6" t="str">
        <f>"孙启斌"</f>
        <v>孙启斌</v>
      </c>
      <c r="C114" s="6" t="str">
        <f>"230702202117"</f>
        <v>230702202117</v>
      </c>
      <c r="D114" s="5" t="s">
        <v>8</v>
      </c>
      <c r="E114" s="5" t="s">
        <v>11</v>
      </c>
      <c r="F114" s="5">
        <v>112</v>
      </c>
      <c r="G114" s="7"/>
    </row>
    <row r="115" spans="1:7" ht="27.75" customHeight="1">
      <c r="A115" s="5">
        <v>113</v>
      </c>
      <c r="B115" s="6" t="str">
        <f>"翁良宇"</f>
        <v>翁良宇</v>
      </c>
      <c r="C115" s="6" t="str">
        <f>"230702202304"</f>
        <v>230702202304</v>
      </c>
      <c r="D115" s="5" t="s">
        <v>8</v>
      </c>
      <c r="E115" s="5" t="s">
        <v>11</v>
      </c>
      <c r="F115" s="5">
        <v>113</v>
      </c>
      <c r="G115" s="7"/>
    </row>
    <row r="116" spans="1:7" ht="27.75" customHeight="1">
      <c r="A116" s="5">
        <v>114</v>
      </c>
      <c r="B116" s="6" t="str">
        <f>"陈林"</f>
        <v>陈林</v>
      </c>
      <c r="C116" s="6" t="str">
        <f>"230702202413"</f>
        <v>230702202413</v>
      </c>
      <c r="D116" s="5" t="s">
        <v>8</v>
      </c>
      <c r="E116" s="5" t="s">
        <v>11</v>
      </c>
      <c r="F116" s="5">
        <v>114</v>
      </c>
      <c r="G116" s="7"/>
    </row>
    <row r="117" spans="1:7" ht="27.75" customHeight="1">
      <c r="A117" s="5">
        <v>115</v>
      </c>
      <c r="B117" s="6" t="str">
        <f>"黎凡"</f>
        <v>黎凡</v>
      </c>
      <c r="C117" s="6" t="str">
        <f>"230702202512"</f>
        <v>230702202512</v>
      </c>
      <c r="D117" s="5" t="s">
        <v>8</v>
      </c>
      <c r="E117" s="5" t="s">
        <v>11</v>
      </c>
      <c r="F117" s="5">
        <v>115</v>
      </c>
      <c r="G117" s="7"/>
    </row>
    <row r="118" spans="1:7" ht="27.75" customHeight="1">
      <c r="A118" s="5">
        <v>116</v>
      </c>
      <c r="B118" s="6" t="str">
        <f>"吴发宁"</f>
        <v>吴发宁</v>
      </c>
      <c r="C118" s="6" t="str">
        <f>"230702202817"</f>
        <v>230702202817</v>
      </c>
      <c r="D118" s="5" t="s">
        <v>8</v>
      </c>
      <c r="E118" s="5" t="s">
        <v>11</v>
      </c>
      <c r="F118" s="5">
        <v>116</v>
      </c>
      <c r="G118" s="7"/>
    </row>
    <row r="119" spans="1:7" ht="27.75" customHeight="1">
      <c r="A119" s="5">
        <v>117</v>
      </c>
      <c r="B119" s="6" t="str">
        <f>"符人鹏"</f>
        <v>符人鹏</v>
      </c>
      <c r="C119" s="6" t="str">
        <f>"230702201905"</f>
        <v>230702201905</v>
      </c>
      <c r="D119" s="5" t="s">
        <v>8</v>
      </c>
      <c r="E119" s="5" t="s">
        <v>11</v>
      </c>
      <c r="F119" s="5">
        <v>117</v>
      </c>
      <c r="G119" s="7"/>
    </row>
    <row r="120" spans="1:7" ht="27.75" customHeight="1">
      <c r="A120" s="5">
        <v>118</v>
      </c>
      <c r="B120" s="6" t="str">
        <f>"陈帮斯"</f>
        <v>陈帮斯</v>
      </c>
      <c r="C120" s="6" t="str">
        <f>"230702201919"</f>
        <v>230702201919</v>
      </c>
      <c r="D120" s="5" t="s">
        <v>8</v>
      </c>
      <c r="E120" s="5" t="s">
        <v>11</v>
      </c>
      <c r="F120" s="5">
        <v>118</v>
      </c>
      <c r="G120" s="7"/>
    </row>
    <row r="121" spans="1:7" ht="27.75" customHeight="1">
      <c r="A121" s="5">
        <v>119</v>
      </c>
      <c r="B121" s="6" t="str">
        <f>"何坚"</f>
        <v>何坚</v>
      </c>
      <c r="C121" s="6" t="str">
        <f>"230702202306"</f>
        <v>230702202306</v>
      </c>
      <c r="D121" s="5" t="s">
        <v>8</v>
      </c>
      <c r="E121" s="5" t="s">
        <v>11</v>
      </c>
      <c r="F121" s="5">
        <v>119</v>
      </c>
      <c r="G121" s="7"/>
    </row>
    <row r="122" spans="1:7" ht="27.75" customHeight="1">
      <c r="A122" s="5">
        <v>120</v>
      </c>
      <c r="B122" s="6" t="str">
        <f>"王培健"</f>
        <v>王培健</v>
      </c>
      <c r="C122" s="6" t="str">
        <f>"230702202522"</f>
        <v>230702202522</v>
      </c>
      <c r="D122" s="5" t="s">
        <v>8</v>
      </c>
      <c r="E122" s="5" t="s">
        <v>11</v>
      </c>
      <c r="F122" s="5">
        <v>120</v>
      </c>
      <c r="G122" s="7"/>
    </row>
    <row r="123" spans="1:7" ht="27.75" customHeight="1">
      <c r="A123" s="5">
        <v>121</v>
      </c>
      <c r="B123" s="6" t="str">
        <f>"倪德红"</f>
        <v>倪德红</v>
      </c>
      <c r="C123" s="6" t="str">
        <f>"230702202609"</f>
        <v>230702202609</v>
      </c>
      <c r="D123" s="5" t="s">
        <v>8</v>
      </c>
      <c r="E123" s="5" t="s">
        <v>11</v>
      </c>
      <c r="F123" s="5">
        <v>121</v>
      </c>
      <c r="G123" s="7"/>
    </row>
    <row r="124" spans="1:7" ht="27.75" customHeight="1">
      <c r="A124" s="5">
        <v>122</v>
      </c>
      <c r="B124" s="6" t="str">
        <f>"卓仕虎"</f>
        <v>卓仕虎</v>
      </c>
      <c r="C124" s="6" t="str">
        <f>"230702202107"</f>
        <v>230702202107</v>
      </c>
      <c r="D124" s="5" t="s">
        <v>8</v>
      </c>
      <c r="E124" s="5" t="s">
        <v>11</v>
      </c>
      <c r="F124" s="5">
        <v>122</v>
      </c>
      <c r="G124" s="7"/>
    </row>
    <row r="125" spans="1:7" ht="27.75" customHeight="1">
      <c r="A125" s="5">
        <v>123</v>
      </c>
      <c r="B125" s="6" t="str">
        <f>"张宏茅"</f>
        <v>张宏茅</v>
      </c>
      <c r="C125" s="6" t="str">
        <f>"230702202425"</f>
        <v>230702202425</v>
      </c>
      <c r="D125" s="5" t="s">
        <v>8</v>
      </c>
      <c r="E125" s="5" t="s">
        <v>11</v>
      </c>
      <c r="F125" s="5">
        <v>123</v>
      </c>
      <c r="G125" s="7"/>
    </row>
    <row r="126" spans="1:7" ht="27.75" customHeight="1">
      <c r="A126" s="5">
        <v>124</v>
      </c>
      <c r="B126" s="6" t="str">
        <f>"钟光滨"</f>
        <v>钟光滨</v>
      </c>
      <c r="C126" s="6" t="str">
        <f>"230702201810"</f>
        <v>230702201810</v>
      </c>
      <c r="D126" s="5" t="s">
        <v>8</v>
      </c>
      <c r="E126" s="5" t="s">
        <v>11</v>
      </c>
      <c r="F126" s="5">
        <v>124</v>
      </c>
      <c r="G126" s="7"/>
    </row>
    <row r="127" spans="1:7" ht="27.75" customHeight="1">
      <c r="A127" s="5">
        <v>125</v>
      </c>
      <c r="B127" s="6" t="str">
        <f>"冯成辉"</f>
        <v>冯成辉</v>
      </c>
      <c r="C127" s="6" t="str">
        <f>"230702202018"</f>
        <v>230702202018</v>
      </c>
      <c r="D127" s="5" t="s">
        <v>8</v>
      </c>
      <c r="E127" s="5" t="s">
        <v>11</v>
      </c>
      <c r="F127" s="5">
        <v>125</v>
      </c>
      <c r="G127" s="7"/>
    </row>
    <row r="128" spans="1:7" ht="27.75" customHeight="1">
      <c r="A128" s="5">
        <v>126</v>
      </c>
      <c r="B128" s="6" t="str">
        <f>"王运将"</f>
        <v>王运将</v>
      </c>
      <c r="C128" s="6" t="str">
        <f>"230702202320"</f>
        <v>230702202320</v>
      </c>
      <c r="D128" s="5" t="s">
        <v>8</v>
      </c>
      <c r="E128" s="5" t="s">
        <v>11</v>
      </c>
      <c r="F128" s="5">
        <v>126</v>
      </c>
      <c r="G128" s="7"/>
    </row>
    <row r="129" spans="1:7" ht="27.75" customHeight="1">
      <c r="A129" s="5">
        <v>127</v>
      </c>
      <c r="B129" s="6" t="str">
        <f>"胡峤"</f>
        <v>胡峤</v>
      </c>
      <c r="C129" s="6" t="str">
        <f>"230702202412"</f>
        <v>230702202412</v>
      </c>
      <c r="D129" s="5" t="s">
        <v>8</v>
      </c>
      <c r="E129" s="5" t="s">
        <v>11</v>
      </c>
      <c r="F129" s="5">
        <v>127</v>
      </c>
      <c r="G129" s="7"/>
    </row>
    <row r="130" spans="1:7" ht="27.75" customHeight="1">
      <c r="A130" s="5">
        <v>128</v>
      </c>
      <c r="B130" s="6" t="str">
        <f>"卢靓清"</f>
        <v>卢靓清</v>
      </c>
      <c r="C130" s="6" t="str">
        <f>"230702202503"</f>
        <v>230702202503</v>
      </c>
      <c r="D130" s="5" t="s">
        <v>8</v>
      </c>
      <c r="E130" s="5" t="s">
        <v>11</v>
      </c>
      <c r="F130" s="5">
        <v>128</v>
      </c>
      <c r="G130" s="7"/>
    </row>
    <row r="131" spans="1:7" ht="27.75" customHeight="1">
      <c r="A131" s="5">
        <v>129</v>
      </c>
      <c r="B131" s="6" t="str">
        <f>"唐庚"</f>
        <v>唐庚</v>
      </c>
      <c r="C131" s="6" t="str">
        <f>"230702202218"</f>
        <v>230702202218</v>
      </c>
      <c r="D131" s="5" t="s">
        <v>8</v>
      </c>
      <c r="E131" s="5" t="s">
        <v>11</v>
      </c>
      <c r="F131" s="5">
        <v>129</v>
      </c>
      <c r="G131" s="7"/>
    </row>
    <row r="132" spans="1:7" ht="27.75" customHeight="1">
      <c r="A132" s="5">
        <v>130</v>
      </c>
      <c r="B132" s="6" t="str">
        <f>"蒙秀军"</f>
        <v>蒙秀军</v>
      </c>
      <c r="C132" s="6" t="str">
        <f>"230702202003"</f>
        <v>230702202003</v>
      </c>
      <c r="D132" s="5" t="s">
        <v>8</v>
      </c>
      <c r="E132" s="5" t="s">
        <v>11</v>
      </c>
      <c r="F132" s="5">
        <v>130</v>
      </c>
      <c r="G132" s="7"/>
    </row>
    <row r="133" spans="1:7" ht="27.75" customHeight="1">
      <c r="A133" s="5">
        <v>131</v>
      </c>
      <c r="B133" s="6" t="str">
        <f>"蓝立亚"</f>
        <v>蓝立亚</v>
      </c>
      <c r="C133" s="6" t="str">
        <f>"230702202122"</f>
        <v>230702202122</v>
      </c>
      <c r="D133" s="5" t="s">
        <v>8</v>
      </c>
      <c r="E133" s="5" t="s">
        <v>11</v>
      </c>
      <c r="F133" s="5">
        <v>131</v>
      </c>
      <c r="G133" s="7"/>
    </row>
    <row r="134" spans="1:7" ht="27.75" customHeight="1">
      <c r="A134" s="5">
        <v>132</v>
      </c>
      <c r="B134" s="6" t="str">
        <f>"陈一魏"</f>
        <v>陈一魏</v>
      </c>
      <c r="C134" s="6" t="str">
        <f>"230702202502"</f>
        <v>230702202502</v>
      </c>
      <c r="D134" s="5" t="s">
        <v>8</v>
      </c>
      <c r="E134" s="5" t="s">
        <v>11</v>
      </c>
      <c r="F134" s="5">
        <v>132</v>
      </c>
      <c r="G134" s="7"/>
    </row>
    <row r="135" spans="1:7" ht="27.75" customHeight="1">
      <c r="A135" s="5">
        <v>133</v>
      </c>
      <c r="B135" s="6" t="str">
        <f>"齐志"</f>
        <v>齐志</v>
      </c>
      <c r="C135" s="6" t="str">
        <f>"230702202206"</f>
        <v>230702202206</v>
      </c>
      <c r="D135" s="5" t="s">
        <v>8</v>
      </c>
      <c r="E135" s="5" t="s">
        <v>11</v>
      </c>
      <c r="F135" s="5">
        <v>133</v>
      </c>
      <c r="G135" s="7"/>
    </row>
    <row r="136" spans="1:7" ht="27.75" customHeight="1">
      <c r="A136" s="5">
        <v>134</v>
      </c>
      <c r="B136" s="6" t="str">
        <f>"钟威震"</f>
        <v>钟威震</v>
      </c>
      <c r="C136" s="6" t="str">
        <f>"230702201808"</f>
        <v>230702201808</v>
      </c>
      <c r="D136" s="5" t="s">
        <v>8</v>
      </c>
      <c r="E136" s="5" t="s">
        <v>11</v>
      </c>
      <c r="F136" s="5">
        <v>134</v>
      </c>
      <c r="G136" s="7"/>
    </row>
    <row r="137" spans="1:7" ht="27.75" customHeight="1">
      <c r="A137" s="5">
        <v>135</v>
      </c>
      <c r="B137" s="6" t="str">
        <f>"邢福肖"</f>
        <v>邢福肖</v>
      </c>
      <c r="C137" s="6" t="str">
        <f>"230702201904"</f>
        <v>230702201904</v>
      </c>
      <c r="D137" s="5" t="s">
        <v>8</v>
      </c>
      <c r="E137" s="5" t="s">
        <v>11</v>
      </c>
      <c r="F137" s="5">
        <v>135</v>
      </c>
      <c r="G137" s="7"/>
    </row>
    <row r="138" spans="1:7" ht="27.75" customHeight="1">
      <c r="A138" s="5">
        <v>136</v>
      </c>
      <c r="B138" s="6" t="str">
        <f>"李英"</f>
        <v>李英</v>
      </c>
      <c r="C138" s="6" t="str">
        <f>"230702201914"</f>
        <v>230702201914</v>
      </c>
      <c r="D138" s="5" t="s">
        <v>8</v>
      </c>
      <c r="E138" s="5" t="s">
        <v>11</v>
      </c>
      <c r="F138" s="5">
        <v>136</v>
      </c>
      <c r="G138" s="7"/>
    </row>
    <row r="139" spans="1:7" ht="27.75" customHeight="1">
      <c r="A139" s="5">
        <v>137</v>
      </c>
      <c r="B139" s="6" t="str">
        <f>"李彦隆"</f>
        <v>李彦隆</v>
      </c>
      <c r="C139" s="6" t="str">
        <f>"230702202223"</f>
        <v>230702202223</v>
      </c>
      <c r="D139" s="5" t="s">
        <v>8</v>
      </c>
      <c r="E139" s="5" t="s">
        <v>11</v>
      </c>
      <c r="F139" s="5">
        <v>137</v>
      </c>
      <c r="G139" s="7"/>
    </row>
    <row r="140" spans="1:7" ht="27.75" customHeight="1">
      <c r="A140" s="5">
        <v>138</v>
      </c>
      <c r="B140" s="6" t="str">
        <f>"黄朝辉"</f>
        <v>黄朝辉</v>
      </c>
      <c r="C140" s="6" t="str">
        <f>"230702202319"</f>
        <v>230702202319</v>
      </c>
      <c r="D140" s="5" t="s">
        <v>8</v>
      </c>
      <c r="E140" s="5" t="s">
        <v>11</v>
      </c>
      <c r="F140" s="5">
        <v>138</v>
      </c>
      <c r="G140" s="7"/>
    </row>
    <row r="141" spans="1:7" ht="27.75" customHeight="1">
      <c r="A141" s="5">
        <v>139</v>
      </c>
      <c r="B141" s="6" t="str">
        <f>"董培"</f>
        <v>董培</v>
      </c>
      <c r="C141" s="6" t="str">
        <f>"230702202416"</f>
        <v>230702202416</v>
      </c>
      <c r="D141" s="5" t="s">
        <v>8</v>
      </c>
      <c r="E141" s="5" t="s">
        <v>11</v>
      </c>
      <c r="F141" s="5">
        <v>139</v>
      </c>
      <c r="G141" s="7"/>
    </row>
    <row r="142" spans="1:7" ht="27.75" customHeight="1">
      <c r="A142" s="5">
        <v>140</v>
      </c>
      <c r="B142" s="6" t="str">
        <f>"邢福哲"</f>
        <v>邢福哲</v>
      </c>
      <c r="C142" s="6" t="str">
        <f>"230702202009"</f>
        <v>230702202009</v>
      </c>
      <c r="D142" s="5" t="s">
        <v>8</v>
      </c>
      <c r="E142" s="5" t="s">
        <v>11</v>
      </c>
      <c r="F142" s="5">
        <v>140</v>
      </c>
      <c r="G142" s="7"/>
    </row>
    <row r="143" spans="1:7" ht="27.75" customHeight="1">
      <c r="A143" s="5">
        <v>141</v>
      </c>
      <c r="B143" s="6" t="str">
        <f>"李家定"</f>
        <v>李家定</v>
      </c>
      <c r="C143" s="6" t="str">
        <f>"230702202013"</f>
        <v>230702202013</v>
      </c>
      <c r="D143" s="5" t="s">
        <v>8</v>
      </c>
      <c r="E143" s="5" t="s">
        <v>11</v>
      </c>
      <c r="F143" s="5">
        <v>141</v>
      </c>
      <c r="G143" s="7"/>
    </row>
    <row r="144" spans="1:7" ht="27.75" customHeight="1">
      <c r="A144" s="5">
        <v>142</v>
      </c>
      <c r="B144" s="6" t="str">
        <f>"邱星教"</f>
        <v>邱星教</v>
      </c>
      <c r="C144" s="6" t="str">
        <f>"230702202814"</f>
        <v>230702202814</v>
      </c>
      <c r="D144" s="5" t="s">
        <v>8</v>
      </c>
      <c r="E144" s="5" t="s">
        <v>11</v>
      </c>
      <c r="F144" s="5">
        <v>142</v>
      </c>
      <c r="G144" s="7"/>
    </row>
    <row r="145" spans="1:7" ht="27.75" customHeight="1">
      <c r="A145" s="5">
        <v>143</v>
      </c>
      <c r="B145" s="6" t="str">
        <f>"黄亚滴"</f>
        <v>黄亚滴</v>
      </c>
      <c r="C145" s="6" t="str">
        <f>"230702201912"</f>
        <v>230702201912</v>
      </c>
      <c r="D145" s="5" t="s">
        <v>8</v>
      </c>
      <c r="E145" s="5" t="s">
        <v>11</v>
      </c>
      <c r="F145" s="5">
        <v>143</v>
      </c>
      <c r="G145" s="7"/>
    </row>
    <row r="146" spans="1:7" ht="27.75" customHeight="1">
      <c r="A146" s="5">
        <v>144</v>
      </c>
      <c r="B146" s="6" t="str">
        <f>"张宗泽"</f>
        <v>张宗泽</v>
      </c>
      <c r="C146" s="6" t="str">
        <f>"230702202130"</f>
        <v>230702202130</v>
      </c>
      <c r="D146" s="5" t="s">
        <v>8</v>
      </c>
      <c r="E146" s="5" t="s">
        <v>11</v>
      </c>
      <c r="F146" s="5">
        <v>144</v>
      </c>
      <c r="G146" s="7"/>
    </row>
    <row r="147" spans="1:7" ht="27.75" customHeight="1">
      <c r="A147" s="5">
        <v>145</v>
      </c>
      <c r="B147" s="6" t="str">
        <f>"鲜黄波"</f>
        <v>鲜黄波</v>
      </c>
      <c r="C147" s="6" t="str">
        <f>"230702202323"</f>
        <v>230702202323</v>
      </c>
      <c r="D147" s="5" t="s">
        <v>8</v>
      </c>
      <c r="E147" s="5" t="s">
        <v>11</v>
      </c>
      <c r="F147" s="5">
        <v>145</v>
      </c>
      <c r="G147" s="7"/>
    </row>
    <row r="148" spans="1:7" ht="27.75" customHeight="1">
      <c r="A148" s="5">
        <v>146</v>
      </c>
      <c r="B148" s="6" t="str">
        <f>"陈兴勇"</f>
        <v>陈兴勇</v>
      </c>
      <c r="C148" s="6" t="str">
        <f>"230702202411"</f>
        <v>230702202411</v>
      </c>
      <c r="D148" s="5" t="s">
        <v>8</v>
      </c>
      <c r="E148" s="5" t="s">
        <v>11</v>
      </c>
      <c r="F148" s="5">
        <v>146</v>
      </c>
      <c r="G148" s="7"/>
    </row>
    <row r="149" spans="1:7" ht="27.75" customHeight="1">
      <c r="A149" s="5">
        <v>147</v>
      </c>
      <c r="B149" s="6" t="str">
        <f>"钟立皇"</f>
        <v>钟立皇</v>
      </c>
      <c r="C149" s="6" t="str">
        <f>"230702202422"</f>
        <v>230702202422</v>
      </c>
      <c r="D149" s="5" t="s">
        <v>8</v>
      </c>
      <c r="E149" s="5" t="s">
        <v>11</v>
      </c>
      <c r="F149" s="5">
        <v>147</v>
      </c>
      <c r="G149" s="7"/>
    </row>
    <row r="150" spans="1:7" ht="27.75" customHeight="1">
      <c r="A150" s="5">
        <v>148</v>
      </c>
      <c r="B150" s="6" t="str">
        <f>"符岳栋"</f>
        <v>符岳栋</v>
      </c>
      <c r="C150" s="6" t="str">
        <f>"230702202608"</f>
        <v>230702202608</v>
      </c>
      <c r="D150" s="5" t="s">
        <v>8</v>
      </c>
      <c r="E150" s="5" t="s">
        <v>11</v>
      </c>
      <c r="F150" s="5">
        <v>148</v>
      </c>
      <c r="G150" s="7"/>
    </row>
    <row r="151" spans="1:7" ht="27.75" customHeight="1">
      <c r="A151" s="5">
        <v>149</v>
      </c>
      <c r="B151" s="6" t="str">
        <f>"陈火清"</f>
        <v>陈火清</v>
      </c>
      <c r="C151" s="6" t="str">
        <f>"230702202802"</f>
        <v>230702202802</v>
      </c>
      <c r="D151" s="5" t="s">
        <v>8</v>
      </c>
      <c r="E151" s="5" t="s">
        <v>11</v>
      </c>
      <c r="F151" s="5">
        <v>149</v>
      </c>
      <c r="G151" s="7"/>
    </row>
    <row r="152" spans="1:7" ht="27.75" customHeight="1">
      <c r="A152" s="5">
        <v>150</v>
      </c>
      <c r="B152" s="6" t="str">
        <f>"李彬"</f>
        <v>李彬</v>
      </c>
      <c r="C152" s="6" t="str">
        <f>"230702202019"</f>
        <v>230702202019</v>
      </c>
      <c r="D152" s="5" t="s">
        <v>8</v>
      </c>
      <c r="E152" s="5" t="s">
        <v>11</v>
      </c>
      <c r="F152" s="5">
        <v>150</v>
      </c>
      <c r="G152" s="7"/>
    </row>
    <row r="153" spans="1:7" ht="27.75" customHeight="1">
      <c r="A153" s="5">
        <v>151</v>
      </c>
      <c r="B153" s="6" t="str">
        <f>"吴泳"</f>
        <v>吴泳</v>
      </c>
      <c r="C153" s="6" t="str">
        <f>"230702202108"</f>
        <v>230702202108</v>
      </c>
      <c r="D153" s="5" t="s">
        <v>8</v>
      </c>
      <c r="E153" s="5" t="s">
        <v>12</v>
      </c>
      <c r="F153" s="5">
        <v>151</v>
      </c>
      <c r="G153" s="7"/>
    </row>
    <row r="154" spans="1:7" ht="27.75" customHeight="1">
      <c r="A154" s="5">
        <v>152</v>
      </c>
      <c r="B154" s="6" t="str">
        <f>"黄能"</f>
        <v>黄能</v>
      </c>
      <c r="C154" s="6" t="str">
        <f>"230702201920"</f>
        <v>230702201920</v>
      </c>
      <c r="D154" s="5" t="s">
        <v>8</v>
      </c>
      <c r="E154" s="5" t="s">
        <v>12</v>
      </c>
      <c r="F154" s="5">
        <v>152</v>
      </c>
      <c r="G154" s="7"/>
    </row>
    <row r="155" spans="1:7" ht="27.75" customHeight="1">
      <c r="A155" s="5">
        <v>153</v>
      </c>
      <c r="B155" s="6" t="str">
        <f>"蔡威"</f>
        <v>蔡威</v>
      </c>
      <c r="C155" s="6" t="str">
        <f>"230702202016"</f>
        <v>230702202016</v>
      </c>
      <c r="D155" s="5" t="s">
        <v>8</v>
      </c>
      <c r="E155" s="5" t="s">
        <v>12</v>
      </c>
      <c r="F155" s="5">
        <v>153</v>
      </c>
      <c r="G155" s="7"/>
    </row>
    <row r="156" spans="1:7" ht="27.75" customHeight="1">
      <c r="A156" s="5">
        <v>154</v>
      </c>
      <c r="B156" s="6" t="str">
        <f>"关万民"</f>
        <v>关万民</v>
      </c>
      <c r="C156" s="6" t="str">
        <f>"230702201820"</f>
        <v>230702201820</v>
      </c>
      <c r="D156" s="5" t="s">
        <v>8</v>
      </c>
      <c r="E156" s="5" t="s">
        <v>12</v>
      </c>
      <c r="F156" s="5">
        <v>154</v>
      </c>
      <c r="G156" s="7"/>
    </row>
    <row r="157" spans="1:7" ht="27.75" customHeight="1">
      <c r="A157" s="5">
        <v>155</v>
      </c>
      <c r="B157" s="6" t="str">
        <f>"孙雁望"</f>
        <v>孙雁望</v>
      </c>
      <c r="C157" s="6" t="str">
        <f>"230702201927"</f>
        <v>230702201927</v>
      </c>
      <c r="D157" s="5" t="s">
        <v>8</v>
      </c>
      <c r="E157" s="5" t="s">
        <v>12</v>
      </c>
      <c r="F157" s="5">
        <v>155</v>
      </c>
      <c r="G157" s="7"/>
    </row>
    <row r="158" spans="1:7" ht="27.75" customHeight="1">
      <c r="A158" s="5">
        <v>156</v>
      </c>
      <c r="B158" s="6" t="str">
        <f>"郑曾文"</f>
        <v>郑曾文</v>
      </c>
      <c r="C158" s="6" t="str">
        <f>"230702201930"</f>
        <v>230702201930</v>
      </c>
      <c r="D158" s="5" t="s">
        <v>8</v>
      </c>
      <c r="E158" s="5" t="s">
        <v>12</v>
      </c>
      <c r="F158" s="5">
        <v>156</v>
      </c>
      <c r="G158" s="7"/>
    </row>
    <row r="159" spans="1:7" ht="27.75" customHeight="1">
      <c r="A159" s="5">
        <v>157</v>
      </c>
      <c r="B159" s="6" t="str">
        <f>"刘欢"</f>
        <v>刘欢</v>
      </c>
      <c r="C159" s="6" t="str">
        <f>"230702202104"</f>
        <v>230702202104</v>
      </c>
      <c r="D159" s="5" t="s">
        <v>8</v>
      </c>
      <c r="E159" s="5" t="s">
        <v>12</v>
      </c>
      <c r="F159" s="5">
        <v>157</v>
      </c>
      <c r="G159" s="7"/>
    </row>
    <row r="160" spans="1:7" ht="27.75" customHeight="1">
      <c r="A160" s="5">
        <v>158</v>
      </c>
      <c r="B160" s="6" t="str">
        <f>"卓道壮"</f>
        <v>卓道壮</v>
      </c>
      <c r="C160" s="6" t="str">
        <f>"230702202109"</f>
        <v>230702202109</v>
      </c>
      <c r="D160" s="5" t="s">
        <v>8</v>
      </c>
      <c r="E160" s="5" t="s">
        <v>12</v>
      </c>
      <c r="F160" s="5">
        <v>158</v>
      </c>
      <c r="G160" s="7"/>
    </row>
    <row r="161" spans="1:7" ht="27.75" customHeight="1">
      <c r="A161" s="5">
        <v>159</v>
      </c>
      <c r="B161" s="6" t="str">
        <f>"张敏"</f>
        <v>张敏</v>
      </c>
      <c r="C161" s="6" t="str">
        <f>"230702202110"</f>
        <v>230702202110</v>
      </c>
      <c r="D161" s="5" t="s">
        <v>8</v>
      </c>
      <c r="E161" s="5" t="s">
        <v>12</v>
      </c>
      <c r="F161" s="5">
        <v>159</v>
      </c>
      <c r="G161" s="7"/>
    </row>
    <row r="162" spans="1:7" ht="27.75" customHeight="1">
      <c r="A162" s="5">
        <v>160</v>
      </c>
      <c r="B162" s="6" t="str">
        <f>"萨米·凯米塔尔"</f>
        <v>萨米·凯米塔尔</v>
      </c>
      <c r="C162" s="6" t="str">
        <f>"230702202307"</f>
        <v>230702202307</v>
      </c>
      <c r="D162" s="5" t="s">
        <v>8</v>
      </c>
      <c r="E162" s="5" t="s">
        <v>12</v>
      </c>
      <c r="F162" s="5">
        <v>160</v>
      </c>
      <c r="G162" s="7"/>
    </row>
    <row r="163" spans="1:7" ht="27.75" customHeight="1">
      <c r="A163" s="5">
        <v>161</v>
      </c>
      <c r="B163" s="6" t="str">
        <f>"邢华强"</f>
        <v>邢华强</v>
      </c>
      <c r="C163" s="6" t="str">
        <f>"230702201815"</f>
        <v>230702201815</v>
      </c>
      <c r="D163" s="5" t="s">
        <v>8</v>
      </c>
      <c r="E163" s="5" t="s">
        <v>12</v>
      </c>
      <c r="F163" s="5">
        <v>161</v>
      </c>
      <c r="G163" s="7"/>
    </row>
    <row r="164" spans="1:7" ht="27.75" customHeight="1">
      <c r="A164" s="5">
        <v>162</v>
      </c>
      <c r="B164" s="6" t="str">
        <f>"佐睿智"</f>
        <v>佐睿智</v>
      </c>
      <c r="C164" s="6" t="str">
        <f>"230702202829"</f>
        <v>230702202829</v>
      </c>
      <c r="D164" s="5" t="s">
        <v>8</v>
      </c>
      <c r="E164" s="5" t="s">
        <v>12</v>
      </c>
      <c r="F164" s="5">
        <v>162</v>
      </c>
      <c r="G164" s="7"/>
    </row>
    <row r="165" spans="1:7" ht="27.75" customHeight="1">
      <c r="A165" s="5">
        <v>163</v>
      </c>
      <c r="B165" s="6" t="str">
        <f>"吴元春"</f>
        <v>吴元春</v>
      </c>
      <c r="C165" s="6" t="str">
        <f>"230702201805"</f>
        <v>230702201805</v>
      </c>
      <c r="D165" s="5" t="s">
        <v>8</v>
      </c>
      <c r="E165" s="5" t="s">
        <v>12</v>
      </c>
      <c r="F165" s="5">
        <v>163</v>
      </c>
      <c r="G165" s="7"/>
    </row>
    <row r="166" spans="1:7" ht="27.75" customHeight="1">
      <c r="A166" s="5">
        <v>164</v>
      </c>
      <c r="B166" s="6" t="str">
        <f>"王和昌"</f>
        <v>王和昌</v>
      </c>
      <c r="C166" s="6" t="str">
        <f>"230702201929"</f>
        <v>230702201929</v>
      </c>
      <c r="D166" s="5" t="s">
        <v>8</v>
      </c>
      <c r="E166" s="5" t="s">
        <v>12</v>
      </c>
      <c r="F166" s="5">
        <v>164</v>
      </c>
      <c r="G166" s="7"/>
    </row>
    <row r="167" spans="1:7" ht="27.75" customHeight="1">
      <c r="A167" s="5">
        <v>165</v>
      </c>
      <c r="B167" s="6" t="str">
        <f>"蓝文杰"</f>
        <v>蓝文杰</v>
      </c>
      <c r="C167" s="6" t="str">
        <f>"230702202127"</f>
        <v>230702202127</v>
      </c>
      <c r="D167" s="5" t="s">
        <v>8</v>
      </c>
      <c r="E167" s="5" t="s">
        <v>12</v>
      </c>
      <c r="F167" s="5">
        <v>165</v>
      </c>
      <c r="G167" s="7"/>
    </row>
    <row r="168" spans="1:7" ht="27.75" customHeight="1">
      <c r="A168" s="5">
        <v>166</v>
      </c>
      <c r="B168" s="6" t="str">
        <f>"吴任"</f>
        <v>吴任</v>
      </c>
      <c r="C168" s="6" t="str">
        <f>"230702202523"</f>
        <v>230702202523</v>
      </c>
      <c r="D168" s="5" t="s">
        <v>8</v>
      </c>
      <c r="E168" s="5" t="s">
        <v>12</v>
      </c>
      <c r="F168" s="5">
        <v>166</v>
      </c>
      <c r="G168" s="7"/>
    </row>
    <row r="169" spans="1:7" ht="27.75" customHeight="1">
      <c r="A169" s="5">
        <v>167</v>
      </c>
      <c r="B169" s="6" t="str">
        <f>"吉市文"</f>
        <v>吉市文</v>
      </c>
      <c r="C169" s="6" t="str">
        <f>"230702202603"</f>
        <v>230702202603</v>
      </c>
      <c r="D169" s="5" t="s">
        <v>8</v>
      </c>
      <c r="E169" s="5" t="s">
        <v>12</v>
      </c>
      <c r="F169" s="5">
        <v>167</v>
      </c>
      <c r="G169" s="7"/>
    </row>
    <row r="170" spans="1:7" ht="27.75" customHeight="1">
      <c r="A170" s="5">
        <v>168</v>
      </c>
      <c r="B170" s="6" t="str">
        <f>"符育韬"</f>
        <v>符育韬</v>
      </c>
      <c r="C170" s="6" t="str">
        <f>"230702202704"</f>
        <v>230702202704</v>
      </c>
      <c r="D170" s="5" t="s">
        <v>8</v>
      </c>
      <c r="E170" s="5" t="s">
        <v>12</v>
      </c>
      <c r="F170" s="5">
        <v>168</v>
      </c>
      <c r="G170" s="7"/>
    </row>
    <row r="171" spans="1:7" ht="27.75" customHeight="1">
      <c r="A171" s="5">
        <v>169</v>
      </c>
      <c r="B171" s="6" t="str">
        <f>"陈梓江"</f>
        <v>陈梓江</v>
      </c>
      <c r="C171" s="6" t="str">
        <f>"230702202808"</f>
        <v>230702202808</v>
      </c>
      <c r="D171" s="5" t="s">
        <v>8</v>
      </c>
      <c r="E171" s="5" t="s">
        <v>12</v>
      </c>
      <c r="F171" s="5">
        <v>169</v>
      </c>
      <c r="G171" s="7"/>
    </row>
    <row r="172" spans="1:7" ht="27.75" customHeight="1">
      <c r="A172" s="5">
        <v>170</v>
      </c>
      <c r="B172" s="6" t="str">
        <f>"吴鹏源"</f>
        <v>吴鹏源</v>
      </c>
      <c r="C172" s="6" t="str">
        <f>"230702202025"</f>
        <v>230702202025</v>
      </c>
      <c r="D172" s="5" t="s">
        <v>8</v>
      </c>
      <c r="E172" s="5" t="s">
        <v>12</v>
      </c>
      <c r="F172" s="5">
        <v>170</v>
      </c>
      <c r="G172" s="7"/>
    </row>
    <row r="173" spans="1:7" ht="27.75" customHeight="1">
      <c r="A173" s="5">
        <v>171</v>
      </c>
      <c r="B173" s="6" t="str">
        <f>"符人东"</f>
        <v>符人东</v>
      </c>
      <c r="C173" s="6" t="str">
        <f>"230702202111"</f>
        <v>230702202111</v>
      </c>
      <c r="D173" s="5" t="s">
        <v>8</v>
      </c>
      <c r="E173" s="5" t="s">
        <v>12</v>
      </c>
      <c r="F173" s="5">
        <v>171</v>
      </c>
      <c r="G173" s="7"/>
    </row>
    <row r="174" spans="1:7" ht="27.75" customHeight="1">
      <c r="A174" s="5">
        <v>172</v>
      </c>
      <c r="B174" s="6" t="str">
        <f>"谢飞耀"</f>
        <v>谢飞耀</v>
      </c>
      <c r="C174" s="6" t="str">
        <f>"230702202721"</f>
        <v>230702202721</v>
      </c>
      <c r="D174" s="5" t="s">
        <v>8</v>
      </c>
      <c r="E174" s="5" t="s">
        <v>12</v>
      </c>
      <c r="F174" s="5">
        <v>172</v>
      </c>
      <c r="G174" s="7"/>
    </row>
    <row r="175" spans="1:7" ht="27.75" customHeight="1">
      <c r="A175" s="5">
        <v>173</v>
      </c>
      <c r="B175" s="6" t="str">
        <f>"吉立南"</f>
        <v>吉立南</v>
      </c>
      <c r="C175" s="6" t="str">
        <f>"230702202819"</f>
        <v>230702202819</v>
      </c>
      <c r="D175" s="5" t="s">
        <v>8</v>
      </c>
      <c r="E175" s="5" t="s">
        <v>12</v>
      </c>
      <c r="F175" s="5">
        <v>173</v>
      </c>
      <c r="G175" s="7"/>
    </row>
    <row r="176" spans="1:7" ht="27.75" customHeight="1">
      <c r="A176" s="5">
        <v>174</v>
      </c>
      <c r="B176" s="6" t="str">
        <f>"刘理荣"</f>
        <v>刘理荣</v>
      </c>
      <c r="C176" s="6" t="str">
        <f>"230702201821"</f>
        <v>230702201821</v>
      </c>
      <c r="D176" s="5" t="s">
        <v>8</v>
      </c>
      <c r="E176" s="5" t="s">
        <v>12</v>
      </c>
      <c r="F176" s="5">
        <v>174</v>
      </c>
      <c r="G176" s="7"/>
    </row>
    <row r="177" spans="1:7" ht="27.75" customHeight="1">
      <c r="A177" s="5">
        <v>175</v>
      </c>
      <c r="B177" s="6" t="str">
        <f>"肖俊志"</f>
        <v>肖俊志</v>
      </c>
      <c r="C177" s="6" t="str">
        <f>"230702202209"</f>
        <v>230702202209</v>
      </c>
      <c r="D177" s="5" t="s">
        <v>8</v>
      </c>
      <c r="E177" s="5" t="s">
        <v>12</v>
      </c>
      <c r="F177" s="5">
        <v>175</v>
      </c>
      <c r="G177" s="7"/>
    </row>
    <row r="178" spans="1:7" ht="27.75" customHeight="1">
      <c r="A178" s="5">
        <v>176</v>
      </c>
      <c r="B178" s="6" t="str">
        <f>"陈慧丰"</f>
        <v>陈慧丰</v>
      </c>
      <c r="C178" s="6" t="str">
        <f>"230702202302"</f>
        <v>230702202302</v>
      </c>
      <c r="D178" s="5" t="s">
        <v>8</v>
      </c>
      <c r="E178" s="5" t="s">
        <v>12</v>
      </c>
      <c r="F178" s="5">
        <v>176</v>
      </c>
      <c r="G178" s="7"/>
    </row>
    <row r="179" spans="1:7" ht="27.75" customHeight="1">
      <c r="A179" s="5">
        <v>177</v>
      </c>
      <c r="B179" s="6" t="str">
        <f>"卢胜"</f>
        <v>卢胜</v>
      </c>
      <c r="C179" s="6" t="str">
        <f>"230702202401"</f>
        <v>230702202401</v>
      </c>
      <c r="D179" s="5" t="s">
        <v>8</v>
      </c>
      <c r="E179" s="5" t="s">
        <v>12</v>
      </c>
      <c r="F179" s="5">
        <v>177</v>
      </c>
      <c r="G179" s="7"/>
    </row>
    <row r="180" spans="1:7" ht="27.75" customHeight="1">
      <c r="A180" s="5">
        <v>178</v>
      </c>
      <c r="B180" s="6" t="str">
        <f>"麦秋强"</f>
        <v>麦秋强</v>
      </c>
      <c r="C180" s="6" t="str">
        <f>"230702202515"</f>
        <v>230702202515</v>
      </c>
      <c r="D180" s="5" t="s">
        <v>8</v>
      </c>
      <c r="E180" s="5" t="s">
        <v>12</v>
      </c>
      <c r="F180" s="5">
        <v>178</v>
      </c>
      <c r="G180" s="7"/>
    </row>
    <row r="181" spans="1:7" ht="27.75" customHeight="1">
      <c r="A181" s="5">
        <v>179</v>
      </c>
      <c r="B181" s="6" t="str">
        <f>"郑万权"</f>
        <v>郑万权</v>
      </c>
      <c r="C181" s="6" t="str">
        <f>"230702201814"</f>
        <v>230702201814</v>
      </c>
      <c r="D181" s="5" t="s">
        <v>8</v>
      </c>
      <c r="E181" s="5" t="s">
        <v>12</v>
      </c>
      <c r="F181" s="5">
        <v>179</v>
      </c>
      <c r="G181" s="7"/>
    </row>
    <row r="182" spans="1:7" ht="27.75" customHeight="1">
      <c r="A182" s="5">
        <v>180</v>
      </c>
      <c r="B182" s="6" t="str">
        <f>"孙晨淦"</f>
        <v>孙晨淦</v>
      </c>
      <c r="C182" s="6" t="str">
        <f>"230702201901"</f>
        <v>230702201901</v>
      </c>
      <c r="D182" s="5" t="s">
        <v>8</v>
      </c>
      <c r="E182" s="5" t="s">
        <v>12</v>
      </c>
      <c r="F182" s="5">
        <v>180</v>
      </c>
      <c r="G182" s="7"/>
    </row>
    <row r="183" spans="1:7" ht="27.75" customHeight="1">
      <c r="A183" s="5">
        <v>181</v>
      </c>
      <c r="B183" s="6" t="str">
        <f>"马特"</f>
        <v>马特</v>
      </c>
      <c r="C183" s="6" t="str">
        <f>"230702202226"</f>
        <v>230702202226</v>
      </c>
      <c r="D183" s="5" t="s">
        <v>8</v>
      </c>
      <c r="E183" s="5" t="s">
        <v>12</v>
      </c>
      <c r="F183" s="5">
        <v>181</v>
      </c>
      <c r="G183" s="7"/>
    </row>
    <row r="184" spans="1:7" ht="27.75" customHeight="1">
      <c r="A184" s="5">
        <v>182</v>
      </c>
      <c r="B184" s="6" t="str">
        <f>"高忠俊"</f>
        <v>高忠俊</v>
      </c>
      <c r="C184" s="6" t="str">
        <f>"230702202315"</f>
        <v>230702202315</v>
      </c>
      <c r="D184" s="5" t="s">
        <v>8</v>
      </c>
      <c r="E184" s="5" t="s">
        <v>12</v>
      </c>
      <c r="F184" s="5">
        <v>182</v>
      </c>
      <c r="G184" s="7"/>
    </row>
    <row r="185" spans="1:7" ht="27.75" customHeight="1">
      <c r="A185" s="5">
        <v>183</v>
      </c>
      <c r="B185" s="6" t="str">
        <f>"胡照杰"</f>
        <v>胡照杰</v>
      </c>
      <c r="C185" s="6" t="str">
        <f>"230702202424"</f>
        <v>230702202424</v>
      </c>
      <c r="D185" s="5" t="s">
        <v>8</v>
      </c>
      <c r="E185" s="5" t="s">
        <v>12</v>
      </c>
      <c r="F185" s="5">
        <v>183</v>
      </c>
      <c r="G185" s="7"/>
    </row>
    <row r="186" spans="1:7" ht="27.75" customHeight="1">
      <c r="A186" s="5">
        <v>184</v>
      </c>
      <c r="B186" s="6" t="str">
        <f>"杜永航"</f>
        <v>杜永航</v>
      </c>
      <c r="C186" s="6" t="str">
        <f>"230702202509"</f>
        <v>230702202509</v>
      </c>
      <c r="D186" s="5" t="s">
        <v>8</v>
      </c>
      <c r="E186" s="5" t="s">
        <v>12</v>
      </c>
      <c r="F186" s="5">
        <v>184</v>
      </c>
      <c r="G186" s="7"/>
    </row>
    <row r="187" spans="1:7" ht="27.75" customHeight="1">
      <c r="A187" s="5">
        <v>185</v>
      </c>
      <c r="B187" s="6" t="str">
        <f>"张哲铭"</f>
        <v>张哲铭</v>
      </c>
      <c r="C187" s="6" t="str">
        <f>"230702202906"</f>
        <v>230702202906</v>
      </c>
      <c r="D187" s="5" t="s">
        <v>8</v>
      </c>
      <c r="E187" s="5" t="s">
        <v>12</v>
      </c>
      <c r="F187" s="5">
        <v>185</v>
      </c>
      <c r="G187" s="7"/>
    </row>
    <row r="188" spans="1:7" ht="27.75" customHeight="1">
      <c r="A188" s="5">
        <v>186</v>
      </c>
      <c r="B188" s="6" t="str">
        <f>"李圣威"</f>
        <v>李圣威</v>
      </c>
      <c r="C188" s="6" t="str">
        <f>"230702202907"</f>
        <v>230702202907</v>
      </c>
      <c r="D188" s="5" t="s">
        <v>8</v>
      </c>
      <c r="E188" s="5" t="s">
        <v>12</v>
      </c>
      <c r="F188" s="5">
        <v>186</v>
      </c>
      <c r="G188" s="7"/>
    </row>
    <row r="189" spans="1:7" ht="27.75" customHeight="1">
      <c r="A189" s="5">
        <v>187</v>
      </c>
      <c r="B189" s="6" t="str">
        <f>"胡茂兴"</f>
        <v>胡茂兴</v>
      </c>
      <c r="C189" s="6" t="str">
        <f>"230702202924"</f>
        <v>230702202924</v>
      </c>
      <c r="D189" s="5" t="s">
        <v>8</v>
      </c>
      <c r="E189" s="5" t="s">
        <v>12</v>
      </c>
      <c r="F189" s="5">
        <v>187</v>
      </c>
      <c r="G189" s="7"/>
    </row>
    <row r="190" spans="1:7" ht="27.75" customHeight="1">
      <c r="A190" s="5">
        <v>188</v>
      </c>
      <c r="B190" s="6" t="str">
        <f>"陈吉黄"</f>
        <v>陈吉黄</v>
      </c>
      <c r="C190" s="6" t="str">
        <f>"230702202914"</f>
        <v>230702202914</v>
      </c>
      <c r="D190" s="5" t="s">
        <v>8</v>
      </c>
      <c r="E190" s="5" t="s">
        <v>12</v>
      </c>
      <c r="F190" s="5">
        <v>188</v>
      </c>
      <c r="G190" s="7"/>
    </row>
    <row r="191" spans="1:7" ht="27.75" customHeight="1">
      <c r="A191" s="5">
        <v>189</v>
      </c>
      <c r="B191" s="6" t="str">
        <f>"李韩"</f>
        <v>李韩</v>
      </c>
      <c r="C191" s="6" t="str">
        <f>"230702202904"</f>
        <v>230702202904</v>
      </c>
      <c r="D191" s="5" t="s">
        <v>8</v>
      </c>
      <c r="E191" s="5" t="s">
        <v>12</v>
      </c>
      <c r="F191" s="5">
        <v>189</v>
      </c>
      <c r="G191" s="7"/>
    </row>
    <row r="192" spans="1:7" ht="27.75" customHeight="1">
      <c r="A192" s="5">
        <v>190</v>
      </c>
      <c r="B192" s="6" t="str">
        <f>"陈声望"</f>
        <v>陈声望</v>
      </c>
      <c r="C192" s="6" t="str">
        <f>"230702203010"</f>
        <v>230702203010</v>
      </c>
      <c r="D192" s="5" t="s">
        <v>8</v>
      </c>
      <c r="E192" s="5" t="s">
        <v>12</v>
      </c>
      <c r="F192" s="5">
        <v>190</v>
      </c>
      <c r="G192" s="7"/>
    </row>
    <row r="193" spans="1:7" ht="27.75" customHeight="1">
      <c r="A193" s="5">
        <v>191</v>
      </c>
      <c r="B193" s="6" t="str">
        <f>"杨茂武"</f>
        <v>杨茂武</v>
      </c>
      <c r="C193" s="6" t="str">
        <f>"230702203025"</f>
        <v>230702203025</v>
      </c>
      <c r="D193" s="5" t="s">
        <v>8</v>
      </c>
      <c r="E193" s="5" t="s">
        <v>12</v>
      </c>
      <c r="F193" s="5">
        <v>191</v>
      </c>
      <c r="G193" s="7"/>
    </row>
    <row r="194" spans="1:7" ht="27.75" customHeight="1">
      <c r="A194" s="5">
        <v>192</v>
      </c>
      <c r="B194" s="6" t="str">
        <f>"林尤沼"</f>
        <v>林尤沼</v>
      </c>
      <c r="C194" s="6" t="str">
        <f>"230702202928"</f>
        <v>230702202928</v>
      </c>
      <c r="D194" s="5" t="s">
        <v>8</v>
      </c>
      <c r="E194" s="5" t="s">
        <v>12</v>
      </c>
      <c r="F194" s="5">
        <v>192</v>
      </c>
      <c r="G194" s="7"/>
    </row>
    <row r="195" spans="1:7" ht="27.75" customHeight="1">
      <c r="A195" s="5">
        <v>193</v>
      </c>
      <c r="B195" s="6" t="str">
        <f>"徐小浩"</f>
        <v>徐小浩</v>
      </c>
      <c r="C195" s="6" t="str">
        <f>"230702202913"</f>
        <v>230702202913</v>
      </c>
      <c r="D195" s="5" t="s">
        <v>8</v>
      </c>
      <c r="E195" s="5" t="s">
        <v>12</v>
      </c>
      <c r="F195" s="5">
        <v>193</v>
      </c>
      <c r="G195" s="7"/>
    </row>
    <row r="196" spans="1:7" ht="27.75" customHeight="1">
      <c r="A196" s="5">
        <v>194</v>
      </c>
      <c r="B196" s="6" t="str">
        <f>"陈古文"</f>
        <v>陈古文</v>
      </c>
      <c r="C196" s="6" t="str">
        <f>"230702202929"</f>
        <v>230702202929</v>
      </c>
      <c r="D196" s="5" t="s">
        <v>8</v>
      </c>
      <c r="E196" s="5" t="s">
        <v>12</v>
      </c>
      <c r="F196" s="5">
        <v>194</v>
      </c>
      <c r="G196" s="7"/>
    </row>
    <row r="197" spans="1:7" ht="27.75" customHeight="1">
      <c r="A197" s="5">
        <v>195</v>
      </c>
      <c r="B197" s="6" t="str">
        <f>"钱旺"</f>
        <v>钱旺</v>
      </c>
      <c r="C197" s="6" t="str">
        <f>"230702203013"</f>
        <v>230702203013</v>
      </c>
      <c r="D197" s="5" t="s">
        <v>8</v>
      </c>
      <c r="E197" s="5" t="s">
        <v>12</v>
      </c>
      <c r="F197" s="5">
        <v>195</v>
      </c>
      <c r="G197" s="7"/>
    </row>
    <row r="198" spans="1:7" ht="27.75" customHeight="1">
      <c r="A198" s="5">
        <v>196</v>
      </c>
      <c r="B198" s="6" t="str">
        <f>"王明文"</f>
        <v>王明文</v>
      </c>
      <c r="C198" s="6" t="str">
        <f>"230702200916"</f>
        <v>230702200916</v>
      </c>
      <c r="D198" s="5" t="s">
        <v>8</v>
      </c>
      <c r="E198" s="5" t="s">
        <v>12</v>
      </c>
      <c r="F198" s="5">
        <v>196</v>
      </c>
      <c r="G198" s="7"/>
    </row>
    <row r="199" spans="1:7" ht="27.75" customHeight="1">
      <c r="A199" s="5">
        <v>197</v>
      </c>
      <c r="B199" s="6" t="str">
        <f>"王康帅"</f>
        <v>王康帅</v>
      </c>
      <c r="C199" s="6" t="str">
        <f>"230702200910"</f>
        <v>230702200910</v>
      </c>
      <c r="D199" s="5" t="s">
        <v>8</v>
      </c>
      <c r="E199" s="5" t="s">
        <v>12</v>
      </c>
      <c r="F199" s="5">
        <v>197</v>
      </c>
      <c r="G199" s="7"/>
    </row>
    <row r="200" spans="1:7" ht="27.75" customHeight="1">
      <c r="A200" s="5">
        <v>198</v>
      </c>
      <c r="B200" s="6" t="str">
        <f>"杨山"</f>
        <v>杨山</v>
      </c>
      <c r="C200" s="6" t="str">
        <f>"230702200911"</f>
        <v>230702200911</v>
      </c>
      <c r="D200" s="5" t="s">
        <v>8</v>
      </c>
      <c r="E200" s="5" t="s">
        <v>12</v>
      </c>
      <c r="F200" s="5">
        <v>198</v>
      </c>
      <c r="G200" s="7"/>
    </row>
    <row r="201" spans="1:7" ht="27.75" customHeight="1">
      <c r="A201" s="5">
        <v>199</v>
      </c>
      <c r="B201" s="6" t="str">
        <f>"陈明利"</f>
        <v>陈明利</v>
      </c>
      <c r="C201" s="6" t="str">
        <f>"230702200922"</f>
        <v>230702200922</v>
      </c>
      <c r="D201" s="5" t="s">
        <v>8</v>
      </c>
      <c r="E201" s="5" t="s">
        <v>12</v>
      </c>
      <c r="F201" s="5">
        <v>199</v>
      </c>
      <c r="G201" s="7"/>
    </row>
    <row r="202" spans="1:7" ht="27.75" customHeight="1">
      <c r="A202" s="5">
        <v>200</v>
      </c>
      <c r="B202" s="6" t="str">
        <f>"王英龙"</f>
        <v>王英龙</v>
      </c>
      <c r="C202" s="6" t="str">
        <f>"230702200906"</f>
        <v>230702200906</v>
      </c>
      <c r="D202" s="5" t="s">
        <v>8</v>
      </c>
      <c r="E202" s="5" t="s">
        <v>12</v>
      </c>
      <c r="F202" s="5">
        <v>200</v>
      </c>
      <c r="G202" s="7"/>
    </row>
    <row r="203" spans="1:7" ht="27.75" customHeight="1">
      <c r="A203" s="5">
        <v>201</v>
      </c>
      <c r="B203" s="6" t="str">
        <f>"罗江龙"</f>
        <v>罗江龙</v>
      </c>
      <c r="C203" s="6" t="str">
        <f>"230702112015"</f>
        <v>230702112015</v>
      </c>
      <c r="D203" s="5" t="s">
        <v>8</v>
      </c>
      <c r="E203" s="5" t="s">
        <v>13</v>
      </c>
      <c r="F203" s="5">
        <v>201</v>
      </c>
      <c r="G203" s="7"/>
    </row>
    <row r="204" spans="1:7" ht="27.75" customHeight="1">
      <c r="A204" s="5">
        <v>202</v>
      </c>
      <c r="B204" s="6" t="str">
        <f>"苏勇铭"</f>
        <v>苏勇铭</v>
      </c>
      <c r="C204" s="6" t="str">
        <f>"230702112319"</f>
        <v>230702112319</v>
      </c>
      <c r="D204" s="5" t="s">
        <v>8</v>
      </c>
      <c r="E204" s="5" t="s">
        <v>13</v>
      </c>
      <c r="F204" s="5">
        <v>202</v>
      </c>
      <c r="G204" s="7"/>
    </row>
    <row r="205" spans="1:7" ht="27.75" customHeight="1">
      <c r="A205" s="5">
        <v>203</v>
      </c>
      <c r="B205" s="6" t="str">
        <f>"王泽涛"</f>
        <v>王泽涛</v>
      </c>
      <c r="C205" s="6" t="str">
        <f>"230702112609"</f>
        <v>230702112609</v>
      </c>
      <c r="D205" s="5" t="s">
        <v>8</v>
      </c>
      <c r="E205" s="5" t="s">
        <v>13</v>
      </c>
      <c r="F205" s="5">
        <v>203</v>
      </c>
      <c r="G205" s="7"/>
    </row>
    <row r="206" spans="1:7" ht="27.75" customHeight="1">
      <c r="A206" s="5">
        <v>204</v>
      </c>
      <c r="B206" s="6" t="str">
        <f>"洪景涛"</f>
        <v>洪景涛</v>
      </c>
      <c r="C206" s="6" t="str">
        <f>"230702112818"</f>
        <v>230702112818</v>
      </c>
      <c r="D206" s="5" t="s">
        <v>8</v>
      </c>
      <c r="E206" s="5" t="s">
        <v>13</v>
      </c>
      <c r="F206" s="5">
        <v>204</v>
      </c>
      <c r="G206" s="7"/>
    </row>
    <row r="207" spans="1:7" ht="27.75" customHeight="1">
      <c r="A207" s="5">
        <v>205</v>
      </c>
      <c r="B207" s="6" t="str">
        <f>"杨世山"</f>
        <v>杨世山</v>
      </c>
      <c r="C207" s="6" t="str">
        <f>"230702200630"</f>
        <v>230702200630</v>
      </c>
      <c r="D207" s="5" t="s">
        <v>8</v>
      </c>
      <c r="E207" s="5" t="s">
        <v>13</v>
      </c>
      <c r="F207" s="5">
        <v>205</v>
      </c>
      <c r="G207" s="7"/>
    </row>
    <row r="208" spans="1:7" ht="27.75" customHeight="1">
      <c r="A208" s="5">
        <v>206</v>
      </c>
      <c r="B208" s="6" t="str">
        <f>"吉钟威"</f>
        <v>吉钟威</v>
      </c>
      <c r="C208" s="6" t="str">
        <f>"230702200106"</f>
        <v>230702200106</v>
      </c>
      <c r="D208" s="5" t="s">
        <v>8</v>
      </c>
      <c r="E208" s="5" t="s">
        <v>13</v>
      </c>
      <c r="F208" s="5">
        <v>206</v>
      </c>
      <c r="G208" s="7"/>
    </row>
    <row r="209" spans="1:7" ht="27.75" customHeight="1">
      <c r="A209" s="5">
        <v>207</v>
      </c>
      <c r="B209" s="6" t="str">
        <f>"陈规德"</f>
        <v>陈规德</v>
      </c>
      <c r="C209" s="6" t="str">
        <f>"230702112303"</f>
        <v>230702112303</v>
      </c>
      <c r="D209" s="5" t="s">
        <v>8</v>
      </c>
      <c r="E209" s="5" t="s">
        <v>13</v>
      </c>
      <c r="F209" s="5">
        <v>207</v>
      </c>
      <c r="G209" s="7"/>
    </row>
    <row r="210" spans="1:7" ht="27.75" customHeight="1">
      <c r="A210" s="5">
        <v>208</v>
      </c>
      <c r="B210" s="6" t="str">
        <f>"李博乾"</f>
        <v>李博乾</v>
      </c>
      <c r="C210" s="6" t="str">
        <f>"230702112515"</f>
        <v>230702112515</v>
      </c>
      <c r="D210" s="5" t="s">
        <v>8</v>
      </c>
      <c r="E210" s="5" t="s">
        <v>13</v>
      </c>
      <c r="F210" s="5">
        <v>208</v>
      </c>
      <c r="G210" s="7"/>
    </row>
    <row r="211" spans="1:7" ht="27.75" customHeight="1">
      <c r="A211" s="5">
        <v>209</v>
      </c>
      <c r="B211" s="6" t="str">
        <f>"王世锐"</f>
        <v>王世锐</v>
      </c>
      <c r="C211" s="6" t="str">
        <f>"230702112629"</f>
        <v>230702112629</v>
      </c>
      <c r="D211" s="5" t="s">
        <v>8</v>
      </c>
      <c r="E211" s="5" t="s">
        <v>13</v>
      </c>
      <c r="F211" s="5">
        <v>209</v>
      </c>
      <c r="G211" s="7"/>
    </row>
    <row r="212" spans="1:7" ht="27.75" customHeight="1">
      <c r="A212" s="5">
        <v>210</v>
      </c>
      <c r="B212" s="6" t="str">
        <f>"赖文"</f>
        <v>赖文</v>
      </c>
      <c r="C212" s="6" t="str">
        <f>"230702112923"</f>
        <v>230702112923</v>
      </c>
      <c r="D212" s="5" t="s">
        <v>8</v>
      </c>
      <c r="E212" s="5" t="s">
        <v>13</v>
      </c>
      <c r="F212" s="5">
        <v>210</v>
      </c>
      <c r="G212" s="7"/>
    </row>
    <row r="213" spans="1:7" ht="27.75" customHeight="1">
      <c r="A213" s="5">
        <v>211</v>
      </c>
      <c r="B213" s="6" t="str">
        <f>"黄贤德"</f>
        <v>黄贤德</v>
      </c>
      <c r="C213" s="6" t="str">
        <f>"230702113104"</f>
        <v>230702113104</v>
      </c>
      <c r="D213" s="5" t="s">
        <v>8</v>
      </c>
      <c r="E213" s="5" t="s">
        <v>13</v>
      </c>
      <c r="F213" s="5">
        <v>211</v>
      </c>
      <c r="G213" s="7"/>
    </row>
    <row r="214" spans="1:7" ht="27.75" customHeight="1">
      <c r="A214" s="5">
        <v>212</v>
      </c>
      <c r="B214" s="6" t="str">
        <f>"王和利"</f>
        <v>王和利</v>
      </c>
      <c r="C214" s="6" t="str">
        <f>"230702113110"</f>
        <v>230702113110</v>
      </c>
      <c r="D214" s="5" t="s">
        <v>8</v>
      </c>
      <c r="E214" s="5" t="s">
        <v>13</v>
      </c>
      <c r="F214" s="5">
        <v>212</v>
      </c>
      <c r="G214" s="7"/>
    </row>
    <row r="215" spans="1:7" ht="27.75" customHeight="1">
      <c r="A215" s="5">
        <v>213</v>
      </c>
      <c r="B215" s="6" t="str">
        <f>"陈华明"</f>
        <v>陈华明</v>
      </c>
      <c r="C215" s="6" t="str">
        <f>"230702113224"</f>
        <v>230702113224</v>
      </c>
      <c r="D215" s="5" t="s">
        <v>8</v>
      </c>
      <c r="E215" s="5" t="s">
        <v>13</v>
      </c>
      <c r="F215" s="5">
        <v>213</v>
      </c>
      <c r="G215" s="7"/>
    </row>
    <row r="216" spans="1:7" ht="27.75" customHeight="1">
      <c r="A216" s="5">
        <v>214</v>
      </c>
      <c r="B216" s="6" t="str">
        <f>"杜坤亮"</f>
        <v>杜坤亮</v>
      </c>
      <c r="C216" s="6" t="str">
        <f>"230702200525"</f>
        <v>230702200525</v>
      </c>
      <c r="D216" s="5" t="s">
        <v>8</v>
      </c>
      <c r="E216" s="5" t="s">
        <v>13</v>
      </c>
      <c r="F216" s="5">
        <v>214</v>
      </c>
      <c r="G216" s="7"/>
    </row>
    <row r="217" spans="1:7" ht="27.75" customHeight="1">
      <c r="A217" s="5">
        <v>215</v>
      </c>
      <c r="B217" s="6" t="str">
        <f>"钟云"</f>
        <v>钟云</v>
      </c>
      <c r="C217" s="6" t="str">
        <f>"230702204110"</f>
        <v>230702204110</v>
      </c>
      <c r="D217" s="5" t="s">
        <v>8</v>
      </c>
      <c r="E217" s="5" t="s">
        <v>13</v>
      </c>
      <c r="F217" s="5">
        <v>215</v>
      </c>
      <c r="G217" s="7"/>
    </row>
    <row r="218" spans="1:7" ht="27.75" customHeight="1">
      <c r="A218" s="5">
        <v>216</v>
      </c>
      <c r="B218" s="6" t="str">
        <f>"许朝学"</f>
        <v>许朝学</v>
      </c>
      <c r="C218" s="6" t="str">
        <f>"230702204202"</f>
        <v>230702204202</v>
      </c>
      <c r="D218" s="5" t="s">
        <v>8</v>
      </c>
      <c r="E218" s="5" t="s">
        <v>13</v>
      </c>
      <c r="F218" s="5">
        <v>216</v>
      </c>
      <c r="G218" s="7"/>
    </row>
    <row r="219" spans="1:7" ht="27.75" customHeight="1">
      <c r="A219" s="5">
        <v>217</v>
      </c>
      <c r="B219" s="6" t="str">
        <f>"郑其宁"</f>
        <v>郑其宁</v>
      </c>
      <c r="C219" s="6" t="str">
        <f>"230702203730"</f>
        <v>230702203730</v>
      </c>
      <c r="D219" s="5" t="s">
        <v>8</v>
      </c>
      <c r="E219" s="5" t="s">
        <v>13</v>
      </c>
      <c r="F219" s="5">
        <v>217</v>
      </c>
      <c r="G219" s="7"/>
    </row>
    <row r="220" spans="1:7" ht="27.75" customHeight="1">
      <c r="A220" s="5">
        <v>218</v>
      </c>
      <c r="B220" s="6" t="str">
        <f>"秦子康"</f>
        <v>秦子康</v>
      </c>
      <c r="C220" s="6" t="str">
        <f>"230702203925"</f>
        <v>230702203925</v>
      </c>
      <c r="D220" s="5" t="s">
        <v>8</v>
      </c>
      <c r="E220" s="5" t="s">
        <v>13</v>
      </c>
      <c r="F220" s="5">
        <v>218</v>
      </c>
      <c r="G220" s="7"/>
    </row>
    <row r="221" spans="1:7" ht="27.75" customHeight="1">
      <c r="A221" s="5">
        <v>219</v>
      </c>
      <c r="B221" s="6" t="str">
        <f>"文圣"</f>
        <v>文圣</v>
      </c>
      <c r="C221" s="6" t="str">
        <f>"230702203819"</f>
        <v>230702203819</v>
      </c>
      <c r="D221" s="5" t="s">
        <v>8</v>
      </c>
      <c r="E221" s="5" t="s">
        <v>13</v>
      </c>
      <c r="F221" s="5">
        <v>219</v>
      </c>
      <c r="G221" s="7"/>
    </row>
    <row r="222" spans="1:7" ht="27.75" customHeight="1">
      <c r="A222" s="5">
        <v>220</v>
      </c>
      <c r="B222" s="6" t="str">
        <f>"李云青"</f>
        <v>李云青</v>
      </c>
      <c r="C222" s="6" t="str">
        <f>"230702203410"</f>
        <v>230702203410</v>
      </c>
      <c r="D222" s="5" t="s">
        <v>8</v>
      </c>
      <c r="E222" s="5" t="s">
        <v>13</v>
      </c>
      <c r="F222" s="5">
        <v>220</v>
      </c>
      <c r="G222" s="7"/>
    </row>
    <row r="223" spans="1:7" ht="27.75" customHeight="1">
      <c r="A223" s="5">
        <v>221</v>
      </c>
      <c r="B223" s="6" t="str">
        <f>"张宏"</f>
        <v>张宏</v>
      </c>
      <c r="C223" s="6" t="str">
        <f>"230702203520"</f>
        <v>230702203520</v>
      </c>
      <c r="D223" s="5" t="s">
        <v>8</v>
      </c>
      <c r="E223" s="5" t="s">
        <v>13</v>
      </c>
      <c r="F223" s="5">
        <v>221</v>
      </c>
      <c r="G223" s="7"/>
    </row>
    <row r="224" spans="1:7" ht="27.75" customHeight="1">
      <c r="A224" s="5">
        <v>222</v>
      </c>
      <c r="B224" s="6" t="str">
        <f>"刘穗华"</f>
        <v>刘穗华</v>
      </c>
      <c r="C224" s="6" t="str">
        <f>"230702203530"</f>
        <v>230702203530</v>
      </c>
      <c r="D224" s="5" t="s">
        <v>8</v>
      </c>
      <c r="E224" s="5" t="s">
        <v>13</v>
      </c>
      <c r="F224" s="5">
        <v>222</v>
      </c>
      <c r="G224" s="7"/>
    </row>
    <row r="225" spans="1:7" ht="27.75" customHeight="1">
      <c r="A225" s="5">
        <v>223</v>
      </c>
      <c r="B225" s="6" t="str">
        <f>"郑声豪"</f>
        <v>郑声豪</v>
      </c>
      <c r="C225" s="6" t="str">
        <f>"230702203611"</f>
        <v>230702203611</v>
      </c>
      <c r="D225" s="5" t="s">
        <v>8</v>
      </c>
      <c r="E225" s="5" t="s">
        <v>13</v>
      </c>
      <c r="F225" s="5">
        <v>223</v>
      </c>
      <c r="G225" s="7"/>
    </row>
    <row r="226" spans="1:7" ht="27.75" customHeight="1">
      <c r="A226" s="5">
        <v>224</v>
      </c>
      <c r="B226" s="6" t="str">
        <f>"周著名"</f>
        <v>周著名</v>
      </c>
      <c r="C226" s="6" t="str">
        <f>"230702204113"</f>
        <v>230702204113</v>
      </c>
      <c r="D226" s="5" t="s">
        <v>8</v>
      </c>
      <c r="E226" s="5" t="s">
        <v>13</v>
      </c>
      <c r="F226" s="5">
        <v>224</v>
      </c>
      <c r="G226" s="7"/>
    </row>
    <row r="227" spans="1:7" ht="27.75" customHeight="1">
      <c r="A227" s="5">
        <v>225</v>
      </c>
      <c r="B227" s="6" t="str">
        <f>"徐国贇"</f>
        <v>徐国贇</v>
      </c>
      <c r="C227" s="6" t="str">
        <f>"230702203408"</f>
        <v>230702203408</v>
      </c>
      <c r="D227" s="5" t="s">
        <v>8</v>
      </c>
      <c r="E227" s="5" t="s">
        <v>13</v>
      </c>
      <c r="F227" s="5">
        <v>225</v>
      </c>
      <c r="G227" s="7"/>
    </row>
    <row r="228" spans="1:7" ht="27.75" customHeight="1">
      <c r="A228" s="5">
        <v>226</v>
      </c>
      <c r="B228" s="6" t="str">
        <f>"符义祥"</f>
        <v>符义祥</v>
      </c>
      <c r="C228" s="6" t="str">
        <f>"230702203906"</f>
        <v>230702203906</v>
      </c>
      <c r="D228" s="5" t="s">
        <v>8</v>
      </c>
      <c r="E228" s="5" t="s">
        <v>13</v>
      </c>
      <c r="F228" s="5">
        <v>226</v>
      </c>
      <c r="G228" s="7"/>
    </row>
    <row r="229" spans="1:7" ht="27.75" customHeight="1">
      <c r="A229" s="5">
        <v>227</v>
      </c>
      <c r="B229" s="6" t="str">
        <f>"赵茂谢"</f>
        <v>赵茂谢</v>
      </c>
      <c r="C229" s="6" t="str">
        <f>"230702203919"</f>
        <v>230702203919</v>
      </c>
      <c r="D229" s="5" t="s">
        <v>8</v>
      </c>
      <c r="E229" s="5" t="s">
        <v>13</v>
      </c>
      <c r="F229" s="5">
        <v>227</v>
      </c>
      <c r="G229" s="7"/>
    </row>
    <row r="230" spans="1:7" ht="27.75" customHeight="1">
      <c r="A230" s="5">
        <v>228</v>
      </c>
      <c r="B230" s="6" t="str">
        <f>"桂科彪"</f>
        <v>桂科彪</v>
      </c>
      <c r="C230" s="6" t="str">
        <f>"230702203923"</f>
        <v>230702203923</v>
      </c>
      <c r="D230" s="5" t="s">
        <v>8</v>
      </c>
      <c r="E230" s="5" t="s">
        <v>13</v>
      </c>
      <c r="F230" s="5">
        <v>228</v>
      </c>
      <c r="G230" s="7"/>
    </row>
    <row r="231" spans="1:7" ht="27.75" customHeight="1">
      <c r="A231" s="5">
        <v>229</v>
      </c>
      <c r="B231" s="6" t="str">
        <f>"符家波"</f>
        <v>符家波</v>
      </c>
      <c r="C231" s="6" t="str">
        <f>"230702203406"</f>
        <v>230702203406</v>
      </c>
      <c r="D231" s="5" t="s">
        <v>8</v>
      </c>
      <c r="E231" s="5" t="s">
        <v>13</v>
      </c>
      <c r="F231" s="5">
        <v>229</v>
      </c>
      <c r="G231" s="7"/>
    </row>
    <row r="232" spans="1:7" ht="27.75" customHeight="1">
      <c r="A232" s="5">
        <v>230</v>
      </c>
      <c r="B232" s="6" t="str">
        <f>"陈晓俊"</f>
        <v>陈晓俊</v>
      </c>
      <c r="C232" s="6" t="str">
        <f>"230702204221"</f>
        <v>230702204221</v>
      </c>
      <c r="D232" s="5" t="s">
        <v>8</v>
      </c>
      <c r="E232" s="5" t="s">
        <v>13</v>
      </c>
      <c r="F232" s="5">
        <v>230</v>
      </c>
      <c r="G232" s="7"/>
    </row>
    <row r="233" spans="1:7" ht="27.75" customHeight="1">
      <c r="A233" s="5">
        <v>231</v>
      </c>
      <c r="B233" s="6" t="str">
        <f>"林忠诚"</f>
        <v>林忠诚</v>
      </c>
      <c r="C233" s="6" t="str">
        <f>"230702204306"</f>
        <v>230702204306</v>
      </c>
      <c r="D233" s="5" t="s">
        <v>8</v>
      </c>
      <c r="E233" s="5" t="s">
        <v>13</v>
      </c>
      <c r="F233" s="5">
        <v>231</v>
      </c>
      <c r="G233" s="7"/>
    </row>
    <row r="234" spans="1:7" ht="27.75" customHeight="1">
      <c r="A234" s="5">
        <v>232</v>
      </c>
      <c r="B234" s="6" t="str">
        <f>"王耀爽"</f>
        <v>王耀爽</v>
      </c>
      <c r="C234" s="6" t="str">
        <f>"230702204118"</f>
        <v>230702204118</v>
      </c>
      <c r="D234" s="5" t="s">
        <v>8</v>
      </c>
      <c r="E234" s="5" t="s">
        <v>13</v>
      </c>
      <c r="F234" s="5">
        <v>232</v>
      </c>
      <c r="G234" s="7"/>
    </row>
    <row r="235" spans="1:7" ht="27.75" customHeight="1">
      <c r="A235" s="5">
        <v>233</v>
      </c>
      <c r="B235" s="6" t="str">
        <f>"符春平"</f>
        <v>符春平</v>
      </c>
      <c r="C235" s="6" t="str">
        <f>"230702204205"</f>
        <v>230702204205</v>
      </c>
      <c r="D235" s="5" t="s">
        <v>8</v>
      </c>
      <c r="E235" s="5" t="s">
        <v>13</v>
      </c>
      <c r="F235" s="5">
        <v>233</v>
      </c>
      <c r="G235" s="7"/>
    </row>
    <row r="236" spans="1:7" ht="27.75" customHeight="1">
      <c r="A236" s="5">
        <v>234</v>
      </c>
      <c r="B236" s="6" t="str">
        <f>"符海大"</f>
        <v>符海大</v>
      </c>
      <c r="C236" s="6" t="str">
        <f>"230702203329"</f>
        <v>230702203329</v>
      </c>
      <c r="D236" s="5" t="s">
        <v>8</v>
      </c>
      <c r="E236" s="5" t="s">
        <v>13</v>
      </c>
      <c r="F236" s="5">
        <v>234</v>
      </c>
      <c r="G236" s="7"/>
    </row>
    <row r="237" spans="1:7" ht="27.75" customHeight="1">
      <c r="A237" s="5">
        <v>235</v>
      </c>
      <c r="B237" s="6" t="str">
        <f>"李英威"</f>
        <v>李英威</v>
      </c>
      <c r="C237" s="6" t="str">
        <f>"230702203802"</f>
        <v>230702203802</v>
      </c>
      <c r="D237" s="5" t="s">
        <v>8</v>
      </c>
      <c r="E237" s="5" t="s">
        <v>13</v>
      </c>
      <c r="F237" s="5">
        <v>235</v>
      </c>
      <c r="G237" s="7"/>
    </row>
    <row r="238" spans="1:7" ht="27.75" customHeight="1">
      <c r="A238" s="5">
        <v>236</v>
      </c>
      <c r="B238" s="6" t="str">
        <f>"钟海辉"</f>
        <v>钟海辉</v>
      </c>
      <c r="C238" s="6" t="str">
        <f>"230702203922"</f>
        <v>230702203922</v>
      </c>
      <c r="D238" s="5" t="s">
        <v>8</v>
      </c>
      <c r="E238" s="5" t="s">
        <v>13</v>
      </c>
      <c r="F238" s="5">
        <v>236</v>
      </c>
      <c r="G238" s="7"/>
    </row>
    <row r="239" spans="1:7" ht="27.75" customHeight="1">
      <c r="A239" s="5">
        <v>237</v>
      </c>
      <c r="B239" s="6" t="str">
        <f>"王锡宁"</f>
        <v>王锡宁</v>
      </c>
      <c r="C239" s="6" t="str">
        <f>"230702204004"</f>
        <v>230702204004</v>
      </c>
      <c r="D239" s="5" t="s">
        <v>8</v>
      </c>
      <c r="E239" s="5" t="s">
        <v>13</v>
      </c>
      <c r="F239" s="5">
        <v>237</v>
      </c>
      <c r="G239" s="7"/>
    </row>
    <row r="240" spans="1:7" ht="27.75" customHeight="1">
      <c r="A240" s="5">
        <v>238</v>
      </c>
      <c r="B240" s="6" t="str">
        <f>"吉家祥"</f>
        <v>吉家祥</v>
      </c>
      <c r="C240" s="6" t="str">
        <f>"230702204304"</f>
        <v>230702204304</v>
      </c>
      <c r="D240" s="5" t="s">
        <v>8</v>
      </c>
      <c r="E240" s="5" t="s">
        <v>13</v>
      </c>
      <c r="F240" s="5">
        <v>238</v>
      </c>
      <c r="G240" s="7"/>
    </row>
    <row r="241" spans="1:7" ht="27.75" customHeight="1">
      <c r="A241" s="5">
        <v>239</v>
      </c>
      <c r="B241" s="6" t="str">
        <f>"王平政"</f>
        <v>王平政</v>
      </c>
      <c r="C241" s="6" t="str">
        <f>"230702207706"</f>
        <v>230702207706</v>
      </c>
      <c r="D241" s="5" t="s">
        <v>8</v>
      </c>
      <c r="E241" s="5" t="s">
        <v>13</v>
      </c>
      <c r="F241" s="5">
        <v>239</v>
      </c>
      <c r="G241" s="7"/>
    </row>
    <row r="242" spans="1:7" ht="27.75" customHeight="1">
      <c r="A242" s="5">
        <v>240</v>
      </c>
      <c r="B242" s="6" t="str">
        <f>"韦弟"</f>
        <v>韦弟</v>
      </c>
      <c r="C242" s="6" t="str">
        <f>"230702206407"</f>
        <v>230702206407</v>
      </c>
      <c r="D242" s="5" t="s">
        <v>8</v>
      </c>
      <c r="E242" s="5" t="s">
        <v>13</v>
      </c>
      <c r="F242" s="5">
        <v>240</v>
      </c>
      <c r="G242" s="7"/>
    </row>
    <row r="243" spans="1:7" ht="27.75" customHeight="1">
      <c r="A243" s="5">
        <v>241</v>
      </c>
      <c r="B243" s="6" t="str">
        <f>"张磊"</f>
        <v>张磊</v>
      </c>
      <c r="C243" s="6" t="str">
        <f>"230702206606"</f>
        <v>230702206606</v>
      </c>
      <c r="D243" s="5" t="s">
        <v>8</v>
      </c>
      <c r="E243" s="5" t="s">
        <v>13</v>
      </c>
      <c r="F243" s="5">
        <v>241</v>
      </c>
      <c r="G243" s="7"/>
    </row>
    <row r="244" spans="1:7" ht="27.75" customHeight="1">
      <c r="A244" s="5">
        <v>242</v>
      </c>
      <c r="B244" s="6" t="str">
        <f>"刘翔宇"</f>
        <v>刘翔宇</v>
      </c>
      <c r="C244" s="6" t="str">
        <f>"230702207330"</f>
        <v>230702207330</v>
      </c>
      <c r="D244" s="5" t="s">
        <v>8</v>
      </c>
      <c r="E244" s="5" t="s">
        <v>13</v>
      </c>
      <c r="F244" s="5">
        <v>242</v>
      </c>
      <c r="G244" s="7"/>
    </row>
    <row r="245" spans="1:7" ht="27.75" customHeight="1">
      <c r="A245" s="5">
        <v>243</v>
      </c>
      <c r="B245" s="6" t="str">
        <f>"司业翔"</f>
        <v>司业翔</v>
      </c>
      <c r="C245" s="6" t="str">
        <f>"230702206508"</f>
        <v>230702206508</v>
      </c>
      <c r="D245" s="5" t="s">
        <v>8</v>
      </c>
      <c r="E245" s="5" t="s">
        <v>13</v>
      </c>
      <c r="F245" s="5">
        <v>243</v>
      </c>
      <c r="G245" s="7"/>
    </row>
    <row r="246" spans="1:7" ht="27.75" customHeight="1">
      <c r="A246" s="5">
        <v>244</v>
      </c>
      <c r="B246" s="6" t="str">
        <f>"楼家旺"</f>
        <v>楼家旺</v>
      </c>
      <c r="C246" s="6" t="str">
        <f>"230702206528"</f>
        <v>230702206528</v>
      </c>
      <c r="D246" s="5" t="s">
        <v>8</v>
      </c>
      <c r="E246" s="5" t="s">
        <v>13</v>
      </c>
      <c r="F246" s="5">
        <v>244</v>
      </c>
      <c r="G246" s="7"/>
    </row>
    <row r="247" spans="1:7" ht="27.75" customHeight="1">
      <c r="A247" s="5">
        <v>245</v>
      </c>
      <c r="B247" s="6" t="str">
        <f>"张秀锦"</f>
        <v>张秀锦</v>
      </c>
      <c r="C247" s="6" t="str">
        <f>"230702207227"</f>
        <v>230702207227</v>
      </c>
      <c r="D247" s="5" t="s">
        <v>8</v>
      </c>
      <c r="E247" s="5" t="s">
        <v>13</v>
      </c>
      <c r="F247" s="5">
        <v>245</v>
      </c>
      <c r="G247" s="7"/>
    </row>
    <row r="248" spans="1:7" ht="27.75" customHeight="1">
      <c r="A248" s="5">
        <v>246</v>
      </c>
      <c r="B248" s="6" t="str">
        <f>"陈明贤"</f>
        <v>陈明贤</v>
      </c>
      <c r="C248" s="6" t="str">
        <f>"230702207229"</f>
        <v>230702207229</v>
      </c>
      <c r="D248" s="5" t="s">
        <v>8</v>
      </c>
      <c r="E248" s="5" t="s">
        <v>13</v>
      </c>
      <c r="F248" s="5">
        <v>246</v>
      </c>
      <c r="G248" s="7"/>
    </row>
    <row r="249" spans="1:7" ht="27.75" customHeight="1">
      <c r="A249" s="5">
        <v>247</v>
      </c>
      <c r="B249" s="6" t="str">
        <f>"秦邦胜"</f>
        <v>秦邦胜</v>
      </c>
      <c r="C249" s="6" t="str">
        <f>"230702207323"</f>
        <v>230702207323</v>
      </c>
      <c r="D249" s="5" t="s">
        <v>8</v>
      </c>
      <c r="E249" s="5" t="s">
        <v>13</v>
      </c>
      <c r="F249" s="5">
        <v>247</v>
      </c>
      <c r="G249" s="7"/>
    </row>
    <row r="250" spans="1:7" ht="27.75" customHeight="1">
      <c r="A250" s="5">
        <v>248</v>
      </c>
      <c r="B250" s="6" t="str">
        <f>"李朝梧"</f>
        <v>李朝梧</v>
      </c>
      <c r="C250" s="6" t="str">
        <f>"230702207509"</f>
        <v>230702207509</v>
      </c>
      <c r="D250" s="5" t="s">
        <v>8</v>
      </c>
      <c r="E250" s="5" t="s">
        <v>13</v>
      </c>
      <c r="F250" s="5">
        <v>248</v>
      </c>
      <c r="G250" s="7"/>
    </row>
    <row r="251" spans="1:7" ht="27.75" customHeight="1">
      <c r="A251" s="5">
        <v>249</v>
      </c>
      <c r="B251" s="6" t="str">
        <f>"黄铁师"</f>
        <v>黄铁师</v>
      </c>
      <c r="C251" s="6" t="str">
        <f>"230702207618"</f>
        <v>230702207618</v>
      </c>
      <c r="D251" s="5" t="s">
        <v>8</v>
      </c>
      <c r="E251" s="5" t="s">
        <v>13</v>
      </c>
      <c r="F251" s="5">
        <v>249</v>
      </c>
      <c r="G251" s="7"/>
    </row>
    <row r="252" spans="1:7" ht="27.75" customHeight="1">
      <c r="A252" s="5">
        <v>250</v>
      </c>
      <c r="B252" s="6" t="str">
        <f>"岳远稳"</f>
        <v>岳远稳</v>
      </c>
      <c r="C252" s="6" t="str">
        <f>"230702207620"</f>
        <v>230702207620</v>
      </c>
      <c r="D252" s="5" t="s">
        <v>8</v>
      </c>
      <c r="E252" s="5" t="s">
        <v>13</v>
      </c>
      <c r="F252" s="5">
        <v>250</v>
      </c>
      <c r="G252" s="7"/>
    </row>
    <row r="253" spans="1:7" ht="27.75" customHeight="1">
      <c r="A253" s="5">
        <v>251</v>
      </c>
      <c r="B253" s="6" t="str">
        <f>"姜祖斌 "</f>
        <v>姜祖斌 </v>
      </c>
      <c r="C253" s="6" t="str">
        <f>"230702205419"</f>
        <v>230702205419</v>
      </c>
      <c r="D253" s="5" t="s">
        <v>8</v>
      </c>
      <c r="E253" s="5" t="s">
        <v>14</v>
      </c>
      <c r="F253" s="5">
        <v>251</v>
      </c>
      <c r="G253" s="7"/>
    </row>
    <row r="254" spans="1:7" ht="27.75" customHeight="1">
      <c r="A254" s="5">
        <v>252</v>
      </c>
      <c r="B254" s="6" t="str">
        <f>"吴彪"</f>
        <v>吴彪</v>
      </c>
      <c r="C254" s="6" t="str">
        <f>"230702205919"</f>
        <v>230702205919</v>
      </c>
      <c r="D254" s="5" t="s">
        <v>8</v>
      </c>
      <c r="E254" s="5" t="s">
        <v>14</v>
      </c>
      <c r="F254" s="5">
        <v>252</v>
      </c>
      <c r="G254" s="7"/>
    </row>
    <row r="255" spans="1:7" ht="27.75" customHeight="1">
      <c r="A255" s="5">
        <v>253</v>
      </c>
      <c r="B255" s="6" t="str">
        <f>"曾一凡"</f>
        <v>曾一凡</v>
      </c>
      <c r="C255" s="6" t="str">
        <f>"230702205822"</f>
        <v>230702205822</v>
      </c>
      <c r="D255" s="5" t="s">
        <v>8</v>
      </c>
      <c r="E255" s="5" t="s">
        <v>14</v>
      </c>
      <c r="F255" s="5">
        <v>253</v>
      </c>
      <c r="G255" s="7"/>
    </row>
    <row r="256" spans="1:7" ht="27.75" customHeight="1">
      <c r="A256" s="5">
        <v>254</v>
      </c>
      <c r="B256" s="6" t="str">
        <f>"曾小松"</f>
        <v>曾小松</v>
      </c>
      <c r="C256" s="6" t="str">
        <f>"230702206109"</f>
        <v>230702206109</v>
      </c>
      <c r="D256" s="5" t="s">
        <v>8</v>
      </c>
      <c r="E256" s="5" t="s">
        <v>14</v>
      </c>
      <c r="F256" s="5">
        <v>254</v>
      </c>
      <c r="G256" s="7"/>
    </row>
    <row r="257" spans="1:7" ht="27.75" customHeight="1">
      <c r="A257" s="5">
        <v>255</v>
      </c>
      <c r="B257" s="6" t="str">
        <f>"陈政理"</f>
        <v>陈政理</v>
      </c>
      <c r="C257" s="6" t="str">
        <f>"230702205812"</f>
        <v>230702205812</v>
      </c>
      <c r="D257" s="5" t="s">
        <v>8</v>
      </c>
      <c r="E257" s="5" t="s">
        <v>14</v>
      </c>
      <c r="F257" s="5">
        <v>255</v>
      </c>
      <c r="G257" s="7"/>
    </row>
    <row r="258" spans="1:7" ht="27.75" customHeight="1">
      <c r="A258" s="5">
        <v>256</v>
      </c>
      <c r="B258" s="6" t="str">
        <f>"符照"</f>
        <v>符照</v>
      </c>
      <c r="C258" s="6" t="str">
        <f>"230702205504"</f>
        <v>230702205504</v>
      </c>
      <c r="D258" s="5" t="s">
        <v>8</v>
      </c>
      <c r="E258" s="5" t="s">
        <v>14</v>
      </c>
      <c r="F258" s="5">
        <v>256</v>
      </c>
      <c r="G258" s="7"/>
    </row>
    <row r="259" spans="1:7" ht="27.75" customHeight="1">
      <c r="A259" s="5">
        <v>257</v>
      </c>
      <c r="B259" s="6" t="str">
        <f>"谢宇腾"</f>
        <v>谢宇腾</v>
      </c>
      <c r="C259" s="6" t="str">
        <f>"230702206203"</f>
        <v>230702206203</v>
      </c>
      <c r="D259" s="5" t="s">
        <v>8</v>
      </c>
      <c r="E259" s="5" t="s">
        <v>14</v>
      </c>
      <c r="F259" s="5">
        <v>257</v>
      </c>
      <c r="G259" s="7"/>
    </row>
    <row r="260" spans="1:7" ht="27.75" customHeight="1">
      <c r="A260" s="5">
        <v>258</v>
      </c>
      <c r="B260" s="6" t="str">
        <f>"林旭初"</f>
        <v>林旭初</v>
      </c>
      <c r="C260" s="6" t="str">
        <f>"230702205512"</f>
        <v>230702205512</v>
      </c>
      <c r="D260" s="5" t="s">
        <v>8</v>
      </c>
      <c r="E260" s="5" t="s">
        <v>14</v>
      </c>
      <c r="F260" s="5">
        <v>258</v>
      </c>
      <c r="G260" s="7"/>
    </row>
    <row r="261" spans="1:7" ht="27.75" customHeight="1">
      <c r="A261" s="5">
        <v>259</v>
      </c>
      <c r="B261" s="6" t="str">
        <f>"罗凯青"</f>
        <v>罗凯青</v>
      </c>
      <c r="C261" s="6" t="str">
        <f>"230702205610"</f>
        <v>230702205610</v>
      </c>
      <c r="D261" s="5" t="s">
        <v>8</v>
      </c>
      <c r="E261" s="5" t="s">
        <v>14</v>
      </c>
      <c r="F261" s="5">
        <v>259</v>
      </c>
      <c r="G261" s="7"/>
    </row>
    <row r="262" spans="1:7" ht="27.75" customHeight="1">
      <c r="A262" s="5">
        <v>260</v>
      </c>
      <c r="B262" s="6" t="str">
        <f>"符高铨"</f>
        <v>符高铨</v>
      </c>
      <c r="C262" s="6" t="str">
        <f>"230702205615"</f>
        <v>230702205615</v>
      </c>
      <c r="D262" s="5" t="s">
        <v>8</v>
      </c>
      <c r="E262" s="5" t="s">
        <v>14</v>
      </c>
      <c r="F262" s="5">
        <v>260</v>
      </c>
      <c r="G262" s="7"/>
    </row>
    <row r="263" spans="1:7" ht="27.75" customHeight="1">
      <c r="A263" s="5">
        <v>261</v>
      </c>
      <c r="B263" s="6" t="str">
        <f>"王鹤锦"</f>
        <v>王鹤锦</v>
      </c>
      <c r="C263" s="6" t="str">
        <f>"230702205715"</f>
        <v>230702205715</v>
      </c>
      <c r="D263" s="5" t="s">
        <v>8</v>
      </c>
      <c r="E263" s="5" t="s">
        <v>14</v>
      </c>
      <c r="F263" s="5">
        <v>261</v>
      </c>
      <c r="G263" s="7"/>
    </row>
    <row r="264" spans="1:7" ht="27.75" customHeight="1">
      <c r="A264" s="5">
        <v>262</v>
      </c>
      <c r="B264" s="6" t="str">
        <f>"程鹏"</f>
        <v>程鹏</v>
      </c>
      <c r="C264" s="6" t="str">
        <f>"230702205820"</f>
        <v>230702205820</v>
      </c>
      <c r="D264" s="5" t="s">
        <v>8</v>
      </c>
      <c r="E264" s="5" t="s">
        <v>14</v>
      </c>
      <c r="F264" s="5">
        <v>262</v>
      </c>
      <c r="G264" s="7"/>
    </row>
    <row r="265" spans="1:7" ht="27.75" customHeight="1">
      <c r="A265" s="5">
        <v>263</v>
      </c>
      <c r="B265" s="6" t="str">
        <f>"王永鹏"</f>
        <v>王永鹏</v>
      </c>
      <c r="C265" s="6" t="str">
        <f>"230702205423"</f>
        <v>230702205423</v>
      </c>
      <c r="D265" s="5" t="s">
        <v>8</v>
      </c>
      <c r="E265" s="5" t="s">
        <v>14</v>
      </c>
      <c r="F265" s="5">
        <v>263</v>
      </c>
      <c r="G265" s="7"/>
    </row>
    <row r="266" spans="1:7" ht="27.75" customHeight="1">
      <c r="A266" s="5">
        <v>264</v>
      </c>
      <c r="B266" s="6" t="str">
        <f>"刘斯钦"</f>
        <v>刘斯钦</v>
      </c>
      <c r="C266" s="6" t="str">
        <f>"230702206204"</f>
        <v>230702206204</v>
      </c>
      <c r="D266" s="5" t="s">
        <v>8</v>
      </c>
      <c r="E266" s="5" t="s">
        <v>14</v>
      </c>
      <c r="F266" s="5">
        <v>264</v>
      </c>
      <c r="G266" s="7"/>
    </row>
    <row r="267" spans="1:7" ht="27.75" customHeight="1">
      <c r="A267" s="5">
        <v>265</v>
      </c>
      <c r="B267" s="6" t="str">
        <f>"吴伟强"</f>
        <v>吴伟强</v>
      </c>
      <c r="C267" s="6" t="str">
        <f>"230702206125"</f>
        <v>230702206125</v>
      </c>
      <c r="D267" s="5" t="s">
        <v>8</v>
      </c>
      <c r="E267" s="5" t="s">
        <v>14</v>
      </c>
      <c r="F267" s="5">
        <v>265</v>
      </c>
      <c r="G267" s="7"/>
    </row>
    <row r="268" spans="1:7" ht="27.75" customHeight="1">
      <c r="A268" s="5">
        <v>266</v>
      </c>
      <c r="B268" s="6" t="str">
        <f>"洪钰盛"</f>
        <v>洪钰盛</v>
      </c>
      <c r="C268" s="6" t="str">
        <f>"230702205724"</f>
        <v>230702205724</v>
      </c>
      <c r="D268" s="5" t="s">
        <v>8</v>
      </c>
      <c r="E268" s="5" t="s">
        <v>14</v>
      </c>
      <c r="F268" s="5">
        <v>266</v>
      </c>
      <c r="G268" s="7"/>
    </row>
    <row r="269" spans="1:7" ht="27.75" customHeight="1">
      <c r="A269" s="5">
        <v>267</v>
      </c>
      <c r="B269" s="6" t="str">
        <f>"王皓民"</f>
        <v>王皓民</v>
      </c>
      <c r="C269" s="6" t="str">
        <f>"230702205911"</f>
        <v>230702205911</v>
      </c>
      <c r="D269" s="5" t="s">
        <v>8</v>
      </c>
      <c r="E269" s="5" t="s">
        <v>14</v>
      </c>
      <c r="F269" s="5">
        <v>267</v>
      </c>
      <c r="G269" s="7"/>
    </row>
    <row r="270" spans="1:7" ht="27.75" customHeight="1">
      <c r="A270" s="5">
        <v>268</v>
      </c>
      <c r="B270" s="6" t="str">
        <f>"陈殿圣"</f>
        <v>陈殿圣</v>
      </c>
      <c r="C270" s="6" t="str">
        <f>"230702206014"</f>
        <v>230702206014</v>
      </c>
      <c r="D270" s="5" t="s">
        <v>8</v>
      </c>
      <c r="E270" s="5" t="s">
        <v>14</v>
      </c>
      <c r="F270" s="5">
        <v>268</v>
      </c>
      <c r="G270" s="7"/>
    </row>
    <row r="271" spans="1:7" ht="27.75" customHeight="1">
      <c r="A271" s="5">
        <v>269</v>
      </c>
      <c r="B271" s="6" t="str">
        <f>"许洋粽"</f>
        <v>许洋粽</v>
      </c>
      <c r="C271" s="6" t="str">
        <f>"230702205517"</f>
        <v>230702205517</v>
      </c>
      <c r="D271" s="5" t="s">
        <v>8</v>
      </c>
      <c r="E271" s="5" t="s">
        <v>14</v>
      </c>
      <c r="F271" s="5">
        <v>269</v>
      </c>
      <c r="G271" s="7"/>
    </row>
    <row r="272" spans="1:7" ht="27.75" customHeight="1">
      <c r="A272" s="5">
        <v>270</v>
      </c>
      <c r="B272" s="6" t="str">
        <f>"陈岸卫"</f>
        <v>陈岸卫</v>
      </c>
      <c r="C272" s="6" t="str">
        <f>"230702206122"</f>
        <v>230702206122</v>
      </c>
      <c r="D272" s="5" t="s">
        <v>8</v>
      </c>
      <c r="E272" s="5" t="s">
        <v>14</v>
      </c>
      <c r="F272" s="5">
        <v>270</v>
      </c>
      <c r="G272" s="7"/>
    </row>
    <row r="273" spans="1:7" ht="27.75" customHeight="1">
      <c r="A273" s="5">
        <v>271</v>
      </c>
      <c r="B273" s="6" t="str">
        <f>"冯家康"</f>
        <v>冯家康</v>
      </c>
      <c r="C273" s="6" t="str">
        <f>"230702205516"</f>
        <v>230702205516</v>
      </c>
      <c r="D273" s="5" t="s">
        <v>8</v>
      </c>
      <c r="E273" s="5" t="s">
        <v>14</v>
      </c>
      <c r="F273" s="5">
        <v>271</v>
      </c>
      <c r="G273" s="7"/>
    </row>
    <row r="274" spans="1:7" ht="27.75" customHeight="1">
      <c r="A274" s="5">
        <v>272</v>
      </c>
      <c r="B274" s="6" t="str">
        <f>"王林"</f>
        <v>王林</v>
      </c>
      <c r="C274" s="6" t="str">
        <f>"230702205818"</f>
        <v>230702205818</v>
      </c>
      <c r="D274" s="5" t="s">
        <v>8</v>
      </c>
      <c r="E274" s="5" t="s">
        <v>14</v>
      </c>
      <c r="F274" s="5">
        <v>272</v>
      </c>
      <c r="G274" s="7"/>
    </row>
    <row r="275" spans="1:7" ht="27.75" customHeight="1">
      <c r="A275" s="5">
        <v>273</v>
      </c>
      <c r="B275" s="6" t="str">
        <f>"许晨缘"</f>
        <v>许晨缘</v>
      </c>
      <c r="C275" s="6" t="str">
        <f>"230702205730"</f>
        <v>230702205730</v>
      </c>
      <c r="D275" s="5" t="s">
        <v>8</v>
      </c>
      <c r="E275" s="5" t="s">
        <v>14</v>
      </c>
      <c r="F275" s="5">
        <v>273</v>
      </c>
      <c r="G275" s="7"/>
    </row>
    <row r="276" spans="1:7" ht="27.75" customHeight="1">
      <c r="A276" s="5">
        <v>274</v>
      </c>
      <c r="B276" s="6" t="str">
        <f>"洪绵康"</f>
        <v>洪绵康</v>
      </c>
      <c r="C276" s="6" t="str">
        <f>"230702205914"</f>
        <v>230702205914</v>
      </c>
      <c r="D276" s="5" t="s">
        <v>8</v>
      </c>
      <c r="E276" s="5" t="s">
        <v>14</v>
      </c>
      <c r="F276" s="5">
        <v>274</v>
      </c>
      <c r="G276" s="7"/>
    </row>
    <row r="277" spans="1:7" ht="27.75" customHeight="1">
      <c r="A277" s="5">
        <v>275</v>
      </c>
      <c r="B277" s="6" t="str">
        <f>"陈垂杰"</f>
        <v>陈垂杰</v>
      </c>
      <c r="C277" s="6" t="str">
        <f>"230702206128"</f>
        <v>230702206128</v>
      </c>
      <c r="D277" s="5" t="s">
        <v>8</v>
      </c>
      <c r="E277" s="5" t="s">
        <v>14</v>
      </c>
      <c r="F277" s="5">
        <v>275</v>
      </c>
      <c r="G277" s="7"/>
    </row>
    <row r="278" spans="1:7" ht="27.75" customHeight="1">
      <c r="A278" s="5">
        <v>276</v>
      </c>
      <c r="B278" s="6" t="str">
        <f>"王佳宁"</f>
        <v>王佳宁</v>
      </c>
      <c r="C278" s="6" t="str">
        <f>"230702206215"</f>
        <v>230702206215</v>
      </c>
      <c r="D278" s="5" t="s">
        <v>8</v>
      </c>
      <c r="E278" s="5" t="s">
        <v>14</v>
      </c>
      <c r="F278" s="5">
        <v>276</v>
      </c>
      <c r="G278" s="7"/>
    </row>
    <row r="279" spans="1:7" ht="27.75" customHeight="1">
      <c r="A279" s="5">
        <v>277</v>
      </c>
      <c r="B279" s="6" t="str">
        <f>"王泽"</f>
        <v>王泽</v>
      </c>
      <c r="C279" s="6" t="str">
        <f>"230702205908"</f>
        <v>230702205908</v>
      </c>
      <c r="D279" s="5" t="s">
        <v>8</v>
      </c>
      <c r="E279" s="5" t="s">
        <v>14</v>
      </c>
      <c r="F279" s="5">
        <v>277</v>
      </c>
      <c r="G279" s="7"/>
    </row>
    <row r="280" spans="1:7" ht="27.75" customHeight="1">
      <c r="A280" s="5">
        <v>278</v>
      </c>
      <c r="B280" s="6" t="str">
        <f>"李茂彬"</f>
        <v>李茂彬</v>
      </c>
      <c r="C280" s="6" t="str">
        <f>"230702206004"</f>
        <v>230702206004</v>
      </c>
      <c r="D280" s="5" t="s">
        <v>8</v>
      </c>
      <c r="E280" s="5" t="s">
        <v>14</v>
      </c>
      <c r="F280" s="5">
        <v>278</v>
      </c>
      <c r="G280" s="7"/>
    </row>
    <row r="281" spans="1:7" ht="27.75" customHeight="1">
      <c r="A281" s="5">
        <v>279</v>
      </c>
      <c r="B281" s="6" t="str">
        <f>"王海"</f>
        <v>王海</v>
      </c>
      <c r="C281" s="6" t="str">
        <f>"230702205418"</f>
        <v>230702205418</v>
      </c>
      <c r="D281" s="5" t="s">
        <v>8</v>
      </c>
      <c r="E281" s="5" t="s">
        <v>14</v>
      </c>
      <c r="F281" s="5">
        <v>279</v>
      </c>
      <c r="G281" s="7"/>
    </row>
    <row r="282" spans="1:7" ht="27.75" customHeight="1">
      <c r="A282" s="5">
        <v>280</v>
      </c>
      <c r="B282" s="6" t="str">
        <f>"王海润"</f>
        <v>王海润</v>
      </c>
      <c r="C282" s="6" t="str">
        <f>"230702205702"</f>
        <v>230702205702</v>
      </c>
      <c r="D282" s="5" t="s">
        <v>8</v>
      </c>
      <c r="E282" s="5" t="s">
        <v>14</v>
      </c>
      <c r="F282" s="5">
        <v>280</v>
      </c>
      <c r="G282" s="7"/>
    </row>
    <row r="283" spans="1:7" ht="27.75" customHeight="1">
      <c r="A283" s="5">
        <v>281</v>
      </c>
      <c r="B283" s="6" t="str">
        <f>"王一然"</f>
        <v>王一然</v>
      </c>
      <c r="C283" s="6" t="str">
        <f>"230702206007"</f>
        <v>230702206007</v>
      </c>
      <c r="D283" s="5" t="s">
        <v>8</v>
      </c>
      <c r="E283" s="5" t="s">
        <v>14</v>
      </c>
      <c r="F283" s="5">
        <v>281</v>
      </c>
      <c r="G283" s="7"/>
    </row>
    <row r="284" spans="1:7" ht="27.75" customHeight="1">
      <c r="A284" s="5">
        <v>282</v>
      </c>
      <c r="B284" s="6" t="str">
        <f>"郭雅俊"</f>
        <v>郭雅俊</v>
      </c>
      <c r="C284" s="6" t="str">
        <f>"230702206218"</f>
        <v>230702206218</v>
      </c>
      <c r="D284" s="5" t="s">
        <v>8</v>
      </c>
      <c r="E284" s="5" t="s">
        <v>14</v>
      </c>
      <c r="F284" s="5">
        <v>282</v>
      </c>
      <c r="G284" s="7"/>
    </row>
    <row r="285" spans="1:7" ht="27.75" customHeight="1">
      <c r="A285" s="5">
        <v>283</v>
      </c>
      <c r="B285" s="6" t="str">
        <f>"王孔立"</f>
        <v>王孔立</v>
      </c>
      <c r="C285" s="6" t="str">
        <f>"230702205804"</f>
        <v>230702205804</v>
      </c>
      <c r="D285" s="5" t="s">
        <v>8</v>
      </c>
      <c r="E285" s="5" t="s">
        <v>14</v>
      </c>
      <c r="F285" s="5">
        <v>283</v>
      </c>
      <c r="G285" s="7"/>
    </row>
    <row r="286" spans="1:7" ht="27.75" customHeight="1">
      <c r="A286" s="5">
        <v>284</v>
      </c>
      <c r="B286" s="6" t="str">
        <f>"方小建"</f>
        <v>方小建</v>
      </c>
      <c r="C286" s="6" t="str">
        <f>"230702205906"</f>
        <v>230702205906</v>
      </c>
      <c r="D286" s="5" t="s">
        <v>8</v>
      </c>
      <c r="E286" s="5" t="s">
        <v>14</v>
      </c>
      <c r="F286" s="5">
        <v>284</v>
      </c>
      <c r="G286" s="7"/>
    </row>
    <row r="287" spans="1:7" ht="27.75" customHeight="1">
      <c r="A287" s="5">
        <v>285</v>
      </c>
      <c r="B287" s="6" t="str">
        <f>"陈才峻"</f>
        <v>陈才峻</v>
      </c>
      <c r="C287" s="6" t="str">
        <f>"230702205918"</f>
        <v>230702205918</v>
      </c>
      <c r="D287" s="5" t="s">
        <v>8</v>
      </c>
      <c r="E287" s="5" t="s">
        <v>14</v>
      </c>
      <c r="F287" s="5">
        <v>285</v>
      </c>
      <c r="G287" s="7"/>
    </row>
    <row r="288" spans="1:7" ht="27.75" customHeight="1">
      <c r="A288" s="5">
        <v>286</v>
      </c>
      <c r="B288" s="6" t="str">
        <f>"吕炳宗"</f>
        <v>吕炳宗</v>
      </c>
      <c r="C288" s="6" t="str">
        <f>"230702205402"</f>
        <v>230702205402</v>
      </c>
      <c r="D288" s="5" t="s">
        <v>8</v>
      </c>
      <c r="E288" s="5" t="s">
        <v>14</v>
      </c>
      <c r="F288" s="5">
        <v>286</v>
      </c>
      <c r="G288" s="7"/>
    </row>
    <row r="289" spans="1:7" ht="27.75" customHeight="1">
      <c r="A289" s="5">
        <v>287</v>
      </c>
      <c r="B289" s="6" t="str">
        <f>"符珑瀚"</f>
        <v>符珑瀚</v>
      </c>
      <c r="C289" s="6" t="str">
        <f>"230702205302"</f>
        <v>230702205302</v>
      </c>
      <c r="D289" s="5" t="s">
        <v>8</v>
      </c>
      <c r="E289" s="5" t="s">
        <v>14</v>
      </c>
      <c r="F289" s="5">
        <v>287</v>
      </c>
      <c r="G289" s="7"/>
    </row>
    <row r="290" spans="1:7" ht="27.75" customHeight="1">
      <c r="A290" s="5">
        <v>288</v>
      </c>
      <c r="B290" s="6" t="str">
        <f>"羊壮文"</f>
        <v>羊壮文</v>
      </c>
      <c r="C290" s="6" t="str">
        <f>"230702205310"</f>
        <v>230702205310</v>
      </c>
      <c r="D290" s="5" t="s">
        <v>8</v>
      </c>
      <c r="E290" s="5" t="s">
        <v>14</v>
      </c>
      <c r="F290" s="5">
        <v>288</v>
      </c>
      <c r="G290" s="7"/>
    </row>
    <row r="291" spans="1:7" ht="27.75" customHeight="1">
      <c r="A291" s="5">
        <v>289</v>
      </c>
      <c r="B291" s="6" t="str">
        <f>"陈隆发"</f>
        <v>陈隆发</v>
      </c>
      <c r="C291" s="6" t="str">
        <f>"230702205312"</f>
        <v>230702205312</v>
      </c>
      <c r="D291" s="5" t="s">
        <v>8</v>
      </c>
      <c r="E291" s="5" t="s">
        <v>14</v>
      </c>
      <c r="F291" s="5">
        <v>289</v>
      </c>
      <c r="G291" s="7"/>
    </row>
    <row r="292" spans="1:7" ht="27.75" customHeight="1">
      <c r="A292" s="5">
        <v>290</v>
      </c>
      <c r="B292" s="6" t="str">
        <f>"羊汉雄"</f>
        <v>羊汉雄</v>
      </c>
      <c r="C292" s="6" t="str">
        <f>"230702205323"</f>
        <v>230702205323</v>
      </c>
      <c r="D292" s="5" t="s">
        <v>8</v>
      </c>
      <c r="E292" s="5" t="s">
        <v>14</v>
      </c>
      <c r="F292" s="5">
        <v>290</v>
      </c>
      <c r="G292" s="7"/>
    </row>
    <row r="293" spans="1:7" ht="27.75" customHeight="1">
      <c r="A293" s="5">
        <v>291</v>
      </c>
      <c r="B293" s="6" t="str">
        <f>"符令伟"</f>
        <v>符令伟</v>
      </c>
      <c r="C293" s="6" t="str">
        <f>"230702205330"</f>
        <v>230702205330</v>
      </c>
      <c r="D293" s="5" t="s">
        <v>8</v>
      </c>
      <c r="E293" s="5" t="s">
        <v>14</v>
      </c>
      <c r="F293" s="5">
        <v>291</v>
      </c>
      <c r="G293" s="7"/>
    </row>
    <row r="294" spans="1:7" ht="27.75" customHeight="1">
      <c r="A294" s="5">
        <v>292</v>
      </c>
      <c r="B294" s="6" t="str">
        <f>"陈有善"</f>
        <v>陈有善</v>
      </c>
      <c r="C294" s="6" t="str">
        <f>"230702205306"</f>
        <v>230702205306</v>
      </c>
      <c r="D294" s="5" t="s">
        <v>8</v>
      </c>
      <c r="E294" s="5" t="s">
        <v>14</v>
      </c>
      <c r="F294" s="5">
        <v>292</v>
      </c>
      <c r="G294" s="7"/>
    </row>
    <row r="295" spans="1:7" ht="27.75" customHeight="1">
      <c r="A295" s="5">
        <v>293</v>
      </c>
      <c r="B295" s="6" t="str">
        <f>"李子光"</f>
        <v>李子光</v>
      </c>
      <c r="C295" s="6" t="str">
        <f>"230702205411"</f>
        <v>230702205411</v>
      </c>
      <c r="D295" s="5" t="s">
        <v>8</v>
      </c>
      <c r="E295" s="5" t="s">
        <v>14</v>
      </c>
      <c r="F295" s="5">
        <v>293</v>
      </c>
      <c r="G295" s="7"/>
    </row>
    <row r="296" spans="1:7" ht="27.75" customHeight="1">
      <c r="A296" s="5">
        <v>294</v>
      </c>
      <c r="B296" s="6" t="str">
        <f>"张可富"</f>
        <v>张可富</v>
      </c>
      <c r="C296" s="6" t="str">
        <f>"230702205329"</f>
        <v>230702205329</v>
      </c>
      <c r="D296" s="5" t="s">
        <v>8</v>
      </c>
      <c r="E296" s="5" t="s">
        <v>14</v>
      </c>
      <c r="F296" s="5">
        <v>294</v>
      </c>
      <c r="G296" s="7"/>
    </row>
    <row r="297" spans="1:7" ht="27.75" customHeight="1">
      <c r="A297" s="5">
        <v>295</v>
      </c>
      <c r="B297" s="6" t="str">
        <f>"王新世"</f>
        <v>王新世</v>
      </c>
      <c r="C297" s="6" t="str">
        <f>"230702205318"</f>
        <v>230702205318</v>
      </c>
      <c r="D297" s="5" t="s">
        <v>8</v>
      </c>
      <c r="E297" s="5" t="s">
        <v>14</v>
      </c>
      <c r="F297" s="5">
        <v>295</v>
      </c>
      <c r="G297" s="7"/>
    </row>
    <row r="298" spans="1:7" ht="27.75" customHeight="1">
      <c r="A298" s="5">
        <v>296</v>
      </c>
      <c r="B298" s="6" t="str">
        <f>"赵明泽"</f>
        <v>赵明泽</v>
      </c>
      <c r="C298" s="6" t="str">
        <f>"230702203109"</f>
        <v>230702203109</v>
      </c>
      <c r="D298" s="5" t="s">
        <v>8</v>
      </c>
      <c r="E298" s="5" t="s">
        <v>15</v>
      </c>
      <c r="F298" s="5">
        <v>296</v>
      </c>
      <c r="G298" s="7"/>
    </row>
    <row r="299" spans="1:7" ht="27.75" customHeight="1">
      <c r="A299" s="5">
        <v>297</v>
      </c>
      <c r="B299" s="6" t="str">
        <f>"颜跃东"</f>
        <v>颜跃东</v>
      </c>
      <c r="C299" s="6" t="str">
        <f>"230702203214"</f>
        <v>230702203214</v>
      </c>
      <c r="D299" s="5" t="s">
        <v>8</v>
      </c>
      <c r="E299" s="5" t="s">
        <v>15</v>
      </c>
      <c r="F299" s="5">
        <v>297</v>
      </c>
      <c r="G299" s="7"/>
    </row>
    <row r="300" spans="1:7" ht="27.75" customHeight="1">
      <c r="A300" s="5">
        <v>298</v>
      </c>
      <c r="B300" s="6" t="str">
        <f>"杨国茂"</f>
        <v>杨国茂</v>
      </c>
      <c r="C300" s="6" t="str">
        <f>"230702203203"</f>
        <v>230702203203</v>
      </c>
      <c r="D300" s="5" t="s">
        <v>8</v>
      </c>
      <c r="E300" s="5" t="s">
        <v>15</v>
      </c>
      <c r="F300" s="5">
        <v>298</v>
      </c>
      <c r="G300" s="7"/>
    </row>
    <row r="301" spans="1:7" ht="27.75" customHeight="1">
      <c r="A301" s="5">
        <v>299</v>
      </c>
      <c r="B301" s="6" t="str">
        <f>"林火烨"</f>
        <v>林火烨</v>
      </c>
      <c r="C301" s="6" t="str">
        <f>"230702203208"</f>
        <v>230702203208</v>
      </c>
      <c r="D301" s="5" t="s">
        <v>8</v>
      </c>
      <c r="E301" s="5" t="s">
        <v>15</v>
      </c>
      <c r="F301" s="5">
        <v>299</v>
      </c>
      <c r="G301" s="7"/>
    </row>
    <row r="302" spans="1:7" ht="27.75" customHeight="1">
      <c r="A302" s="5">
        <v>300</v>
      </c>
      <c r="B302" s="6" t="str">
        <f>"汪挺"</f>
        <v>汪挺</v>
      </c>
      <c r="C302" s="6" t="str">
        <f>"230702203117"</f>
        <v>230702203117</v>
      </c>
      <c r="D302" s="5" t="s">
        <v>8</v>
      </c>
      <c r="E302" s="5" t="s">
        <v>15</v>
      </c>
      <c r="F302" s="5">
        <v>300</v>
      </c>
      <c r="G302" s="7"/>
    </row>
    <row r="303" spans="1:7" ht="27.75" customHeight="1">
      <c r="A303" s="5">
        <v>301</v>
      </c>
      <c r="B303" s="6" t="str">
        <f>"刘上南"</f>
        <v>刘上南</v>
      </c>
      <c r="C303" s="6" t="str">
        <f>"230702203219"</f>
        <v>230702203219</v>
      </c>
      <c r="D303" s="5" t="s">
        <v>8</v>
      </c>
      <c r="E303" s="5" t="s">
        <v>15</v>
      </c>
      <c r="F303" s="5">
        <v>301</v>
      </c>
      <c r="G303" s="7"/>
    </row>
    <row r="304" spans="1:7" ht="27.75" customHeight="1">
      <c r="A304" s="5">
        <v>302</v>
      </c>
      <c r="B304" s="6" t="str">
        <f>"李永通"</f>
        <v>李永通</v>
      </c>
      <c r="C304" s="6" t="str">
        <f>"230702203120"</f>
        <v>230702203120</v>
      </c>
      <c r="D304" s="5" t="s">
        <v>8</v>
      </c>
      <c r="E304" s="5" t="s">
        <v>15</v>
      </c>
      <c r="F304" s="5">
        <v>302</v>
      </c>
      <c r="G304" s="7"/>
    </row>
    <row r="305" spans="1:7" ht="27.75" customHeight="1">
      <c r="A305" s="5">
        <v>303</v>
      </c>
      <c r="B305" s="6" t="str">
        <f>"李文望"</f>
        <v>李文望</v>
      </c>
      <c r="C305" s="6" t="str">
        <f>"230702203307"</f>
        <v>230702203307</v>
      </c>
      <c r="D305" s="5" t="s">
        <v>8</v>
      </c>
      <c r="E305" s="5" t="s">
        <v>15</v>
      </c>
      <c r="F305" s="5">
        <v>303</v>
      </c>
      <c r="G305" s="7"/>
    </row>
    <row r="306" spans="1:7" ht="27.75" customHeight="1">
      <c r="A306" s="5">
        <v>304</v>
      </c>
      <c r="B306" s="6" t="str">
        <f>"吴岩"</f>
        <v>吴岩</v>
      </c>
      <c r="C306" s="6" t="str">
        <f>"230702203224"</f>
        <v>230702203224</v>
      </c>
      <c r="D306" s="5" t="s">
        <v>8</v>
      </c>
      <c r="E306" s="5" t="s">
        <v>15</v>
      </c>
      <c r="F306" s="5">
        <v>304</v>
      </c>
      <c r="G306" s="7"/>
    </row>
    <row r="307" spans="1:7" ht="27.75" customHeight="1">
      <c r="A307" s="5">
        <v>305</v>
      </c>
      <c r="B307" s="6" t="str">
        <f>"陈蔚"</f>
        <v>陈蔚</v>
      </c>
      <c r="C307" s="6" t="str">
        <f>"230702203317"</f>
        <v>230702203317</v>
      </c>
      <c r="D307" s="5" t="s">
        <v>8</v>
      </c>
      <c r="E307" s="5" t="s">
        <v>15</v>
      </c>
      <c r="F307" s="5">
        <v>305</v>
      </c>
      <c r="G307" s="7"/>
    </row>
    <row r="308" spans="1:7" ht="27.75" customHeight="1">
      <c r="A308" s="5">
        <v>306</v>
      </c>
      <c r="B308" s="6" t="str">
        <f>"张贤"</f>
        <v>张贤</v>
      </c>
      <c r="C308" s="6" t="str">
        <f>"230702203128"</f>
        <v>230702203128</v>
      </c>
      <c r="D308" s="5" t="s">
        <v>8</v>
      </c>
      <c r="E308" s="5" t="s">
        <v>15</v>
      </c>
      <c r="F308" s="5">
        <v>306</v>
      </c>
      <c r="G308" s="7"/>
    </row>
    <row r="309" spans="1:7" ht="27.75" customHeight="1">
      <c r="A309" s="5">
        <v>307</v>
      </c>
      <c r="B309" s="6" t="str">
        <f>"黎经标"</f>
        <v>黎经标</v>
      </c>
      <c r="C309" s="6" t="str">
        <f>"230702203207"</f>
        <v>230702203207</v>
      </c>
      <c r="D309" s="5" t="s">
        <v>8</v>
      </c>
      <c r="E309" s="5" t="s">
        <v>15</v>
      </c>
      <c r="F309" s="5">
        <v>307</v>
      </c>
      <c r="G309" s="7"/>
    </row>
    <row r="310" spans="1:7" ht="27.75" customHeight="1">
      <c r="A310" s="5">
        <v>308</v>
      </c>
      <c r="B310" s="6" t="str">
        <f>"匡增顺"</f>
        <v>匡增顺</v>
      </c>
      <c r="C310" s="6" t="str">
        <f>"230702203226"</f>
        <v>230702203226</v>
      </c>
      <c r="D310" s="5" t="s">
        <v>8</v>
      </c>
      <c r="E310" s="5" t="s">
        <v>15</v>
      </c>
      <c r="F310" s="5">
        <v>308</v>
      </c>
      <c r="G310" s="7"/>
    </row>
    <row r="311" spans="1:7" ht="27.75" customHeight="1">
      <c r="A311" s="5">
        <v>309</v>
      </c>
      <c r="B311" s="6" t="str">
        <f>"罗阳明"</f>
        <v>罗阳明</v>
      </c>
      <c r="C311" s="6" t="str">
        <f>"230702203304"</f>
        <v>230702203304</v>
      </c>
      <c r="D311" s="5" t="s">
        <v>8</v>
      </c>
      <c r="E311" s="5" t="s">
        <v>15</v>
      </c>
      <c r="F311" s="5">
        <v>309</v>
      </c>
      <c r="G311" s="7"/>
    </row>
    <row r="312" spans="1:7" ht="27.75" customHeight="1">
      <c r="A312" s="5">
        <v>310</v>
      </c>
      <c r="B312" s="6" t="str">
        <f>"关万意"</f>
        <v>关万意</v>
      </c>
      <c r="C312" s="6" t="str">
        <f>"230702203105"</f>
        <v>230702203105</v>
      </c>
      <c r="D312" s="5" t="s">
        <v>8</v>
      </c>
      <c r="E312" s="5" t="s">
        <v>15</v>
      </c>
      <c r="F312" s="5">
        <v>310</v>
      </c>
      <c r="G312" s="7"/>
    </row>
    <row r="313" spans="1:7" ht="27.75" customHeight="1">
      <c r="A313" s="5">
        <v>311</v>
      </c>
      <c r="B313" s="6" t="str">
        <f>"洪摩"</f>
        <v>洪摩</v>
      </c>
      <c r="C313" s="6" t="str">
        <f>"230702203111"</f>
        <v>230702203111</v>
      </c>
      <c r="D313" s="5" t="s">
        <v>8</v>
      </c>
      <c r="E313" s="5" t="s">
        <v>15</v>
      </c>
      <c r="F313" s="5">
        <v>311</v>
      </c>
      <c r="G313" s="7"/>
    </row>
    <row r="314" spans="1:7" ht="27.75" customHeight="1">
      <c r="A314" s="5">
        <v>312</v>
      </c>
      <c r="B314" s="6" t="str">
        <f>"符泰华"</f>
        <v>符泰华</v>
      </c>
      <c r="C314" s="6" t="str">
        <f>"230702201413"</f>
        <v>230702201413</v>
      </c>
      <c r="D314" s="5" t="s">
        <v>8</v>
      </c>
      <c r="E314" s="5" t="s">
        <v>15</v>
      </c>
      <c r="F314" s="5">
        <v>312</v>
      </c>
      <c r="G314" s="7"/>
    </row>
    <row r="315" spans="1:7" ht="27.75" customHeight="1">
      <c r="A315" s="5">
        <v>313</v>
      </c>
      <c r="B315" s="6" t="str">
        <f>"王惠董"</f>
        <v>王惠董</v>
      </c>
      <c r="C315" s="6" t="str">
        <f>"230702201501"</f>
        <v>230702201501</v>
      </c>
      <c r="D315" s="5" t="s">
        <v>8</v>
      </c>
      <c r="E315" s="5" t="s">
        <v>15</v>
      </c>
      <c r="F315" s="5">
        <v>313</v>
      </c>
      <c r="G315" s="7"/>
    </row>
    <row r="316" spans="1:7" ht="27.75" customHeight="1">
      <c r="A316" s="5">
        <v>314</v>
      </c>
      <c r="B316" s="6" t="str">
        <f>"张忠宝"</f>
        <v>张忠宝</v>
      </c>
      <c r="C316" s="6" t="str">
        <f>"230702201504"</f>
        <v>230702201504</v>
      </c>
      <c r="D316" s="5" t="s">
        <v>8</v>
      </c>
      <c r="E316" s="5" t="s">
        <v>15</v>
      </c>
      <c r="F316" s="5">
        <v>314</v>
      </c>
      <c r="G316" s="7"/>
    </row>
    <row r="317" spans="1:7" ht="27.75" customHeight="1">
      <c r="A317" s="5">
        <v>315</v>
      </c>
      <c r="B317" s="6" t="str">
        <f>"黎才宝"</f>
        <v>黎才宝</v>
      </c>
      <c r="C317" s="6" t="str">
        <f>"230702201416"</f>
        <v>230702201416</v>
      </c>
      <c r="D317" s="5" t="s">
        <v>8</v>
      </c>
      <c r="E317" s="5" t="s">
        <v>15</v>
      </c>
      <c r="F317" s="5">
        <v>315</v>
      </c>
      <c r="G317" s="7"/>
    </row>
    <row r="318" spans="1:7" ht="27.75" customHeight="1">
      <c r="A318" s="5">
        <v>316</v>
      </c>
      <c r="B318" s="6" t="str">
        <f>"王祚益"</f>
        <v>王祚益</v>
      </c>
      <c r="C318" s="6" t="str">
        <f>"230702201418"</f>
        <v>230702201418</v>
      </c>
      <c r="D318" s="5" t="s">
        <v>8</v>
      </c>
      <c r="E318" s="5" t="s">
        <v>15</v>
      </c>
      <c r="F318" s="5">
        <v>316</v>
      </c>
      <c r="G318" s="7"/>
    </row>
    <row r="319" spans="1:7" ht="27.75" customHeight="1">
      <c r="A319" s="5">
        <v>317</v>
      </c>
      <c r="B319" s="6" t="str">
        <f>"许宇峰"</f>
        <v>许宇峰</v>
      </c>
      <c r="C319" s="6" t="str">
        <f>"230702201412"</f>
        <v>230702201412</v>
      </c>
      <c r="D319" s="5" t="s">
        <v>8</v>
      </c>
      <c r="E319" s="5" t="s">
        <v>15</v>
      </c>
      <c r="F319" s="5">
        <v>317</v>
      </c>
      <c r="G319" s="7"/>
    </row>
    <row r="320" spans="1:7" ht="27.75" customHeight="1">
      <c r="A320" s="5">
        <v>318</v>
      </c>
      <c r="B320" s="6" t="str">
        <f>"李润丰"</f>
        <v>李润丰</v>
      </c>
      <c r="C320" s="6" t="str">
        <f>"230702201422"</f>
        <v>230702201422</v>
      </c>
      <c r="D320" s="5" t="s">
        <v>8</v>
      </c>
      <c r="E320" s="5" t="s">
        <v>15</v>
      </c>
      <c r="F320" s="5">
        <v>318</v>
      </c>
      <c r="G320" s="7"/>
    </row>
    <row r="321" spans="1:7" ht="27.75" customHeight="1">
      <c r="A321" s="5">
        <v>319</v>
      </c>
      <c r="B321" s="6" t="str">
        <f>"周峻平"</f>
        <v>周峻平</v>
      </c>
      <c r="C321" s="6" t="str">
        <f>"230702201420"</f>
        <v>230702201420</v>
      </c>
      <c r="D321" s="5" t="s">
        <v>8</v>
      </c>
      <c r="E321" s="5" t="s">
        <v>15</v>
      </c>
      <c r="F321" s="5">
        <v>319</v>
      </c>
      <c r="G321" s="7"/>
    </row>
    <row r="322" spans="1:7" ht="27.75" customHeight="1">
      <c r="A322" s="5">
        <v>320</v>
      </c>
      <c r="B322" s="6" t="str">
        <f>"王春湘"</f>
        <v>王春湘</v>
      </c>
      <c r="C322" s="6" t="str">
        <f>"230702201423"</f>
        <v>230702201423</v>
      </c>
      <c r="D322" s="5" t="s">
        <v>8</v>
      </c>
      <c r="E322" s="5" t="s">
        <v>15</v>
      </c>
      <c r="F322" s="5">
        <v>320</v>
      </c>
      <c r="G322" s="7"/>
    </row>
    <row r="323" spans="1:7" ht="27.75" customHeight="1">
      <c r="A323" s="5">
        <v>321</v>
      </c>
      <c r="B323" s="6" t="str">
        <f>"王耀锋"</f>
        <v>王耀锋</v>
      </c>
      <c r="C323" s="6" t="str">
        <f>"230702201424"</f>
        <v>230702201424</v>
      </c>
      <c r="D323" s="5" t="s">
        <v>8</v>
      </c>
      <c r="E323" s="5" t="s">
        <v>15</v>
      </c>
      <c r="F323" s="5">
        <v>321</v>
      </c>
      <c r="G323" s="7"/>
    </row>
    <row r="324" spans="1:7" ht="27.75" customHeight="1">
      <c r="A324" s="5">
        <v>322</v>
      </c>
      <c r="B324" s="6" t="str">
        <f>"李才钰"</f>
        <v>李才钰</v>
      </c>
      <c r="C324" s="6" t="str">
        <f>"230702201611"</f>
        <v>230702201611</v>
      </c>
      <c r="D324" s="5" t="s">
        <v>8</v>
      </c>
      <c r="E324" s="5" t="s">
        <v>15</v>
      </c>
      <c r="F324" s="5">
        <v>322</v>
      </c>
      <c r="G324" s="7"/>
    </row>
    <row r="325" spans="1:7" ht="27.75" customHeight="1">
      <c r="A325" s="5">
        <v>323</v>
      </c>
      <c r="B325" s="6" t="str">
        <f>"朱军维"</f>
        <v>朱军维</v>
      </c>
      <c r="C325" s="6" t="str">
        <f>"230702201507"</f>
        <v>230702201507</v>
      </c>
      <c r="D325" s="5" t="s">
        <v>8</v>
      </c>
      <c r="E325" s="5" t="s">
        <v>15</v>
      </c>
      <c r="F325" s="5">
        <v>323</v>
      </c>
      <c r="G325" s="7"/>
    </row>
    <row r="326" spans="1:7" ht="27.75" customHeight="1">
      <c r="A326" s="5">
        <v>324</v>
      </c>
      <c r="B326" s="6" t="str">
        <f>"赖仁明"</f>
        <v>赖仁明</v>
      </c>
      <c r="C326" s="6" t="str">
        <f>"230702201518"</f>
        <v>230702201518</v>
      </c>
      <c r="D326" s="5" t="s">
        <v>8</v>
      </c>
      <c r="E326" s="5" t="s">
        <v>15</v>
      </c>
      <c r="F326" s="5">
        <v>324</v>
      </c>
      <c r="G326" s="7"/>
    </row>
    <row r="327" spans="1:7" ht="27.75" customHeight="1">
      <c r="A327" s="5">
        <v>325</v>
      </c>
      <c r="B327" s="6" t="str">
        <f>"吴英健"</f>
        <v>吴英健</v>
      </c>
      <c r="C327" s="6" t="str">
        <f>"230702201628"</f>
        <v>230702201628</v>
      </c>
      <c r="D327" s="5" t="s">
        <v>8</v>
      </c>
      <c r="E327" s="5" t="s">
        <v>15</v>
      </c>
      <c r="F327" s="5">
        <v>325</v>
      </c>
      <c r="G327" s="7"/>
    </row>
    <row r="328" spans="1:7" ht="27.75" customHeight="1">
      <c r="A328" s="5">
        <v>326</v>
      </c>
      <c r="B328" s="6" t="str">
        <f>"钟孝龙"</f>
        <v>钟孝龙</v>
      </c>
      <c r="C328" s="6" t="str">
        <f>"230702201618"</f>
        <v>230702201618</v>
      </c>
      <c r="D328" s="5" t="s">
        <v>8</v>
      </c>
      <c r="E328" s="5" t="s">
        <v>15</v>
      </c>
      <c r="F328" s="5">
        <v>326</v>
      </c>
      <c r="G328" s="7"/>
    </row>
    <row r="329" spans="1:7" ht="27.75" customHeight="1">
      <c r="A329" s="5">
        <v>327</v>
      </c>
      <c r="B329" s="6" t="str">
        <f>"陈德勇"</f>
        <v>陈德勇</v>
      </c>
      <c r="C329" s="6" t="str">
        <f>"230702201616"</f>
        <v>230702201616</v>
      </c>
      <c r="D329" s="5" t="s">
        <v>8</v>
      </c>
      <c r="E329" s="5" t="s">
        <v>15</v>
      </c>
      <c r="F329" s="5">
        <v>327</v>
      </c>
      <c r="G329" s="7"/>
    </row>
    <row r="330" spans="1:7" ht="27.75" customHeight="1">
      <c r="A330" s="5">
        <v>328</v>
      </c>
      <c r="B330" s="6" t="str">
        <f>"黄业品"</f>
        <v>黄业品</v>
      </c>
      <c r="C330" s="6" t="str">
        <f>"230702201727"</f>
        <v>230702201727</v>
      </c>
      <c r="D330" s="5" t="s">
        <v>8</v>
      </c>
      <c r="E330" s="5" t="s">
        <v>15</v>
      </c>
      <c r="F330" s="5">
        <v>328</v>
      </c>
      <c r="G330" s="7"/>
    </row>
    <row r="331" spans="1:7" ht="27.75" customHeight="1">
      <c r="A331" s="5">
        <v>329</v>
      </c>
      <c r="B331" s="6" t="str">
        <f>"陈泓达"</f>
        <v>陈泓达</v>
      </c>
      <c r="C331" s="6" t="str">
        <f>"230702201729"</f>
        <v>230702201729</v>
      </c>
      <c r="D331" s="5" t="s">
        <v>8</v>
      </c>
      <c r="E331" s="5" t="s">
        <v>15</v>
      </c>
      <c r="F331" s="5">
        <v>329</v>
      </c>
      <c r="G331" s="7"/>
    </row>
    <row r="332" spans="1:7" ht="27.75" customHeight="1">
      <c r="A332" s="5">
        <v>330</v>
      </c>
      <c r="B332" s="6" t="str">
        <f>"林朝悦"</f>
        <v>林朝悦</v>
      </c>
      <c r="C332" s="6" t="str">
        <f>"230702201512"</f>
        <v>230702201512</v>
      </c>
      <c r="D332" s="5" t="s">
        <v>8</v>
      </c>
      <c r="E332" s="5" t="s">
        <v>15</v>
      </c>
      <c r="F332" s="5">
        <v>330</v>
      </c>
      <c r="G332" s="7"/>
    </row>
    <row r="333" spans="1:7" ht="27.75" customHeight="1">
      <c r="A333" s="5">
        <v>331</v>
      </c>
      <c r="B333" s="6" t="str">
        <f>"叶裕青"</f>
        <v>叶裕青</v>
      </c>
      <c r="C333" s="6" t="str">
        <f>"230702201603"</f>
        <v>230702201603</v>
      </c>
      <c r="D333" s="5" t="s">
        <v>8</v>
      </c>
      <c r="E333" s="5" t="s">
        <v>15</v>
      </c>
      <c r="F333" s="5">
        <v>331</v>
      </c>
      <c r="G333" s="7"/>
    </row>
    <row r="334" spans="1:7" ht="27.75" customHeight="1">
      <c r="A334" s="5">
        <v>332</v>
      </c>
      <c r="B334" s="6" t="str">
        <f>"陈国强"</f>
        <v>陈国强</v>
      </c>
      <c r="C334" s="6" t="str">
        <f>"230702201610"</f>
        <v>230702201610</v>
      </c>
      <c r="D334" s="5" t="s">
        <v>8</v>
      </c>
      <c r="E334" s="5" t="s">
        <v>15</v>
      </c>
      <c r="F334" s="5">
        <v>332</v>
      </c>
      <c r="G334" s="7"/>
    </row>
    <row r="335" spans="1:7" ht="27.75" customHeight="1">
      <c r="A335" s="5">
        <v>333</v>
      </c>
      <c r="B335" s="6" t="str">
        <f>"张乐俨"</f>
        <v>张乐俨</v>
      </c>
      <c r="C335" s="6" t="str">
        <f>"230702201623"</f>
        <v>230702201623</v>
      </c>
      <c r="D335" s="5" t="s">
        <v>8</v>
      </c>
      <c r="E335" s="5" t="s">
        <v>15</v>
      </c>
      <c r="F335" s="5">
        <v>333</v>
      </c>
      <c r="G335" s="7"/>
    </row>
    <row r="336" spans="1:7" ht="27.75" customHeight="1">
      <c r="A336" s="5">
        <v>334</v>
      </c>
      <c r="B336" s="6" t="str">
        <f>"陈家铭"</f>
        <v>陈家铭</v>
      </c>
      <c r="C336" s="6" t="str">
        <f>"230702201624"</f>
        <v>230702201624</v>
      </c>
      <c r="D336" s="5" t="s">
        <v>8</v>
      </c>
      <c r="E336" s="5" t="s">
        <v>15</v>
      </c>
      <c r="F336" s="5">
        <v>334</v>
      </c>
      <c r="G336" s="7"/>
    </row>
    <row r="337" spans="1:7" ht="27.75" customHeight="1">
      <c r="A337" s="5">
        <v>335</v>
      </c>
      <c r="B337" s="6" t="str">
        <f>"许柏瑞"</f>
        <v>许柏瑞</v>
      </c>
      <c r="C337" s="6" t="str">
        <f>"230702201629"</f>
        <v>230702201629</v>
      </c>
      <c r="D337" s="5" t="s">
        <v>8</v>
      </c>
      <c r="E337" s="5" t="s">
        <v>15</v>
      </c>
      <c r="F337" s="5">
        <v>335</v>
      </c>
      <c r="G337" s="7"/>
    </row>
    <row r="338" spans="1:7" ht="27.75" customHeight="1">
      <c r="A338" s="5">
        <v>336</v>
      </c>
      <c r="B338" s="6" t="str">
        <f>"肖世龙"</f>
        <v>肖世龙</v>
      </c>
      <c r="C338" s="6" t="str">
        <f>"230702201701"</f>
        <v>230702201701</v>
      </c>
      <c r="D338" s="5" t="s">
        <v>8</v>
      </c>
      <c r="E338" s="5" t="s">
        <v>15</v>
      </c>
      <c r="F338" s="5">
        <v>336</v>
      </c>
      <c r="G338" s="7"/>
    </row>
    <row r="339" spans="1:7" ht="27.75" customHeight="1">
      <c r="A339" s="5">
        <v>337</v>
      </c>
      <c r="B339" s="6" t="str">
        <f>"黄实泽"</f>
        <v>黄实泽</v>
      </c>
      <c r="C339" s="6" t="str">
        <f>"230702201703"</f>
        <v>230702201703</v>
      </c>
      <c r="D339" s="5" t="s">
        <v>8</v>
      </c>
      <c r="E339" s="5" t="s">
        <v>15</v>
      </c>
      <c r="F339" s="5">
        <v>337</v>
      </c>
      <c r="G339" s="7"/>
    </row>
    <row r="340" spans="1:7" ht="27.75" customHeight="1">
      <c r="A340" s="5">
        <v>338</v>
      </c>
      <c r="B340" s="6" t="str">
        <f>"梁友"</f>
        <v>梁友</v>
      </c>
      <c r="C340" s="6" t="str">
        <f>"230702201706"</f>
        <v>230702201706</v>
      </c>
      <c r="D340" s="5" t="s">
        <v>8</v>
      </c>
      <c r="E340" s="5" t="s">
        <v>15</v>
      </c>
      <c r="F340" s="5">
        <v>338</v>
      </c>
      <c r="G340" s="7"/>
    </row>
    <row r="341" spans="1:7" ht="27.75" customHeight="1">
      <c r="A341" s="5">
        <v>339</v>
      </c>
      <c r="B341" s="6" t="str">
        <f>"朱减辉"</f>
        <v>朱减辉</v>
      </c>
      <c r="C341" s="6" t="str">
        <f>"230702102016"</f>
        <v>230702102016</v>
      </c>
      <c r="D341" s="5" t="s">
        <v>16</v>
      </c>
      <c r="E341" s="5" t="s">
        <v>17</v>
      </c>
      <c r="F341" s="5">
        <v>1</v>
      </c>
      <c r="G341" s="7"/>
    </row>
    <row r="342" spans="1:7" ht="27.75" customHeight="1">
      <c r="A342" s="5">
        <v>340</v>
      </c>
      <c r="B342" s="6" t="str">
        <f>"杨文凭"</f>
        <v>杨文凭</v>
      </c>
      <c r="C342" s="6" t="str">
        <f>"230702102829"</f>
        <v>230702102829</v>
      </c>
      <c r="D342" s="5" t="s">
        <v>16</v>
      </c>
      <c r="E342" s="5" t="s">
        <v>17</v>
      </c>
      <c r="F342" s="5">
        <v>2</v>
      </c>
      <c r="G342" s="7"/>
    </row>
    <row r="343" spans="1:7" ht="27.75" customHeight="1">
      <c r="A343" s="5">
        <v>341</v>
      </c>
      <c r="B343" s="6" t="str">
        <f>"王福亮"</f>
        <v>王福亮</v>
      </c>
      <c r="C343" s="6" t="str">
        <f>"230702101506"</f>
        <v>230702101506</v>
      </c>
      <c r="D343" s="5" t="s">
        <v>16</v>
      </c>
      <c r="E343" s="5" t="s">
        <v>17</v>
      </c>
      <c r="F343" s="5">
        <v>3</v>
      </c>
      <c r="G343" s="7"/>
    </row>
    <row r="344" spans="1:7" ht="27.75" customHeight="1">
      <c r="A344" s="5">
        <v>342</v>
      </c>
      <c r="B344" s="6" t="str">
        <f>"王福辉"</f>
        <v>王福辉</v>
      </c>
      <c r="C344" s="6" t="str">
        <f>"230702103521"</f>
        <v>230702103521</v>
      </c>
      <c r="D344" s="5" t="s">
        <v>16</v>
      </c>
      <c r="E344" s="5" t="s">
        <v>17</v>
      </c>
      <c r="F344" s="5">
        <v>4</v>
      </c>
      <c r="G344" s="7"/>
    </row>
    <row r="345" spans="1:7" ht="27.75" customHeight="1">
      <c r="A345" s="5">
        <v>343</v>
      </c>
      <c r="B345" s="6" t="str">
        <f>"万鹏程"</f>
        <v>万鹏程</v>
      </c>
      <c r="C345" s="6" t="str">
        <f>"230702101523"</f>
        <v>230702101523</v>
      </c>
      <c r="D345" s="5" t="s">
        <v>16</v>
      </c>
      <c r="E345" s="5" t="s">
        <v>17</v>
      </c>
      <c r="F345" s="5">
        <v>5</v>
      </c>
      <c r="G345" s="7"/>
    </row>
    <row r="346" spans="1:7" ht="27.75" customHeight="1">
      <c r="A346" s="5">
        <v>344</v>
      </c>
      <c r="B346" s="6" t="str">
        <f>"陈益斌"</f>
        <v>陈益斌</v>
      </c>
      <c r="C346" s="6" t="str">
        <f>"230702102230"</f>
        <v>230702102230</v>
      </c>
      <c r="D346" s="5" t="s">
        <v>16</v>
      </c>
      <c r="E346" s="5" t="s">
        <v>17</v>
      </c>
      <c r="F346" s="5">
        <v>6</v>
      </c>
      <c r="G346" s="7"/>
    </row>
    <row r="347" spans="1:7" ht="27.75" customHeight="1">
      <c r="A347" s="5">
        <v>345</v>
      </c>
      <c r="B347" s="6" t="str">
        <f>"符盛宇"</f>
        <v>符盛宇</v>
      </c>
      <c r="C347" s="6" t="str">
        <f>"230702100908"</f>
        <v>230702100908</v>
      </c>
      <c r="D347" s="5" t="s">
        <v>16</v>
      </c>
      <c r="E347" s="5" t="s">
        <v>17</v>
      </c>
      <c r="F347" s="5">
        <v>7</v>
      </c>
      <c r="G347" s="7"/>
    </row>
    <row r="348" spans="1:7" ht="27.75" customHeight="1">
      <c r="A348" s="5">
        <v>346</v>
      </c>
      <c r="B348" s="6" t="str">
        <f>"王训帅"</f>
        <v>王训帅</v>
      </c>
      <c r="C348" s="6" t="str">
        <f>"230702102607"</f>
        <v>230702102607</v>
      </c>
      <c r="D348" s="5" t="s">
        <v>16</v>
      </c>
      <c r="E348" s="5" t="s">
        <v>17</v>
      </c>
      <c r="F348" s="5">
        <v>8</v>
      </c>
      <c r="G348" s="7"/>
    </row>
    <row r="349" spans="1:7" ht="27.75" customHeight="1">
      <c r="A349" s="5">
        <v>347</v>
      </c>
      <c r="B349" s="6" t="str">
        <f>"王文容"</f>
        <v>王文容</v>
      </c>
      <c r="C349" s="6" t="str">
        <f>"230702103412"</f>
        <v>230702103412</v>
      </c>
      <c r="D349" s="5" t="s">
        <v>16</v>
      </c>
      <c r="E349" s="5" t="s">
        <v>17</v>
      </c>
      <c r="F349" s="5">
        <v>9</v>
      </c>
      <c r="G349" s="7"/>
    </row>
    <row r="350" spans="1:7" ht="27.75" customHeight="1">
      <c r="A350" s="5">
        <v>348</v>
      </c>
      <c r="B350" s="6" t="str">
        <f>"王晓箭"</f>
        <v>王晓箭</v>
      </c>
      <c r="C350" s="6" t="str">
        <f>"230702100727"</f>
        <v>230702100727</v>
      </c>
      <c r="D350" s="5" t="s">
        <v>16</v>
      </c>
      <c r="E350" s="5" t="s">
        <v>17</v>
      </c>
      <c r="F350" s="5">
        <v>10</v>
      </c>
      <c r="G350" s="7"/>
    </row>
    <row r="351" spans="1:7" ht="27.75" customHeight="1">
      <c r="A351" s="5">
        <v>349</v>
      </c>
      <c r="B351" s="6" t="str">
        <f>"黄新建"</f>
        <v>黄新建</v>
      </c>
      <c r="C351" s="6" t="str">
        <f>"230702102130"</f>
        <v>230702102130</v>
      </c>
      <c r="D351" s="5" t="s">
        <v>16</v>
      </c>
      <c r="E351" s="5" t="s">
        <v>17</v>
      </c>
      <c r="F351" s="5">
        <v>11</v>
      </c>
      <c r="G351" s="7"/>
    </row>
    <row r="352" spans="1:7" ht="27.75" customHeight="1">
      <c r="A352" s="5">
        <v>350</v>
      </c>
      <c r="B352" s="6" t="str">
        <f>"林绍龙"</f>
        <v>林绍龙</v>
      </c>
      <c r="C352" s="6" t="str">
        <f>"230702102225"</f>
        <v>230702102225</v>
      </c>
      <c r="D352" s="5" t="s">
        <v>16</v>
      </c>
      <c r="E352" s="5" t="s">
        <v>17</v>
      </c>
      <c r="F352" s="5">
        <v>12</v>
      </c>
      <c r="G352" s="7"/>
    </row>
    <row r="353" spans="1:7" ht="27.75" customHeight="1">
      <c r="A353" s="5">
        <v>351</v>
      </c>
      <c r="B353" s="6" t="str">
        <f>"陈桂鑫"</f>
        <v>陈桂鑫</v>
      </c>
      <c r="C353" s="6" t="str">
        <f>"230702100728"</f>
        <v>230702100728</v>
      </c>
      <c r="D353" s="5" t="s">
        <v>16</v>
      </c>
      <c r="E353" s="5" t="s">
        <v>17</v>
      </c>
      <c r="F353" s="5">
        <v>13</v>
      </c>
      <c r="G353" s="7"/>
    </row>
    <row r="354" spans="1:7" ht="27.75" customHeight="1">
      <c r="A354" s="5">
        <v>352</v>
      </c>
      <c r="B354" s="6" t="str">
        <f>"吴坤禧"</f>
        <v>吴坤禧</v>
      </c>
      <c r="C354" s="6" t="str">
        <f>"230702100810"</f>
        <v>230702100810</v>
      </c>
      <c r="D354" s="5" t="s">
        <v>16</v>
      </c>
      <c r="E354" s="5" t="s">
        <v>17</v>
      </c>
      <c r="F354" s="5">
        <v>14</v>
      </c>
      <c r="G354" s="7"/>
    </row>
    <row r="355" spans="1:7" ht="27.75" customHeight="1">
      <c r="A355" s="5">
        <v>353</v>
      </c>
      <c r="B355" s="6" t="str">
        <f>"伍元树"</f>
        <v>伍元树</v>
      </c>
      <c r="C355" s="6" t="str">
        <f>"230702101329"</f>
        <v>230702101329</v>
      </c>
      <c r="D355" s="5" t="s">
        <v>16</v>
      </c>
      <c r="E355" s="5" t="s">
        <v>17</v>
      </c>
      <c r="F355" s="5">
        <v>15</v>
      </c>
      <c r="G355" s="7"/>
    </row>
    <row r="356" spans="1:7" ht="27.75" customHeight="1">
      <c r="A356" s="5">
        <v>354</v>
      </c>
      <c r="B356" s="6" t="str">
        <f>"郑友威"</f>
        <v>郑友威</v>
      </c>
      <c r="C356" s="6" t="str">
        <f>"230702101116"</f>
        <v>230702101116</v>
      </c>
      <c r="D356" s="5" t="s">
        <v>16</v>
      </c>
      <c r="E356" s="5" t="s">
        <v>17</v>
      </c>
      <c r="F356" s="5">
        <v>16</v>
      </c>
      <c r="G356" s="7"/>
    </row>
    <row r="357" spans="1:7" ht="27.75" customHeight="1">
      <c r="A357" s="5">
        <v>355</v>
      </c>
      <c r="B357" s="6" t="str">
        <f>"倪文伟"</f>
        <v>倪文伟</v>
      </c>
      <c r="C357" s="6" t="str">
        <f>"230702101129"</f>
        <v>230702101129</v>
      </c>
      <c r="D357" s="5" t="s">
        <v>16</v>
      </c>
      <c r="E357" s="5" t="s">
        <v>17</v>
      </c>
      <c r="F357" s="5">
        <v>17</v>
      </c>
      <c r="G357" s="7"/>
    </row>
    <row r="358" spans="1:7" ht="27.75" customHeight="1">
      <c r="A358" s="5">
        <v>356</v>
      </c>
      <c r="B358" s="6" t="str">
        <f>"符迂凯"</f>
        <v>符迂凯</v>
      </c>
      <c r="C358" s="6" t="str">
        <f>"230702101522"</f>
        <v>230702101522</v>
      </c>
      <c r="D358" s="5" t="s">
        <v>16</v>
      </c>
      <c r="E358" s="5" t="s">
        <v>17</v>
      </c>
      <c r="F358" s="5">
        <v>18</v>
      </c>
      <c r="G358" s="7"/>
    </row>
    <row r="359" spans="1:7" ht="27.75" customHeight="1">
      <c r="A359" s="5">
        <v>357</v>
      </c>
      <c r="B359" s="6" t="str">
        <f>"吴坚"</f>
        <v>吴坚</v>
      </c>
      <c r="C359" s="6" t="str">
        <f>"230702101927"</f>
        <v>230702101927</v>
      </c>
      <c r="D359" s="5" t="s">
        <v>16</v>
      </c>
      <c r="E359" s="5" t="s">
        <v>17</v>
      </c>
      <c r="F359" s="5">
        <v>19</v>
      </c>
      <c r="G359" s="7"/>
    </row>
    <row r="360" spans="1:7" ht="27.75" customHeight="1">
      <c r="A360" s="5">
        <v>358</v>
      </c>
      <c r="B360" s="6" t="str">
        <f>"赵居文"</f>
        <v>赵居文</v>
      </c>
      <c r="C360" s="6" t="str">
        <f>"230702102527"</f>
        <v>230702102527</v>
      </c>
      <c r="D360" s="5" t="s">
        <v>16</v>
      </c>
      <c r="E360" s="5" t="s">
        <v>17</v>
      </c>
      <c r="F360" s="5">
        <v>20</v>
      </c>
      <c r="G360" s="7"/>
    </row>
    <row r="361" spans="1:7" ht="27.75" customHeight="1">
      <c r="A361" s="5">
        <v>359</v>
      </c>
      <c r="B361" s="6" t="str">
        <f>"柳雄"</f>
        <v>柳雄</v>
      </c>
      <c r="C361" s="6" t="str">
        <f>"230702101906"</f>
        <v>230702101906</v>
      </c>
      <c r="D361" s="5" t="s">
        <v>16</v>
      </c>
      <c r="E361" s="5" t="s">
        <v>17</v>
      </c>
      <c r="F361" s="5">
        <v>21</v>
      </c>
      <c r="G361" s="7"/>
    </row>
    <row r="362" spans="1:7" ht="27.75" customHeight="1">
      <c r="A362" s="5">
        <v>360</v>
      </c>
      <c r="B362" s="6" t="str">
        <f>"王广涛"</f>
        <v>王广涛</v>
      </c>
      <c r="C362" s="6" t="str">
        <f>"230702102126"</f>
        <v>230702102126</v>
      </c>
      <c r="D362" s="5" t="s">
        <v>16</v>
      </c>
      <c r="E362" s="5" t="s">
        <v>17</v>
      </c>
      <c r="F362" s="5">
        <v>22</v>
      </c>
      <c r="G362" s="7"/>
    </row>
    <row r="363" spans="1:7" ht="27.75" customHeight="1">
      <c r="A363" s="5">
        <v>361</v>
      </c>
      <c r="B363" s="6" t="str">
        <f>"罗镓金"</f>
        <v>罗镓金</v>
      </c>
      <c r="C363" s="6" t="str">
        <f>"230702100801"</f>
        <v>230702100801</v>
      </c>
      <c r="D363" s="5" t="s">
        <v>16</v>
      </c>
      <c r="E363" s="5" t="s">
        <v>17</v>
      </c>
      <c r="F363" s="5">
        <v>23</v>
      </c>
      <c r="G363" s="7"/>
    </row>
    <row r="364" spans="1:7" ht="27.75" customHeight="1">
      <c r="A364" s="5">
        <v>362</v>
      </c>
      <c r="B364" s="6" t="str">
        <f>"杨生贝"</f>
        <v>杨生贝</v>
      </c>
      <c r="C364" s="6" t="str">
        <f>"230702102324"</f>
        <v>230702102324</v>
      </c>
      <c r="D364" s="5" t="s">
        <v>16</v>
      </c>
      <c r="E364" s="5" t="s">
        <v>17</v>
      </c>
      <c r="F364" s="5">
        <v>24</v>
      </c>
      <c r="G364" s="7"/>
    </row>
    <row r="365" spans="1:7" ht="27.75" customHeight="1">
      <c r="A365" s="5">
        <v>363</v>
      </c>
      <c r="B365" s="6" t="str">
        <f>"李开华"</f>
        <v>李开华</v>
      </c>
      <c r="C365" s="6" t="str">
        <f>"230702102502"</f>
        <v>230702102502</v>
      </c>
      <c r="D365" s="5" t="s">
        <v>16</v>
      </c>
      <c r="E365" s="5" t="s">
        <v>17</v>
      </c>
      <c r="F365" s="5">
        <v>25</v>
      </c>
      <c r="G365" s="7"/>
    </row>
    <row r="366" spans="1:7" ht="27.75" customHeight="1">
      <c r="A366" s="5">
        <v>364</v>
      </c>
      <c r="B366" s="6" t="str">
        <f>"吴珠伟"</f>
        <v>吴珠伟</v>
      </c>
      <c r="C366" s="6" t="str">
        <f>"230702102902"</f>
        <v>230702102902</v>
      </c>
      <c r="D366" s="5" t="s">
        <v>16</v>
      </c>
      <c r="E366" s="5" t="s">
        <v>17</v>
      </c>
      <c r="F366" s="5">
        <v>26</v>
      </c>
      <c r="G366" s="7"/>
    </row>
    <row r="367" spans="1:7" ht="27.75" customHeight="1">
      <c r="A367" s="5">
        <v>365</v>
      </c>
      <c r="B367" s="6" t="str">
        <f>"傅力升"</f>
        <v>傅力升</v>
      </c>
      <c r="C367" s="6" t="str">
        <f>"230702103301"</f>
        <v>230702103301</v>
      </c>
      <c r="D367" s="5" t="s">
        <v>16</v>
      </c>
      <c r="E367" s="5" t="s">
        <v>17</v>
      </c>
      <c r="F367" s="5">
        <v>27</v>
      </c>
      <c r="G367" s="7"/>
    </row>
    <row r="368" spans="1:7" ht="27.75" customHeight="1">
      <c r="A368" s="5">
        <v>366</v>
      </c>
      <c r="B368" s="6" t="str">
        <f>"李沛临"</f>
        <v>李沛临</v>
      </c>
      <c r="C368" s="6" t="str">
        <f>"230702103309"</f>
        <v>230702103309</v>
      </c>
      <c r="D368" s="5" t="s">
        <v>16</v>
      </c>
      <c r="E368" s="5" t="s">
        <v>17</v>
      </c>
      <c r="F368" s="5">
        <v>28</v>
      </c>
      <c r="G368" s="7"/>
    </row>
    <row r="369" spans="1:7" ht="27.75" customHeight="1">
      <c r="A369" s="5">
        <v>367</v>
      </c>
      <c r="B369" s="6" t="str">
        <f>"王鹏云"</f>
        <v>王鹏云</v>
      </c>
      <c r="C369" s="6" t="str">
        <f>"230702101028"</f>
        <v>230702101028</v>
      </c>
      <c r="D369" s="5" t="s">
        <v>16</v>
      </c>
      <c r="E369" s="5" t="s">
        <v>17</v>
      </c>
      <c r="F369" s="5">
        <v>29</v>
      </c>
      <c r="G369" s="7"/>
    </row>
    <row r="370" spans="1:7" ht="27.75" customHeight="1">
      <c r="A370" s="5">
        <v>368</v>
      </c>
      <c r="B370" s="6" t="str">
        <f>"王炯"</f>
        <v>王炯</v>
      </c>
      <c r="C370" s="6" t="str">
        <f>"230702101415"</f>
        <v>230702101415</v>
      </c>
      <c r="D370" s="5" t="s">
        <v>16</v>
      </c>
      <c r="E370" s="5" t="s">
        <v>17</v>
      </c>
      <c r="F370" s="5">
        <v>30</v>
      </c>
      <c r="G370" s="7"/>
    </row>
    <row r="371" spans="1:7" ht="27.75" customHeight="1">
      <c r="A371" s="5">
        <v>369</v>
      </c>
      <c r="B371" s="6" t="str">
        <f>"韩孝吉"</f>
        <v>韩孝吉</v>
      </c>
      <c r="C371" s="6" t="str">
        <f>"230702101516"</f>
        <v>230702101516</v>
      </c>
      <c r="D371" s="5" t="s">
        <v>16</v>
      </c>
      <c r="E371" s="5" t="s">
        <v>17</v>
      </c>
      <c r="F371" s="5">
        <v>31</v>
      </c>
      <c r="G371" s="7"/>
    </row>
    <row r="372" spans="1:7" ht="27.75" customHeight="1">
      <c r="A372" s="5">
        <v>370</v>
      </c>
      <c r="B372" s="6" t="str">
        <f>"吴至威"</f>
        <v>吴至威</v>
      </c>
      <c r="C372" s="6" t="str">
        <f>"230702101709"</f>
        <v>230702101709</v>
      </c>
      <c r="D372" s="5" t="s">
        <v>16</v>
      </c>
      <c r="E372" s="5" t="s">
        <v>17</v>
      </c>
      <c r="F372" s="5">
        <v>32</v>
      </c>
      <c r="G372" s="7"/>
    </row>
    <row r="373" spans="1:7" ht="27.75" customHeight="1">
      <c r="A373" s="5">
        <v>371</v>
      </c>
      <c r="B373" s="6" t="str">
        <f>"王文弘"</f>
        <v>王文弘</v>
      </c>
      <c r="C373" s="6" t="str">
        <f>"230702102101"</f>
        <v>230702102101</v>
      </c>
      <c r="D373" s="5" t="s">
        <v>16</v>
      </c>
      <c r="E373" s="5" t="s">
        <v>17</v>
      </c>
      <c r="F373" s="5">
        <v>33</v>
      </c>
      <c r="G373" s="7"/>
    </row>
    <row r="374" spans="1:7" ht="27.75" customHeight="1">
      <c r="A374" s="5">
        <v>372</v>
      </c>
      <c r="B374" s="6" t="str">
        <f>"李云龙"</f>
        <v>李云龙</v>
      </c>
      <c r="C374" s="6" t="str">
        <f>"230702100823"</f>
        <v>230702100823</v>
      </c>
      <c r="D374" s="5" t="s">
        <v>16</v>
      </c>
      <c r="E374" s="5" t="s">
        <v>17</v>
      </c>
      <c r="F374" s="5">
        <v>34</v>
      </c>
      <c r="G374" s="7"/>
    </row>
    <row r="375" spans="1:7" ht="27.75" customHeight="1">
      <c r="A375" s="5">
        <v>373</v>
      </c>
      <c r="B375" s="6" t="str">
        <f>"王饶锦"</f>
        <v>王饶锦</v>
      </c>
      <c r="C375" s="6" t="str">
        <f>"230702101312"</f>
        <v>230702101312</v>
      </c>
      <c r="D375" s="5" t="s">
        <v>16</v>
      </c>
      <c r="E375" s="5" t="s">
        <v>17</v>
      </c>
      <c r="F375" s="5">
        <v>35</v>
      </c>
      <c r="G375" s="7"/>
    </row>
    <row r="376" spans="1:7" ht="27.75" customHeight="1">
      <c r="A376" s="5">
        <v>374</v>
      </c>
      <c r="B376" s="6" t="str">
        <f>"朱双伦"</f>
        <v>朱双伦</v>
      </c>
      <c r="C376" s="6" t="str">
        <f>"230702102730"</f>
        <v>230702102730</v>
      </c>
      <c r="D376" s="5" t="s">
        <v>16</v>
      </c>
      <c r="E376" s="5" t="s">
        <v>17</v>
      </c>
      <c r="F376" s="5">
        <v>36</v>
      </c>
      <c r="G376" s="7"/>
    </row>
    <row r="377" spans="1:7" ht="27.75" customHeight="1">
      <c r="A377" s="5">
        <v>375</v>
      </c>
      <c r="B377" s="6" t="str">
        <f>"汤国鑫"</f>
        <v>汤国鑫</v>
      </c>
      <c r="C377" s="6" t="str">
        <f>"230702103302"</f>
        <v>230702103302</v>
      </c>
      <c r="D377" s="5" t="s">
        <v>16</v>
      </c>
      <c r="E377" s="5" t="s">
        <v>17</v>
      </c>
      <c r="F377" s="5">
        <v>37</v>
      </c>
      <c r="G377" s="7"/>
    </row>
    <row r="378" spans="1:7" ht="27.75" customHeight="1">
      <c r="A378" s="5">
        <v>376</v>
      </c>
      <c r="B378" s="6" t="str">
        <f>"方良运"</f>
        <v>方良运</v>
      </c>
      <c r="C378" s="6" t="str">
        <f>"230702100803"</f>
        <v>230702100803</v>
      </c>
      <c r="D378" s="5" t="s">
        <v>16</v>
      </c>
      <c r="E378" s="5" t="s">
        <v>17</v>
      </c>
      <c r="F378" s="5">
        <v>38</v>
      </c>
      <c r="G378" s="7"/>
    </row>
    <row r="379" spans="1:7" ht="27.75" customHeight="1">
      <c r="A379" s="5">
        <v>377</v>
      </c>
      <c r="B379" s="6" t="str">
        <f>"李深威"</f>
        <v>李深威</v>
      </c>
      <c r="C379" s="6" t="str">
        <f>"230702101115"</f>
        <v>230702101115</v>
      </c>
      <c r="D379" s="5" t="s">
        <v>16</v>
      </c>
      <c r="E379" s="5" t="s">
        <v>17</v>
      </c>
      <c r="F379" s="5">
        <v>39</v>
      </c>
      <c r="G379" s="7"/>
    </row>
    <row r="380" spans="1:7" ht="27.75" customHeight="1">
      <c r="A380" s="5">
        <v>378</v>
      </c>
      <c r="B380" s="6" t="str">
        <f>"文玉培"</f>
        <v>文玉培</v>
      </c>
      <c r="C380" s="6" t="str">
        <f>"230702101714"</f>
        <v>230702101714</v>
      </c>
      <c r="D380" s="5" t="s">
        <v>16</v>
      </c>
      <c r="E380" s="5" t="s">
        <v>17</v>
      </c>
      <c r="F380" s="5">
        <v>40</v>
      </c>
      <c r="G380" s="7"/>
    </row>
    <row r="381" spans="1:7" ht="27.75" customHeight="1">
      <c r="A381" s="5">
        <v>379</v>
      </c>
      <c r="B381" s="6" t="str">
        <f>"李德威"</f>
        <v>李德威</v>
      </c>
      <c r="C381" s="6" t="str">
        <f>"230702101804"</f>
        <v>230702101804</v>
      </c>
      <c r="D381" s="5" t="s">
        <v>16</v>
      </c>
      <c r="E381" s="5" t="s">
        <v>17</v>
      </c>
      <c r="F381" s="5">
        <v>41</v>
      </c>
      <c r="G381" s="7"/>
    </row>
    <row r="382" spans="1:7" ht="27.75" customHeight="1">
      <c r="A382" s="5">
        <v>380</v>
      </c>
      <c r="B382" s="6" t="str">
        <f>"刘烘"</f>
        <v>刘烘</v>
      </c>
      <c r="C382" s="6" t="str">
        <f>"230702102407"</f>
        <v>230702102407</v>
      </c>
      <c r="D382" s="5" t="s">
        <v>16</v>
      </c>
      <c r="E382" s="5" t="s">
        <v>17</v>
      </c>
      <c r="F382" s="5">
        <v>42</v>
      </c>
      <c r="G382" s="7"/>
    </row>
    <row r="383" spans="1:7" ht="27.75" customHeight="1">
      <c r="A383" s="5">
        <v>381</v>
      </c>
      <c r="B383" s="6" t="str">
        <f>"陈才发"</f>
        <v>陈才发</v>
      </c>
      <c r="C383" s="6" t="str">
        <f>"230702102422"</f>
        <v>230702102422</v>
      </c>
      <c r="D383" s="5" t="s">
        <v>16</v>
      </c>
      <c r="E383" s="5" t="s">
        <v>17</v>
      </c>
      <c r="F383" s="5">
        <v>43</v>
      </c>
      <c r="G383" s="7"/>
    </row>
    <row r="384" spans="1:7" ht="27.75" customHeight="1">
      <c r="A384" s="5">
        <v>382</v>
      </c>
      <c r="B384" s="6" t="str">
        <f>"王家任"</f>
        <v>王家任</v>
      </c>
      <c r="C384" s="6" t="str">
        <f>"230702102520"</f>
        <v>230702102520</v>
      </c>
      <c r="D384" s="5" t="s">
        <v>16</v>
      </c>
      <c r="E384" s="5" t="s">
        <v>17</v>
      </c>
      <c r="F384" s="5">
        <v>44</v>
      </c>
      <c r="G384" s="7"/>
    </row>
    <row r="385" spans="1:7" ht="27.75" customHeight="1">
      <c r="A385" s="5">
        <v>383</v>
      </c>
      <c r="B385" s="6" t="str">
        <f>"林明涛"</f>
        <v>林明涛</v>
      </c>
      <c r="C385" s="6" t="str">
        <f>"230702103105"</f>
        <v>230702103105</v>
      </c>
      <c r="D385" s="5" t="s">
        <v>16</v>
      </c>
      <c r="E385" s="5" t="s">
        <v>17</v>
      </c>
      <c r="F385" s="5">
        <v>45</v>
      </c>
      <c r="G385" s="7"/>
    </row>
    <row r="386" spans="1:7" ht="27.75" customHeight="1">
      <c r="A386" s="5">
        <v>384</v>
      </c>
      <c r="B386" s="6" t="str">
        <f>"张长健"</f>
        <v>张长健</v>
      </c>
      <c r="C386" s="6" t="str">
        <f>"230702103216"</f>
        <v>230702103216</v>
      </c>
      <c r="D386" s="5" t="s">
        <v>16</v>
      </c>
      <c r="E386" s="5" t="s">
        <v>17</v>
      </c>
      <c r="F386" s="5">
        <v>46</v>
      </c>
      <c r="G386" s="7"/>
    </row>
    <row r="387" spans="1:7" ht="27.75" customHeight="1">
      <c r="A387" s="5">
        <v>385</v>
      </c>
      <c r="B387" s="6" t="str">
        <f>"梁力瑜"</f>
        <v>梁力瑜</v>
      </c>
      <c r="C387" s="6" t="str">
        <f>"230702100916"</f>
        <v>230702100916</v>
      </c>
      <c r="D387" s="5" t="s">
        <v>16</v>
      </c>
      <c r="E387" s="5" t="s">
        <v>17</v>
      </c>
      <c r="F387" s="5">
        <v>47</v>
      </c>
      <c r="G387" s="7"/>
    </row>
    <row r="388" spans="1:7" ht="27.75" customHeight="1">
      <c r="A388" s="5">
        <v>386</v>
      </c>
      <c r="B388" s="6" t="str">
        <f>"黄志乾"</f>
        <v>黄志乾</v>
      </c>
      <c r="C388" s="6" t="str">
        <f>"230702101725"</f>
        <v>230702101725</v>
      </c>
      <c r="D388" s="5" t="s">
        <v>16</v>
      </c>
      <c r="E388" s="5" t="s">
        <v>17</v>
      </c>
      <c r="F388" s="5">
        <v>48</v>
      </c>
      <c r="G388" s="7"/>
    </row>
    <row r="389" spans="1:7" ht="27.75" customHeight="1">
      <c r="A389" s="5">
        <v>387</v>
      </c>
      <c r="B389" s="6" t="str">
        <f>"刘群"</f>
        <v>刘群</v>
      </c>
      <c r="C389" s="6" t="str">
        <f>"230702101009"</f>
        <v>230702101009</v>
      </c>
      <c r="D389" s="5" t="s">
        <v>16</v>
      </c>
      <c r="E389" s="5" t="s">
        <v>17</v>
      </c>
      <c r="F389" s="5">
        <v>49</v>
      </c>
      <c r="G389" s="7"/>
    </row>
    <row r="390" spans="1:7" ht="27.75" customHeight="1">
      <c r="A390" s="5">
        <v>388</v>
      </c>
      <c r="B390" s="6" t="str">
        <f>"秦源"</f>
        <v>秦源</v>
      </c>
      <c r="C390" s="6" t="str">
        <f>"230702100922"</f>
        <v>230702100922</v>
      </c>
      <c r="D390" s="5" t="s">
        <v>16</v>
      </c>
      <c r="E390" s="5" t="s">
        <v>17</v>
      </c>
      <c r="F390" s="5">
        <v>50</v>
      </c>
      <c r="G390" s="7"/>
    </row>
    <row r="391" spans="1:7" ht="27.75" customHeight="1">
      <c r="A391" s="5">
        <v>389</v>
      </c>
      <c r="B391" s="6" t="str">
        <f>"冯涵"</f>
        <v>冯涵</v>
      </c>
      <c r="C391" s="6" t="str">
        <f>"230702101206"</f>
        <v>230702101206</v>
      </c>
      <c r="D391" s="5" t="s">
        <v>16</v>
      </c>
      <c r="E391" s="5" t="s">
        <v>17</v>
      </c>
      <c r="F391" s="5">
        <v>51</v>
      </c>
      <c r="G391" s="7"/>
    </row>
    <row r="392" spans="1:7" ht="27.75" customHeight="1">
      <c r="A392" s="5">
        <v>390</v>
      </c>
      <c r="B392" s="6" t="str">
        <f>"符峰"</f>
        <v>符峰</v>
      </c>
      <c r="C392" s="6" t="str">
        <f>"230702102004"</f>
        <v>230702102004</v>
      </c>
      <c r="D392" s="5" t="s">
        <v>16</v>
      </c>
      <c r="E392" s="5" t="s">
        <v>17</v>
      </c>
      <c r="F392" s="5">
        <v>52</v>
      </c>
      <c r="G392" s="7"/>
    </row>
    <row r="393" spans="1:7" ht="27.75" customHeight="1">
      <c r="A393" s="5">
        <v>391</v>
      </c>
      <c r="B393" s="6" t="str">
        <f>"苏运成"</f>
        <v>苏运成</v>
      </c>
      <c r="C393" s="6" t="str">
        <f>"230702102124"</f>
        <v>230702102124</v>
      </c>
      <c r="D393" s="5" t="s">
        <v>16</v>
      </c>
      <c r="E393" s="5" t="s">
        <v>17</v>
      </c>
      <c r="F393" s="5">
        <v>53</v>
      </c>
      <c r="G393" s="7"/>
    </row>
    <row r="394" spans="1:7" ht="27.75" customHeight="1">
      <c r="A394" s="5">
        <v>392</v>
      </c>
      <c r="B394" s="6" t="str">
        <f>"严正青"</f>
        <v>严正青</v>
      </c>
      <c r="C394" s="6" t="str">
        <f>"230702101029"</f>
        <v>230702101029</v>
      </c>
      <c r="D394" s="5" t="s">
        <v>16</v>
      </c>
      <c r="E394" s="5" t="s">
        <v>17</v>
      </c>
      <c r="F394" s="5">
        <v>54</v>
      </c>
      <c r="G394" s="7"/>
    </row>
    <row r="395" spans="1:7" ht="27.75" customHeight="1">
      <c r="A395" s="5">
        <v>393</v>
      </c>
      <c r="B395" s="6" t="str">
        <f>"梁嘉丰"</f>
        <v>梁嘉丰</v>
      </c>
      <c r="C395" s="6" t="str">
        <f>"230702101507"</f>
        <v>230702101507</v>
      </c>
      <c r="D395" s="5" t="s">
        <v>16</v>
      </c>
      <c r="E395" s="5" t="s">
        <v>18</v>
      </c>
      <c r="F395" s="5">
        <v>55</v>
      </c>
      <c r="G395" s="7"/>
    </row>
    <row r="396" spans="1:7" ht="27.75" customHeight="1">
      <c r="A396" s="5">
        <v>394</v>
      </c>
      <c r="B396" s="6" t="str">
        <f>"林光荣"</f>
        <v>林光荣</v>
      </c>
      <c r="C396" s="6" t="str">
        <f>"230702101520"</f>
        <v>230702101520</v>
      </c>
      <c r="D396" s="5" t="s">
        <v>16</v>
      </c>
      <c r="E396" s="5" t="s">
        <v>18</v>
      </c>
      <c r="F396" s="5">
        <v>56</v>
      </c>
      <c r="G396" s="7"/>
    </row>
    <row r="397" spans="1:7" ht="27.75" customHeight="1">
      <c r="A397" s="5">
        <v>395</v>
      </c>
      <c r="B397" s="6" t="str">
        <f>"徐吉智"</f>
        <v>徐吉智</v>
      </c>
      <c r="C397" s="6" t="str">
        <f>"230702102018"</f>
        <v>230702102018</v>
      </c>
      <c r="D397" s="5" t="s">
        <v>16</v>
      </c>
      <c r="E397" s="5" t="s">
        <v>18</v>
      </c>
      <c r="F397" s="5">
        <v>57</v>
      </c>
      <c r="G397" s="7"/>
    </row>
    <row r="398" spans="1:7" ht="27.75" customHeight="1">
      <c r="A398" s="5">
        <v>396</v>
      </c>
      <c r="B398" s="6" t="str">
        <f>"陈元健"</f>
        <v>陈元健</v>
      </c>
      <c r="C398" s="6" t="str">
        <f>"230702102310"</f>
        <v>230702102310</v>
      </c>
      <c r="D398" s="5" t="s">
        <v>16</v>
      </c>
      <c r="E398" s="5" t="s">
        <v>18</v>
      </c>
      <c r="F398" s="5">
        <v>58</v>
      </c>
      <c r="G398" s="7"/>
    </row>
    <row r="399" spans="1:7" ht="27.75" customHeight="1">
      <c r="A399" s="5">
        <v>397</v>
      </c>
      <c r="B399" s="6" t="str">
        <f>"许振东"</f>
        <v>许振东</v>
      </c>
      <c r="C399" s="6" t="str">
        <f>"230702102821"</f>
        <v>230702102821</v>
      </c>
      <c r="D399" s="5" t="s">
        <v>16</v>
      </c>
      <c r="E399" s="5" t="s">
        <v>18</v>
      </c>
      <c r="F399" s="5">
        <v>59</v>
      </c>
      <c r="G399" s="7"/>
    </row>
    <row r="400" spans="1:7" ht="27.75" customHeight="1">
      <c r="A400" s="5">
        <v>398</v>
      </c>
      <c r="B400" s="6" t="str">
        <f>"潘孝东"</f>
        <v>潘孝东</v>
      </c>
      <c r="C400" s="6" t="str">
        <f>"230702103226"</f>
        <v>230702103226</v>
      </c>
      <c r="D400" s="5" t="s">
        <v>16</v>
      </c>
      <c r="E400" s="5" t="s">
        <v>18</v>
      </c>
      <c r="F400" s="5">
        <v>60</v>
      </c>
      <c r="G400" s="7"/>
    </row>
    <row r="401" spans="1:7" ht="27.75" customHeight="1">
      <c r="A401" s="5">
        <v>399</v>
      </c>
      <c r="B401" s="6" t="str">
        <f>"符阳杰"</f>
        <v>符阳杰</v>
      </c>
      <c r="C401" s="6" t="str">
        <f>"230702101306"</f>
        <v>230702101306</v>
      </c>
      <c r="D401" s="5" t="s">
        <v>16</v>
      </c>
      <c r="E401" s="5" t="s">
        <v>18</v>
      </c>
      <c r="F401" s="5">
        <v>61</v>
      </c>
      <c r="G401" s="7"/>
    </row>
    <row r="402" spans="1:7" ht="27.75" customHeight="1">
      <c r="A402" s="5">
        <v>400</v>
      </c>
      <c r="B402" s="6" t="str">
        <f>"龙登霄"</f>
        <v>龙登霄</v>
      </c>
      <c r="C402" s="6" t="str">
        <f>"230702101422"</f>
        <v>230702101422</v>
      </c>
      <c r="D402" s="5" t="s">
        <v>16</v>
      </c>
      <c r="E402" s="5" t="s">
        <v>18</v>
      </c>
      <c r="F402" s="5">
        <v>62</v>
      </c>
      <c r="G402" s="7"/>
    </row>
    <row r="403" spans="1:7" ht="27.75" customHeight="1">
      <c r="A403" s="5">
        <v>401</v>
      </c>
      <c r="B403" s="6" t="str">
        <f>"罗世鑫"</f>
        <v>罗世鑫</v>
      </c>
      <c r="C403" s="6" t="str">
        <f>"230702101708"</f>
        <v>230702101708</v>
      </c>
      <c r="D403" s="5" t="s">
        <v>16</v>
      </c>
      <c r="E403" s="5" t="s">
        <v>18</v>
      </c>
      <c r="F403" s="5">
        <v>63</v>
      </c>
      <c r="G403" s="7"/>
    </row>
    <row r="404" spans="1:7" ht="27.75" customHeight="1">
      <c r="A404" s="5">
        <v>402</v>
      </c>
      <c r="B404" s="6" t="str">
        <f>"程一航"</f>
        <v>程一航</v>
      </c>
      <c r="C404" s="6" t="str">
        <f>"230702101929"</f>
        <v>230702101929</v>
      </c>
      <c r="D404" s="5" t="s">
        <v>16</v>
      </c>
      <c r="E404" s="5" t="s">
        <v>18</v>
      </c>
      <c r="F404" s="5">
        <v>64</v>
      </c>
      <c r="G404" s="7"/>
    </row>
    <row r="405" spans="1:7" ht="27.75" customHeight="1">
      <c r="A405" s="5">
        <v>403</v>
      </c>
      <c r="B405" s="6" t="str">
        <f>"王举海"</f>
        <v>王举海</v>
      </c>
      <c r="C405" s="6" t="str">
        <f>"230702102320"</f>
        <v>230702102320</v>
      </c>
      <c r="D405" s="5" t="s">
        <v>16</v>
      </c>
      <c r="E405" s="5" t="s">
        <v>18</v>
      </c>
      <c r="F405" s="5">
        <v>65</v>
      </c>
      <c r="G405" s="7"/>
    </row>
    <row r="406" spans="1:7" ht="27.75" customHeight="1">
      <c r="A406" s="5">
        <v>404</v>
      </c>
      <c r="B406" s="6" t="str">
        <f>"徐济伟"</f>
        <v>徐济伟</v>
      </c>
      <c r="C406" s="6" t="str">
        <f>"230702102910"</f>
        <v>230702102910</v>
      </c>
      <c r="D406" s="5" t="s">
        <v>16</v>
      </c>
      <c r="E406" s="5" t="s">
        <v>18</v>
      </c>
      <c r="F406" s="5">
        <v>66</v>
      </c>
      <c r="G406" s="7"/>
    </row>
    <row r="407" spans="1:7" ht="27.75" customHeight="1">
      <c r="A407" s="5">
        <v>405</v>
      </c>
      <c r="B407" s="6" t="str">
        <f>"王小亮"</f>
        <v>王小亮</v>
      </c>
      <c r="C407" s="6" t="str">
        <f>"230702103106"</f>
        <v>230702103106</v>
      </c>
      <c r="D407" s="5" t="s">
        <v>16</v>
      </c>
      <c r="E407" s="5" t="s">
        <v>18</v>
      </c>
      <c r="F407" s="5">
        <v>67</v>
      </c>
      <c r="G407" s="7"/>
    </row>
    <row r="408" spans="1:7" ht="27.75" customHeight="1">
      <c r="A408" s="5">
        <v>406</v>
      </c>
      <c r="B408" s="6" t="str">
        <f>"洪光大"</f>
        <v>洪光大</v>
      </c>
      <c r="C408" s="6" t="str">
        <f>"230702103415"</f>
        <v>230702103415</v>
      </c>
      <c r="D408" s="5" t="s">
        <v>16</v>
      </c>
      <c r="E408" s="5" t="s">
        <v>18</v>
      </c>
      <c r="F408" s="5">
        <v>68</v>
      </c>
      <c r="G408" s="7"/>
    </row>
    <row r="409" spans="1:7" ht="27.75" customHeight="1">
      <c r="A409" s="5">
        <v>407</v>
      </c>
      <c r="B409" s="6" t="str">
        <f>"李健华"</f>
        <v>李健华</v>
      </c>
      <c r="C409" s="6" t="str">
        <f>"230702101326"</f>
        <v>230702101326</v>
      </c>
      <c r="D409" s="5" t="s">
        <v>16</v>
      </c>
      <c r="E409" s="5" t="s">
        <v>18</v>
      </c>
      <c r="F409" s="5">
        <v>69</v>
      </c>
      <c r="G409" s="7"/>
    </row>
    <row r="410" spans="1:7" ht="27.75" customHeight="1">
      <c r="A410" s="5">
        <v>408</v>
      </c>
      <c r="B410" s="6" t="str">
        <f>"黄宝帆"</f>
        <v>黄宝帆</v>
      </c>
      <c r="C410" s="6" t="str">
        <f>"230702102023"</f>
        <v>230702102023</v>
      </c>
      <c r="D410" s="5" t="s">
        <v>16</v>
      </c>
      <c r="E410" s="5" t="s">
        <v>18</v>
      </c>
      <c r="F410" s="5">
        <v>70</v>
      </c>
      <c r="G410" s="7"/>
    </row>
    <row r="411" spans="1:7" ht="27.75" customHeight="1">
      <c r="A411" s="5">
        <v>409</v>
      </c>
      <c r="B411" s="6" t="str">
        <f>"沈浩庭"</f>
        <v>沈浩庭</v>
      </c>
      <c r="C411" s="6" t="str">
        <f>"230702102125"</f>
        <v>230702102125</v>
      </c>
      <c r="D411" s="5" t="s">
        <v>16</v>
      </c>
      <c r="E411" s="5" t="s">
        <v>18</v>
      </c>
      <c r="F411" s="5">
        <v>71</v>
      </c>
      <c r="G411" s="7"/>
    </row>
    <row r="412" spans="1:7" ht="27.75" customHeight="1">
      <c r="A412" s="5">
        <v>410</v>
      </c>
      <c r="B412" s="6" t="str">
        <f>"钟北汉"</f>
        <v>钟北汉</v>
      </c>
      <c r="C412" s="6" t="str">
        <f>"230702102204"</f>
        <v>230702102204</v>
      </c>
      <c r="D412" s="5" t="s">
        <v>16</v>
      </c>
      <c r="E412" s="5" t="s">
        <v>18</v>
      </c>
      <c r="F412" s="5">
        <v>72</v>
      </c>
      <c r="G412" s="7"/>
    </row>
    <row r="413" spans="1:7" ht="27.75" customHeight="1">
      <c r="A413" s="5">
        <v>411</v>
      </c>
      <c r="B413" s="6" t="str">
        <f>"李向城"</f>
        <v>李向城</v>
      </c>
      <c r="C413" s="6" t="str">
        <f>"230702102529"</f>
        <v>230702102529</v>
      </c>
      <c r="D413" s="5" t="s">
        <v>16</v>
      </c>
      <c r="E413" s="5" t="s">
        <v>18</v>
      </c>
      <c r="F413" s="5">
        <v>73</v>
      </c>
      <c r="G413" s="7"/>
    </row>
    <row r="414" spans="1:7" ht="27.75" customHeight="1">
      <c r="A414" s="5">
        <v>412</v>
      </c>
      <c r="B414" s="6" t="str">
        <f>"陈多谋"</f>
        <v>陈多谋</v>
      </c>
      <c r="C414" s="6" t="str">
        <f>"230702103316"</f>
        <v>230702103316</v>
      </c>
      <c r="D414" s="5" t="s">
        <v>16</v>
      </c>
      <c r="E414" s="5" t="s">
        <v>18</v>
      </c>
      <c r="F414" s="5">
        <v>74</v>
      </c>
      <c r="G414" s="7"/>
    </row>
    <row r="415" spans="1:7" ht="27.75" customHeight="1">
      <c r="A415" s="5">
        <v>413</v>
      </c>
      <c r="B415" s="6" t="str">
        <f>"胡正宽"</f>
        <v>胡正宽</v>
      </c>
      <c r="C415" s="6" t="str">
        <f>"230702101308"</f>
        <v>230702101308</v>
      </c>
      <c r="D415" s="5" t="s">
        <v>16</v>
      </c>
      <c r="E415" s="5" t="s">
        <v>18</v>
      </c>
      <c r="F415" s="5">
        <v>75</v>
      </c>
      <c r="G415" s="7"/>
    </row>
    <row r="416" spans="1:7" ht="27.75" customHeight="1">
      <c r="A416" s="5">
        <v>414</v>
      </c>
      <c r="B416" s="6" t="str">
        <f>"刘庆浩"</f>
        <v>刘庆浩</v>
      </c>
      <c r="C416" s="6" t="str">
        <f>"230702101619"</f>
        <v>230702101619</v>
      </c>
      <c r="D416" s="5" t="s">
        <v>16</v>
      </c>
      <c r="E416" s="5" t="s">
        <v>18</v>
      </c>
      <c r="F416" s="5">
        <v>76</v>
      </c>
      <c r="G416" s="7"/>
    </row>
    <row r="417" spans="1:7" ht="27.75" customHeight="1">
      <c r="A417" s="5">
        <v>415</v>
      </c>
      <c r="B417" s="6" t="str">
        <f>"林阳"</f>
        <v>林阳</v>
      </c>
      <c r="C417" s="6" t="str">
        <f>"230702101724"</f>
        <v>230702101724</v>
      </c>
      <c r="D417" s="5" t="s">
        <v>16</v>
      </c>
      <c r="E417" s="5" t="s">
        <v>18</v>
      </c>
      <c r="F417" s="5">
        <v>77</v>
      </c>
      <c r="G417" s="7"/>
    </row>
    <row r="418" spans="1:7" ht="27.75" customHeight="1">
      <c r="A418" s="5">
        <v>416</v>
      </c>
      <c r="B418" s="6" t="str">
        <f>"潘家宇"</f>
        <v>潘家宇</v>
      </c>
      <c r="C418" s="6" t="str">
        <f>"230702101903"</f>
        <v>230702101903</v>
      </c>
      <c r="D418" s="5" t="s">
        <v>16</v>
      </c>
      <c r="E418" s="5" t="s">
        <v>18</v>
      </c>
      <c r="F418" s="5">
        <v>78</v>
      </c>
      <c r="G418" s="7"/>
    </row>
    <row r="419" spans="1:7" ht="27.75" customHeight="1">
      <c r="A419" s="5">
        <v>417</v>
      </c>
      <c r="B419" s="6" t="str">
        <f>"黎壮林"</f>
        <v>黎壮林</v>
      </c>
      <c r="C419" s="6" t="str">
        <f>"230702102715"</f>
        <v>230702102715</v>
      </c>
      <c r="D419" s="5" t="s">
        <v>16</v>
      </c>
      <c r="E419" s="5" t="s">
        <v>18</v>
      </c>
      <c r="F419" s="5">
        <v>79</v>
      </c>
      <c r="G419" s="7"/>
    </row>
    <row r="420" spans="1:7" ht="27.75" customHeight="1">
      <c r="A420" s="5">
        <v>418</v>
      </c>
      <c r="B420" s="6" t="str">
        <f>"王文智"</f>
        <v>王文智</v>
      </c>
      <c r="C420" s="6" t="str">
        <f>"230702103117"</f>
        <v>230702103117</v>
      </c>
      <c r="D420" s="5" t="s">
        <v>16</v>
      </c>
      <c r="E420" s="5" t="s">
        <v>18</v>
      </c>
      <c r="F420" s="5">
        <v>80</v>
      </c>
      <c r="G420" s="7"/>
    </row>
    <row r="421" spans="1:7" ht="27.75" customHeight="1">
      <c r="A421" s="5">
        <v>419</v>
      </c>
      <c r="B421" s="6" t="str">
        <f>"黄博东"</f>
        <v>黄博东</v>
      </c>
      <c r="C421" s="6" t="str">
        <f>"230702100929"</f>
        <v>230702100929</v>
      </c>
      <c r="D421" s="5" t="s">
        <v>16</v>
      </c>
      <c r="E421" s="5" t="s">
        <v>18</v>
      </c>
      <c r="F421" s="5">
        <v>81</v>
      </c>
      <c r="G421" s="7"/>
    </row>
    <row r="422" spans="1:7" ht="27.75" customHeight="1">
      <c r="A422" s="5">
        <v>420</v>
      </c>
      <c r="B422" s="6" t="str">
        <f>"黄伟国"</f>
        <v>黄伟国</v>
      </c>
      <c r="C422" s="6" t="str">
        <f>"230702101801"</f>
        <v>230702101801</v>
      </c>
      <c r="D422" s="5" t="s">
        <v>16</v>
      </c>
      <c r="E422" s="5" t="s">
        <v>18</v>
      </c>
      <c r="F422" s="5">
        <v>82</v>
      </c>
      <c r="G422" s="7"/>
    </row>
    <row r="423" spans="1:7" ht="27.75" customHeight="1">
      <c r="A423" s="5">
        <v>421</v>
      </c>
      <c r="B423" s="6" t="str">
        <f>"陈茂良"</f>
        <v>陈茂良</v>
      </c>
      <c r="C423" s="6" t="str">
        <f>"230702101816"</f>
        <v>230702101816</v>
      </c>
      <c r="D423" s="5" t="s">
        <v>16</v>
      </c>
      <c r="E423" s="5" t="s">
        <v>18</v>
      </c>
      <c r="F423" s="5">
        <v>83</v>
      </c>
      <c r="G423" s="7"/>
    </row>
    <row r="424" spans="1:7" ht="27.75" customHeight="1">
      <c r="A424" s="5">
        <v>422</v>
      </c>
      <c r="B424" s="6" t="str">
        <f>"卜华金"</f>
        <v>卜华金</v>
      </c>
      <c r="C424" s="6" t="str">
        <f>"230702102213"</f>
        <v>230702102213</v>
      </c>
      <c r="D424" s="5" t="s">
        <v>16</v>
      </c>
      <c r="E424" s="5" t="s">
        <v>18</v>
      </c>
      <c r="F424" s="5">
        <v>84</v>
      </c>
      <c r="G424" s="7"/>
    </row>
    <row r="425" spans="1:7" ht="27.75" customHeight="1">
      <c r="A425" s="5">
        <v>423</v>
      </c>
      <c r="B425" s="6" t="str">
        <f>"王艺成"</f>
        <v>王艺成</v>
      </c>
      <c r="C425" s="6" t="str">
        <f>"230702102524"</f>
        <v>230702102524</v>
      </c>
      <c r="D425" s="5" t="s">
        <v>16</v>
      </c>
      <c r="E425" s="5" t="s">
        <v>18</v>
      </c>
      <c r="F425" s="5">
        <v>85</v>
      </c>
      <c r="G425" s="7"/>
    </row>
    <row r="426" spans="1:7" ht="27.75" customHeight="1">
      <c r="A426" s="5">
        <v>424</v>
      </c>
      <c r="B426" s="6" t="str">
        <f>"吴明孙"</f>
        <v>吴明孙</v>
      </c>
      <c r="C426" s="6" t="str">
        <f>"230702103413"</f>
        <v>230702103413</v>
      </c>
      <c r="D426" s="5" t="s">
        <v>16</v>
      </c>
      <c r="E426" s="5" t="s">
        <v>18</v>
      </c>
      <c r="F426" s="5">
        <v>86</v>
      </c>
      <c r="G426" s="7"/>
    </row>
    <row r="427" spans="1:7" ht="27.75" customHeight="1">
      <c r="A427" s="5">
        <v>425</v>
      </c>
      <c r="B427" s="6" t="str">
        <f>"林小宁"</f>
        <v>林小宁</v>
      </c>
      <c r="C427" s="6" t="str">
        <f>"230702103516"</f>
        <v>230702103516</v>
      </c>
      <c r="D427" s="5" t="s">
        <v>16</v>
      </c>
      <c r="E427" s="5" t="s">
        <v>18</v>
      </c>
      <c r="F427" s="5">
        <v>87</v>
      </c>
      <c r="G427" s="7"/>
    </row>
    <row r="428" spans="1:7" ht="27.75" customHeight="1">
      <c r="A428" s="5">
        <v>426</v>
      </c>
      <c r="B428" s="6" t="str">
        <f>"陈开正"</f>
        <v>陈开正</v>
      </c>
      <c r="C428" s="6" t="str">
        <f>"230702101418"</f>
        <v>230702101418</v>
      </c>
      <c r="D428" s="5" t="s">
        <v>16</v>
      </c>
      <c r="E428" s="5" t="s">
        <v>18</v>
      </c>
      <c r="F428" s="5">
        <v>88</v>
      </c>
      <c r="G428" s="7"/>
    </row>
    <row r="429" spans="1:7" ht="27.75" customHeight="1">
      <c r="A429" s="5">
        <v>427</v>
      </c>
      <c r="B429" s="6" t="str">
        <f>"廖文栋"</f>
        <v>廖文栋</v>
      </c>
      <c r="C429" s="6" t="str">
        <f>"230702101611"</f>
        <v>230702101611</v>
      </c>
      <c r="D429" s="5" t="s">
        <v>16</v>
      </c>
      <c r="E429" s="5" t="s">
        <v>18</v>
      </c>
      <c r="F429" s="5">
        <v>89</v>
      </c>
      <c r="G429" s="7"/>
    </row>
    <row r="430" spans="1:7" ht="27.75" customHeight="1">
      <c r="A430" s="5">
        <v>428</v>
      </c>
      <c r="B430" s="6" t="str">
        <f>"李伟华"</f>
        <v>李伟华</v>
      </c>
      <c r="C430" s="6" t="str">
        <f>"230702102313"</f>
        <v>230702102313</v>
      </c>
      <c r="D430" s="5" t="s">
        <v>16</v>
      </c>
      <c r="E430" s="5" t="s">
        <v>18</v>
      </c>
      <c r="F430" s="5">
        <v>90</v>
      </c>
      <c r="G430" s="7"/>
    </row>
    <row r="431" spans="1:7" ht="27.75" customHeight="1">
      <c r="A431" s="5">
        <v>429</v>
      </c>
      <c r="B431" s="6" t="str">
        <f>"吉世宁"</f>
        <v>吉世宁</v>
      </c>
      <c r="C431" s="6" t="str">
        <f>"230702102405"</f>
        <v>230702102405</v>
      </c>
      <c r="D431" s="5" t="s">
        <v>16</v>
      </c>
      <c r="E431" s="5" t="s">
        <v>18</v>
      </c>
      <c r="F431" s="5">
        <v>91</v>
      </c>
      <c r="G431" s="7"/>
    </row>
    <row r="432" spans="1:7" ht="27.75" customHeight="1">
      <c r="A432" s="5">
        <v>430</v>
      </c>
      <c r="B432" s="6" t="str">
        <f>"周寿尧"</f>
        <v>周寿尧</v>
      </c>
      <c r="C432" s="6" t="str">
        <f>"230702103113"</f>
        <v>230702103113</v>
      </c>
      <c r="D432" s="5" t="s">
        <v>16</v>
      </c>
      <c r="E432" s="5" t="s">
        <v>18</v>
      </c>
      <c r="F432" s="5">
        <v>92</v>
      </c>
      <c r="G432" s="7"/>
    </row>
    <row r="433" spans="1:7" ht="27.75" customHeight="1">
      <c r="A433" s="5">
        <v>431</v>
      </c>
      <c r="B433" s="6" t="str">
        <f>"袁通泽"</f>
        <v>袁通泽</v>
      </c>
      <c r="C433" s="6" t="str">
        <f>"230702100920"</f>
        <v>230702100920</v>
      </c>
      <c r="D433" s="5" t="s">
        <v>16</v>
      </c>
      <c r="E433" s="5" t="s">
        <v>18</v>
      </c>
      <c r="F433" s="5">
        <v>93</v>
      </c>
      <c r="G433" s="7"/>
    </row>
    <row r="434" spans="1:7" ht="27.75" customHeight="1">
      <c r="A434" s="5">
        <v>432</v>
      </c>
      <c r="B434" s="6" t="str">
        <f>"高元才"</f>
        <v>高元才</v>
      </c>
      <c r="C434" s="6" t="str">
        <f>"230702100927"</f>
        <v>230702100927</v>
      </c>
      <c r="D434" s="5" t="s">
        <v>16</v>
      </c>
      <c r="E434" s="5" t="s">
        <v>18</v>
      </c>
      <c r="F434" s="5">
        <v>94</v>
      </c>
      <c r="G434" s="7"/>
    </row>
    <row r="435" spans="1:7" ht="27.75" customHeight="1">
      <c r="A435" s="5">
        <v>433</v>
      </c>
      <c r="B435" s="6" t="str">
        <f>"王鑫岳"</f>
        <v>王鑫岳</v>
      </c>
      <c r="C435" s="6" t="str">
        <f>"230702101107"</f>
        <v>230702101107</v>
      </c>
      <c r="D435" s="5" t="s">
        <v>16</v>
      </c>
      <c r="E435" s="5" t="s">
        <v>18</v>
      </c>
      <c r="F435" s="5">
        <v>95</v>
      </c>
      <c r="G435" s="7"/>
    </row>
    <row r="436" spans="1:7" ht="27.75" customHeight="1">
      <c r="A436" s="5">
        <v>434</v>
      </c>
      <c r="B436" s="6" t="str">
        <f>"陈会"</f>
        <v>陈会</v>
      </c>
      <c r="C436" s="6" t="str">
        <f>"230702101229"</f>
        <v>230702101229</v>
      </c>
      <c r="D436" s="5" t="s">
        <v>16</v>
      </c>
      <c r="E436" s="5" t="s">
        <v>18</v>
      </c>
      <c r="F436" s="5">
        <v>96</v>
      </c>
      <c r="G436" s="7"/>
    </row>
    <row r="437" spans="1:7" ht="27.75" customHeight="1">
      <c r="A437" s="5">
        <v>435</v>
      </c>
      <c r="B437" s="6" t="str">
        <f>"苏俊亿"</f>
        <v>苏俊亿</v>
      </c>
      <c r="C437" s="6" t="str">
        <f>"230702101504"</f>
        <v>230702101504</v>
      </c>
      <c r="D437" s="5" t="s">
        <v>16</v>
      </c>
      <c r="E437" s="5" t="s">
        <v>18</v>
      </c>
      <c r="F437" s="5">
        <v>97</v>
      </c>
      <c r="G437" s="7"/>
    </row>
    <row r="438" spans="1:7" ht="27.75" customHeight="1">
      <c r="A438" s="5">
        <v>436</v>
      </c>
      <c r="B438" s="6" t="str">
        <f>"谢国持"</f>
        <v>谢国持</v>
      </c>
      <c r="C438" s="6" t="str">
        <f>"230702101513"</f>
        <v>230702101513</v>
      </c>
      <c r="D438" s="5" t="s">
        <v>16</v>
      </c>
      <c r="E438" s="5" t="s">
        <v>18</v>
      </c>
      <c r="F438" s="5">
        <v>98</v>
      </c>
      <c r="G438" s="7"/>
    </row>
    <row r="439" spans="1:7" ht="27.75" customHeight="1">
      <c r="A439" s="5">
        <v>437</v>
      </c>
      <c r="B439" s="6" t="str">
        <f>"李自通"</f>
        <v>李自通</v>
      </c>
      <c r="C439" s="6" t="str">
        <f>"230702101524"</f>
        <v>230702101524</v>
      </c>
      <c r="D439" s="5" t="s">
        <v>16</v>
      </c>
      <c r="E439" s="5" t="s">
        <v>18</v>
      </c>
      <c r="F439" s="5">
        <v>99</v>
      </c>
      <c r="G439" s="7"/>
    </row>
    <row r="440" spans="1:7" ht="27.75" customHeight="1">
      <c r="A440" s="5">
        <v>438</v>
      </c>
      <c r="B440" s="6" t="str">
        <f>"王强"</f>
        <v>王强</v>
      </c>
      <c r="C440" s="6" t="str">
        <f>"230702101630"</f>
        <v>230702101630</v>
      </c>
      <c r="D440" s="5" t="s">
        <v>16</v>
      </c>
      <c r="E440" s="5" t="s">
        <v>18</v>
      </c>
      <c r="F440" s="5">
        <v>100</v>
      </c>
      <c r="G440" s="7"/>
    </row>
    <row r="441" spans="1:7" ht="27.75" customHeight="1">
      <c r="A441" s="5">
        <v>439</v>
      </c>
      <c r="B441" s="6" t="str">
        <f>"杜坤贞"</f>
        <v>杜坤贞</v>
      </c>
      <c r="C441" s="6" t="str">
        <f>"230702101823"</f>
        <v>230702101823</v>
      </c>
      <c r="D441" s="5" t="s">
        <v>16</v>
      </c>
      <c r="E441" s="5" t="s">
        <v>18</v>
      </c>
      <c r="F441" s="5">
        <v>101</v>
      </c>
      <c r="G441" s="7"/>
    </row>
    <row r="442" spans="1:7" ht="27.75" customHeight="1">
      <c r="A442" s="5">
        <v>440</v>
      </c>
      <c r="B442" s="6" t="str">
        <f>"庄多进"</f>
        <v>庄多进</v>
      </c>
      <c r="C442" s="6" t="str">
        <f>"230702102011"</f>
        <v>230702102011</v>
      </c>
      <c r="D442" s="5" t="s">
        <v>16</v>
      </c>
      <c r="E442" s="5" t="s">
        <v>18</v>
      </c>
      <c r="F442" s="5">
        <v>102</v>
      </c>
      <c r="G442" s="7"/>
    </row>
    <row r="443" spans="1:7" ht="27.75" customHeight="1">
      <c r="A443" s="5">
        <v>441</v>
      </c>
      <c r="B443" s="6" t="str">
        <f>"梁政悦"</f>
        <v>梁政悦</v>
      </c>
      <c r="C443" s="6" t="str">
        <f>"230702102022"</f>
        <v>230702102022</v>
      </c>
      <c r="D443" s="5" t="s">
        <v>16</v>
      </c>
      <c r="E443" s="5" t="s">
        <v>18</v>
      </c>
      <c r="F443" s="5">
        <v>103</v>
      </c>
      <c r="G443" s="7"/>
    </row>
    <row r="444" spans="1:7" ht="27.75" customHeight="1">
      <c r="A444" s="5">
        <v>442</v>
      </c>
      <c r="B444" s="6" t="str">
        <f>"薛永谨"</f>
        <v>薛永谨</v>
      </c>
      <c r="C444" s="6" t="str">
        <f>"230702102427"</f>
        <v>230702102427</v>
      </c>
      <c r="D444" s="5" t="s">
        <v>16</v>
      </c>
      <c r="E444" s="5" t="s">
        <v>18</v>
      </c>
      <c r="F444" s="5">
        <v>104</v>
      </c>
      <c r="G444" s="7"/>
    </row>
    <row r="445" spans="1:7" ht="27.75" customHeight="1">
      <c r="A445" s="5">
        <v>443</v>
      </c>
      <c r="B445" s="6" t="str">
        <f>"陈英苇"</f>
        <v>陈英苇</v>
      </c>
      <c r="C445" s="6" t="str">
        <f>"230702103209"</f>
        <v>230702103209</v>
      </c>
      <c r="D445" s="5" t="s">
        <v>16</v>
      </c>
      <c r="E445" s="5" t="s">
        <v>18</v>
      </c>
      <c r="F445" s="5">
        <v>105</v>
      </c>
      <c r="G445" s="7"/>
    </row>
    <row r="446" spans="1:7" ht="27.75" customHeight="1">
      <c r="A446" s="5">
        <v>444</v>
      </c>
      <c r="B446" s="6" t="str">
        <f>"黄创首"</f>
        <v>黄创首</v>
      </c>
      <c r="C446" s="6" t="str">
        <f>"230702100828"</f>
        <v>230702100828</v>
      </c>
      <c r="D446" s="5" t="s">
        <v>16</v>
      </c>
      <c r="E446" s="5" t="s">
        <v>18</v>
      </c>
      <c r="F446" s="5">
        <v>106</v>
      </c>
      <c r="G446" s="7"/>
    </row>
    <row r="447" spans="1:7" ht="27.75" customHeight="1">
      <c r="A447" s="5">
        <v>445</v>
      </c>
      <c r="B447" s="6" t="str">
        <f>"陈良刚"</f>
        <v>陈良刚</v>
      </c>
      <c r="C447" s="6" t="str">
        <f>"230702101013"</f>
        <v>230702101013</v>
      </c>
      <c r="D447" s="5" t="s">
        <v>16</v>
      </c>
      <c r="E447" s="5" t="s">
        <v>18</v>
      </c>
      <c r="F447" s="5">
        <v>107</v>
      </c>
      <c r="G447" s="7"/>
    </row>
    <row r="448" spans="1:7" ht="27.75" customHeight="1">
      <c r="A448" s="5">
        <v>446</v>
      </c>
      <c r="B448" s="6" t="str">
        <f>"冯乃臻"</f>
        <v>冯乃臻</v>
      </c>
      <c r="C448" s="6" t="str">
        <f>"230702101104"</f>
        <v>230702101104</v>
      </c>
      <c r="D448" s="5" t="s">
        <v>16</v>
      </c>
      <c r="E448" s="5" t="s">
        <v>18</v>
      </c>
      <c r="F448" s="5">
        <v>108</v>
      </c>
      <c r="G448" s="7"/>
    </row>
    <row r="449" spans="1:7" ht="27.75" customHeight="1">
      <c r="A449" s="5">
        <v>447</v>
      </c>
      <c r="B449" s="6" t="str">
        <f>"蔡甫倩"</f>
        <v>蔡甫倩</v>
      </c>
      <c r="C449" s="6" t="str">
        <f>"230702101612"</f>
        <v>230702101612</v>
      </c>
      <c r="D449" s="5" t="s">
        <v>16</v>
      </c>
      <c r="E449" s="5" t="s">
        <v>19</v>
      </c>
      <c r="F449" s="5">
        <v>109</v>
      </c>
      <c r="G449" s="7"/>
    </row>
    <row r="450" spans="1:7" ht="27.75" customHeight="1">
      <c r="A450" s="5">
        <v>448</v>
      </c>
      <c r="B450" s="6" t="str">
        <f>"林芳德"</f>
        <v>林芳德</v>
      </c>
      <c r="C450" s="6" t="str">
        <f>"230702101706"</f>
        <v>230702101706</v>
      </c>
      <c r="D450" s="5" t="s">
        <v>16</v>
      </c>
      <c r="E450" s="5" t="s">
        <v>19</v>
      </c>
      <c r="F450" s="5">
        <v>110</v>
      </c>
      <c r="G450" s="7"/>
    </row>
    <row r="451" spans="1:7" ht="27.75" customHeight="1">
      <c r="A451" s="5">
        <v>449</v>
      </c>
      <c r="B451" s="6" t="str">
        <f>"何建宏"</f>
        <v>何建宏</v>
      </c>
      <c r="C451" s="6" t="str">
        <f>"230702101917"</f>
        <v>230702101917</v>
      </c>
      <c r="D451" s="5" t="s">
        <v>16</v>
      </c>
      <c r="E451" s="5" t="s">
        <v>19</v>
      </c>
      <c r="F451" s="5">
        <v>111</v>
      </c>
      <c r="G451" s="7"/>
    </row>
    <row r="452" spans="1:7" ht="27.75" customHeight="1">
      <c r="A452" s="5">
        <v>450</v>
      </c>
      <c r="B452" s="6" t="str">
        <f>"钟永霏"</f>
        <v>钟永霏</v>
      </c>
      <c r="C452" s="6" t="str">
        <f>"230702101919"</f>
        <v>230702101919</v>
      </c>
      <c r="D452" s="5" t="s">
        <v>16</v>
      </c>
      <c r="E452" s="5" t="s">
        <v>19</v>
      </c>
      <c r="F452" s="5">
        <v>112</v>
      </c>
      <c r="G452" s="7"/>
    </row>
    <row r="453" spans="1:7" ht="27.75" customHeight="1">
      <c r="A453" s="5">
        <v>451</v>
      </c>
      <c r="B453" s="6" t="str">
        <f>"唐志宏"</f>
        <v>唐志宏</v>
      </c>
      <c r="C453" s="6" t="str">
        <f>"230702102815"</f>
        <v>230702102815</v>
      </c>
      <c r="D453" s="5" t="s">
        <v>16</v>
      </c>
      <c r="E453" s="5" t="s">
        <v>19</v>
      </c>
      <c r="F453" s="5">
        <v>113</v>
      </c>
      <c r="G453" s="7"/>
    </row>
    <row r="454" spans="1:7" ht="27.75" customHeight="1">
      <c r="A454" s="5">
        <v>452</v>
      </c>
      <c r="B454" s="6" t="str">
        <f>"周源"</f>
        <v>周源</v>
      </c>
      <c r="C454" s="6" t="str">
        <f>"230702102922"</f>
        <v>230702102922</v>
      </c>
      <c r="D454" s="5" t="s">
        <v>16</v>
      </c>
      <c r="E454" s="5" t="s">
        <v>19</v>
      </c>
      <c r="F454" s="5">
        <v>114</v>
      </c>
      <c r="G454" s="7"/>
    </row>
    <row r="455" spans="1:7" ht="27.75" customHeight="1">
      <c r="A455" s="5">
        <v>453</v>
      </c>
      <c r="B455" s="6" t="str">
        <f>"陈孝木"</f>
        <v>陈孝木</v>
      </c>
      <c r="C455" s="6" t="str">
        <f>"230702103007"</f>
        <v>230702103007</v>
      </c>
      <c r="D455" s="5" t="s">
        <v>16</v>
      </c>
      <c r="E455" s="5" t="s">
        <v>19</v>
      </c>
      <c r="F455" s="5">
        <v>115</v>
      </c>
      <c r="G455" s="7"/>
    </row>
    <row r="456" spans="1:7" ht="27.75" customHeight="1">
      <c r="A456" s="5">
        <v>454</v>
      </c>
      <c r="B456" s="6" t="str">
        <f>"梁超"</f>
        <v>梁超</v>
      </c>
      <c r="C456" s="6" t="str">
        <f>"230702201017"</f>
        <v>230702201017</v>
      </c>
      <c r="D456" s="5" t="s">
        <v>16</v>
      </c>
      <c r="E456" s="5" t="s">
        <v>19</v>
      </c>
      <c r="F456" s="5">
        <v>116</v>
      </c>
      <c r="G456" s="7"/>
    </row>
    <row r="457" spans="1:7" ht="27.75" customHeight="1">
      <c r="A457" s="5">
        <v>455</v>
      </c>
      <c r="B457" s="6" t="str">
        <f>"何荣超"</f>
        <v>何荣超</v>
      </c>
      <c r="C457" s="6" t="str">
        <f>"230702201304"</f>
        <v>230702201304</v>
      </c>
      <c r="D457" s="5" t="s">
        <v>16</v>
      </c>
      <c r="E457" s="5" t="s">
        <v>19</v>
      </c>
      <c r="F457" s="5">
        <v>117</v>
      </c>
      <c r="G457" s="7"/>
    </row>
    <row r="458" spans="1:7" ht="27.75" customHeight="1">
      <c r="A458" s="5">
        <v>456</v>
      </c>
      <c r="B458" s="6" t="str">
        <f>"冯应明"</f>
        <v>冯应明</v>
      </c>
      <c r="C458" s="6" t="str">
        <f>"230702201327"</f>
        <v>230702201327</v>
      </c>
      <c r="D458" s="5" t="s">
        <v>16</v>
      </c>
      <c r="E458" s="5" t="s">
        <v>19</v>
      </c>
      <c r="F458" s="5">
        <v>118</v>
      </c>
      <c r="G458" s="7"/>
    </row>
    <row r="459" spans="1:7" ht="27.75" customHeight="1">
      <c r="A459" s="5">
        <v>457</v>
      </c>
      <c r="B459" s="6" t="str">
        <f>"詹达圣"</f>
        <v>詹达圣</v>
      </c>
      <c r="C459" s="6" t="str">
        <f>"230702201329"</f>
        <v>230702201329</v>
      </c>
      <c r="D459" s="5" t="s">
        <v>16</v>
      </c>
      <c r="E459" s="5" t="s">
        <v>19</v>
      </c>
      <c r="F459" s="5">
        <v>119</v>
      </c>
      <c r="G459" s="7"/>
    </row>
    <row r="460" spans="1:7" ht="27.75" customHeight="1">
      <c r="A460" s="5">
        <v>458</v>
      </c>
      <c r="B460" s="6" t="str">
        <f>"林尤侠"</f>
        <v>林尤侠</v>
      </c>
      <c r="C460" s="6" t="str">
        <f>"230702201005"</f>
        <v>230702201005</v>
      </c>
      <c r="D460" s="5" t="s">
        <v>16</v>
      </c>
      <c r="E460" s="5" t="s">
        <v>19</v>
      </c>
      <c r="F460" s="5">
        <v>120</v>
      </c>
      <c r="G460" s="7"/>
    </row>
    <row r="461" spans="1:7" ht="27.75" customHeight="1">
      <c r="A461" s="5">
        <v>459</v>
      </c>
      <c r="B461" s="6" t="str">
        <f>"陈明德"</f>
        <v>陈明德</v>
      </c>
      <c r="C461" s="6" t="str">
        <f>"230702201020"</f>
        <v>230702201020</v>
      </c>
      <c r="D461" s="5" t="s">
        <v>16</v>
      </c>
      <c r="E461" s="5" t="s">
        <v>19</v>
      </c>
      <c r="F461" s="5">
        <v>121</v>
      </c>
      <c r="G461" s="7"/>
    </row>
    <row r="462" spans="1:7" ht="27.75" customHeight="1">
      <c r="A462" s="5">
        <v>460</v>
      </c>
      <c r="B462" s="6" t="str">
        <f>"李宾深"</f>
        <v>李宾深</v>
      </c>
      <c r="C462" s="6" t="str">
        <f>"230702201129"</f>
        <v>230702201129</v>
      </c>
      <c r="D462" s="5" t="s">
        <v>16</v>
      </c>
      <c r="E462" s="5" t="s">
        <v>19</v>
      </c>
      <c r="F462" s="5">
        <v>122</v>
      </c>
      <c r="G462" s="7"/>
    </row>
    <row r="463" spans="1:7" ht="27.75" customHeight="1">
      <c r="A463" s="5">
        <v>461</v>
      </c>
      <c r="B463" s="6" t="str">
        <f>"庞诗佳"</f>
        <v>庞诗佳</v>
      </c>
      <c r="C463" s="6" t="str">
        <f>"230702201224"</f>
        <v>230702201224</v>
      </c>
      <c r="D463" s="5" t="s">
        <v>16</v>
      </c>
      <c r="E463" s="5" t="s">
        <v>19</v>
      </c>
      <c r="F463" s="5">
        <v>123</v>
      </c>
      <c r="G463" s="7"/>
    </row>
    <row r="464" spans="1:7" ht="27.75" customHeight="1">
      <c r="A464" s="5">
        <v>462</v>
      </c>
      <c r="B464" s="6" t="str">
        <f>"陈仲宁"</f>
        <v>陈仲宁</v>
      </c>
      <c r="C464" s="6" t="str">
        <f>"230702201222"</f>
        <v>230702201222</v>
      </c>
      <c r="D464" s="5" t="s">
        <v>16</v>
      </c>
      <c r="E464" s="5" t="s">
        <v>19</v>
      </c>
      <c r="F464" s="5">
        <v>124</v>
      </c>
      <c r="G464" s="7"/>
    </row>
    <row r="465" spans="1:7" ht="27.75" customHeight="1">
      <c r="A465" s="5">
        <v>463</v>
      </c>
      <c r="B465" s="6" t="str">
        <f>"许耿睿"</f>
        <v>许耿睿</v>
      </c>
      <c r="C465" s="6" t="str">
        <f>"230702201228"</f>
        <v>230702201228</v>
      </c>
      <c r="D465" s="5" t="s">
        <v>16</v>
      </c>
      <c r="E465" s="5" t="s">
        <v>19</v>
      </c>
      <c r="F465" s="5">
        <v>125</v>
      </c>
      <c r="G465" s="7"/>
    </row>
    <row r="466" spans="1:7" ht="27.75" customHeight="1">
      <c r="A466" s="5">
        <v>464</v>
      </c>
      <c r="B466" s="6" t="str">
        <f>"符捷"</f>
        <v>符捷</v>
      </c>
      <c r="C466" s="6" t="str">
        <f>"230702201027"</f>
        <v>230702201027</v>
      </c>
      <c r="D466" s="5" t="s">
        <v>16</v>
      </c>
      <c r="E466" s="5" t="s">
        <v>19</v>
      </c>
      <c r="F466" s="5">
        <v>126</v>
      </c>
      <c r="G466" s="7"/>
    </row>
    <row r="467" spans="1:7" ht="27.75" customHeight="1">
      <c r="A467" s="5">
        <v>465</v>
      </c>
      <c r="B467" s="6" t="str">
        <f>"吕惠献"</f>
        <v>吕惠献</v>
      </c>
      <c r="C467" s="6" t="str">
        <f>"230702201311"</f>
        <v>230702201311</v>
      </c>
      <c r="D467" s="5" t="s">
        <v>16</v>
      </c>
      <c r="E467" s="5" t="s">
        <v>19</v>
      </c>
      <c r="F467" s="5">
        <v>127</v>
      </c>
      <c r="G467" s="7"/>
    </row>
    <row r="468" spans="1:7" ht="27.75" customHeight="1">
      <c r="A468" s="5">
        <v>466</v>
      </c>
      <c r="B468" s="6" t="str">
        <f>"严诗洋"</f>
        <v>严诗洋</v>
      </c>
      <c r="C468" s="6" t="str">
        <f>"230702201124"</f>
        <v>230702201124</v>
      </c>
      <c r="D468" s="5" t="s">
        <v>16</v>
      </c>
      <c r="E468" s="5" t="s">
        <v>19</v>
      </c>
      <c r="F468" s="5">
        <v>128</v>
      </c>
      <c r="G468" s="7"/>
    </row>
    <row r="469" spans="1:7" ht="27.75" customHeight="1">
      <c r="A469" s="5">
        <v>467</v>
      </c>
      <c r="B469" s="6" t="str">
        <f>"陈奕伟"</f>
        <v>陈奕伟</v>
      </c>
      <c r="C469" s="6" t="str">
        <f>"230702201213"</f>
        <v>230702201213</v>
      </c>
      <c r="D469" s="5" t="s">
        <v>16</v>
      </c>
      <c r="E469" s="5" t="s">
        <v>19</v>
      </c>
      <c r="F469" s="5">
        <v>129</v>
      </c>
      <c r="G469" s="7"/>
    </row>
    <row r="470" spans="1:7" ht="27.75" customHeight="1">
      <c r="A470" s="5">
        <v>468</v>
      </c>
      <c r="B470" s="6" t="str">
        <f>"邢洪"</f>
        <v>邢洪</v>
      </c>
      <c r="C470" s="6" t="str">
        <f>"230702201230"</f>
        <v>230702201230</v>
      </c>
      <c r="D470" s="5" t="s">
        <v>16</v>
      </c>
      <c r="E470" s="5" t="s">
        <v>19</v>
      </c>
      <c r="F470" s="5">
        <v>130</v>
      </c>
      <c r="G470" s="7"/>
    </row>
    <row r="471" spans="1:7" ht="27.75" customHeight="1">
      <c r="A471" s="5">
        <v>469</v>
      </c>
      <c r="B471" s="6" t="str">
        <f>"王宽启"</f>
        <v>王宽启</v>
      </c>
      <c r="C471" s="6" t="str">
        <f>"230702201010"</f>
        <v>230702201010</v>
      </c>
      <c r="D471" s="5" t="s">
        <v>16</v>
      </c>
      <c r="E471" s="5" t="s">
        <v>19</v>
      </c>
      <c r="F471" s="5">
        <v>131</v>
      </c>
      <c r="G471" s="7"/>
    </row>
    <row r="472" spans="1:7" ht="27.75" customHeight="1">
      <c r="A472" s="5">
        <v>470</v>
      </c>
      <c r="B472" s="6" t="str">
        <f>"陈泽欣"</f>
        <v>陈泽欣</v>
      </c>
      <c r="C472" s="6" t="str">
        <f>"230702201108"</f>
        <v>230702201108</v>
      </c>
      <c r="D472" s="5" t="s">
        <v>16</v>
      </c>
      <c r="E472" s="5" t="s">
        <v>19</v>
      </c>
      <c r="F472" s="5">
        <v>132</v>
      </c>
      <c r="G472" s="7"/>
    </row>
    <row r="473" spans="1:7" ht="27.75" customHeight="1">
      <c r="A473" s="5">
        <v>471</v>
      </c>
      <c r="B473" s="6" t="str">
        <f>"符致靖"</f>
        <v>符致靖</v>
      </c>
      <c r="C473" s="6" t="str">
        <f>"230702201008"</f>
        <v>230702201008</v>
      </c>
      <c r="D473" s="5" t="s">
        <v>16</v>
      </c>
      <c r="E473" s="5" t="s">
        <v>19</v>
      </c>
      <c r="F473" s="5">
        <v>133</v>
      </c>
      <c r="G473" s="7"/>
    </row>
    <row r="474" spans="1:7" ht="27.75" customHeight="1">
      <c r="A474" s="5">
        <v>472</v>
      </c>
      <c r="B474" s="6" t="str">
        <f>"王和泰"</f>
        <v>王和泰</v>
      </c>
      <c r="C474" s="6" t="str">
        <f>"230702201007"</f>
        <v>230702201007</v>
      </c>
      <c r="D474" s="5" t="s">
        <v>16</v>
      </c>
      <c r="E474" s="5" t="s">
        <v>19</v>
      </c>
      <c r="F474" s="5">
        <v>134</v>
      </c>
      <c r="G474" s="7"/>
    </row>
    <row r="475" spans="1:7" ht="27.75" customHeight="1">
      <c r="A475" s="5">
        <v>473</v>
      </c>
      <c r="B475" s="6" t="str">
        <f>"曾健铭"</f>
        <v>曾健铭</v>
      </c>
      <c r="C475" s="6" t="str">
        <f>"230702201024"</f>
        <v>230702201024</v>
      </c>
      <c r="D475" s="5" t="s">
        <v>16</v>
      </c>
      <c r="E475" s="5" t="s">
        <v>19</v>
      </c>
      <c r="F475" s="5">
        <v>135</v>
      </c>
      <c r="G475" s="7"/>
    </row>
    <row r="476" spans="1:7" ht="27.75" customHeight="1">
      <c r="A476" s="5">
        <v>474</v>
      </c>
      <c r="B476" s="6" t="str">
        <f>"符智森"</f>
        <v>符智森</v>
      </c>
      <c r="C476" s="6" t="str">
        <f>"230702201117"</f>
        <v>230702201117</v>
      </c>
      <c r="D476" s="5" t="s">
        <v>16</v>
      </c>
      <c r="E476" s="5" t="s">
        <v>19</v>
      </c>
      <c r="F476" s="5">
        <v>136</v>
      </c>
      <c r="G476" s="7"/>
    </row>
    <row r="477" spans="1:7" ht="27.75" customHeight="1">
      <c r="A477" s="5">
        <v>475</v>
      </c>
      <c r="B477" s="6" t="str">
        <f>"陈封浩"</f>
        <v>陈封浩</v>
      </c>
      <c r="C477" s="6" t="str">
        <f>"230702201216"</f>
        <v>230702201216</v>
      </c>
      <c r="D477" s="5" t="s">
        <v>16</v>
      </c>
      <c r="E477" s="5" t="s">
        <v>19</v>
      </c>
      <c r="F477" s="5">
        <v>137</v>
      </c>
      <c r="G477" s="7"/>
    </row>
    <row r="478" spans="1:7" ht="27.75" customHeight="1">
      <c r="A478" s="5">
        <v>476</v>
      </c>
      <c r="B478" s="6" t="str">
        <f>"刘陶虎"</f>
        <v>刘陶虎</v>
      </c>
      <c r="C478" s="6" t="str">
        <f>"230702201302"</f>
        <v>230702201302</v>
      </c>
      <c r="D478" s="5" t="s">
        <v>16</v>
      </c>
      <c r="E478" s="5" t="s">
        <v>19</v>
      </c>
      <c r="F478" s="5">
        <v>138</v>
      </c>
      <c r="G478" s="7"/>
    </row>
    <row r="479" spans="1:7" ht="27.75" customHeight="1">
      <c r="A479" s="5">
        <v>477</v>
      </c>
      <c r="B479" s="6" t="str">
        <f>"梁昌荣"</f>
        <v>梁昌荣</v>
      </c>
      <c r="C479" s="6" t="str">
        <f>"230702201104"</f>
        <v>230702201104</v>
      </c>
      <c r="D479" s="5" t="s">
        <v>16</v>
      </c>
      <c r="E479" s="5" t="s">
        <v>19</v>
      </c>
      <c r="F479" s="5">
        <v>139</v>
      </c>
      <c r="G479" s="7"/>
    </row>
    <row r="480" spans="1:7" ht="27.75" customHeight="1">
      <c r="A480" s="5">
        <v>478</v>
      </c>
      <c r="B480" s="6" t="str">
        <f>"文国达"</f>
        <v>文国达</v>
      </c>
      <c r="C480" s="6" t="str">
        <f>"230702201127"</f>
        <v>230702201127</v>
      </c>
      <c r="D480" s="5" t="s">
        <v>16</v>
      </c>
      <c r="E480" s="5" t="s">
        <v>19</v>
      </c>
      <c r="F480" s="5">
        <v>140</v>
      </c>
      <c r="G480" s="7"/>
    </row>
    <row r="481" spans="1:7" ht="27.75" customHeight="1">
      <c r="A481" s="5">
        <v>479</v>
      </c>
      <c r="B481" s="6" t="str">
        <f>"陈贻超"</f>
        <v>陈贻超</v>
      </c>
      <c r="C481" s="6" t="str">
        <f>"230702201221"</f>
        <v>230702201221</v>
      </c>
      <c r="D481" s="5" t="s">
        <v>16</v>
      </c>
      <c r="E481" s="5" t="s">
        <v>19</v>
      </c>
      <c r="F481" s="5">
        <v>141</v>
      </c>
      <c r="G481" s="7"/>
    </row>
    <row r="482" spans="1:7" ht="27.75" customHeight="1">
      <c r="A482" s="5">
        <v>480</v>
      </c>
      <c r="B482" s="6" t="str">
        <f>"符山挺"</f>
        <v>符山挺</v>
      </c>
      <c r="C482" s="6" t="str">
        <f>"230702201402"</f>
        <v>230702201402</v>
      </c>
      <c r="D482" s="5" t="s">
        <v>16</v>
      </c>
      <c r="E482" s="5" t="s">
        <v>19</v>
      </c>
      <c r="F482" s="5">
        <v>142</v>
      </c>
      <c r="G482" s="7"/>
    </row>
    <row r="483" spans="1:7" ht="27.75" customHeight="1">
      <c r="A483" s="5">
        <v>481</v>
      </c>
      <c r="B483" s="6" t="str">
        <f>"陈益多"</f>
        <v>陈益多</v>
      </c>
      <c r="C483" s="6" t="str">
        <f>"230702201316"</f>
        <v>230702201316</v>
      </c>
      <c r="D483" s="5" t="s">
        <v>16</v>
      </c>
      <c r="E483" s="5" t="s">
        <v>19</v>
      </c>
      <c r="F483" s="5">
        <v>143</v>
      </c>
      <c r="G483" s="7"/>
    </row>
    <row r="484" spans="1:7" ht="27.75" customHeight="1">
      <c r="A484" s="5">
        <v>482</v>
      </c>
      <c r="B484" s="6" t="str">
        <f>"温世才"</f>
        <v>温世才</v>
      </c>
      <c r="C484" s="6" t="str">
        <f>"230702201322"</f>
        <v>230702201322</v>
      </c>
      <c r="D484" s="5" t="s">
        <v>16</v>
      </c>
      <c r="E484" s="5" t="s">
        <v>19</v>
      </c>
      <c r="F484" s="5">
        <v>144</v>
      </c>
      <c r="G484" s="7"/>
    </row>
    <row r="485" spans="1:7" ht="27.75" customHeight="1">
      <c r="A485" s="5">
        <v>483</v>
      </c>
      <c r="B485" s="6" t="str">
        <f>"王智"</f>
        <v>王智</v>
      </c>
      <c r="C485" s="6" t="str">
        <f>"230702201109"</f>
        <v>230702201109</v>
      </c>
      <c r="D485" s="5" t="s">
        <v>16</v>
      </c>
      <c r="E485" s="5" t="s">
        <v>19</v>
      </c>
      <c r="F485" s="5">
        <v>145</v>
      </c>
      <c r="G485" s="7"/>
    </row>
    <row r="486" spans="1:7" ht="27.75" customHeight="1">
      <c r="A486" s="5">
        <v>484</v>
      </c>
      <c r="B486" s="6" t="str">
        <f>"陈礼吉"</f>
        <v>陈礼吉</v>
      </c>
      <c r="C486" s="6" t="str">
        <f>"230702201111"</f>
        <v>230702201111</v>
      </c>
      <c r="D486" s="5" t="s">
        <v>16</v>
      </c>
      <c r="E486" s="5" t="s">
        <v>19</v>
      </c>
      <c r="F486" s="5">
        <v>146</v>
      </c>
      <c r="G486" s="7"/>
    </row>
    <row r="487" spans="1:7" ht="27.75" customHeight="1">
      <c r="A487" s="5">
        <v>485</v>
      </c>
      <c r="B487" s="6" t="str">
        <f>"肖祚清"</f>
        <v>肖祚清</v>
      </c>
      <c r="C487" s="6" t="str">
        <f>"230702201102"</f>
        <v>230702201102</v>
      </c>
      <c r="D487" s="5" t="s">
        <v>16</v>
      </c>
      <c r="E487" s="5" t="s">
        <v>19</v>
      </c>
      <c r="F487" s="5">
        <v>147</v>
      </c>
      <c r="G487" s="7"/>
    </row>
    <row r="488" spans="1:7" ht="27.75" customHeight="1">
      <c r="A488" s="5">
        <v>486</v>
      </c>
      <c r="B488" s="6" t="str">
        <f>"王硕"</f>
        <v>王硕</v>
      </c>
      <c r="C488" s="6" t="str">
        <f>"230702201307"</f>
        <v>230702201307</v>
      </c>
      <c r="D488" s="5" t="s">
        <v>16</v>
      </c>
      <c r="E488" s="5" t="s">
        <v>19</v>
      </c>
      <c r="F488" s="5">
        <v>148</v>
      </c>
      <c r="G488" s="7"/>
    </row>
    <row r="489" spans="1:7" ht="27.75" customHeight="1">
      <c r="A489" s="5">
        <v>487</v>
      </c>
      <c r="B489" s="6" t="str">
        <f>"李岳鹏"</f>
        <v>李岳鹏</v>
      </c>
      <c r="C489" s="6" t="str">
        <f>"230702201014"</f>
        <v>230702201014</v>
      </c>
      <c r="D489" s="5" t="s">
        <v>16</v>
      </c>
      <c r="E489" s="5" t="s">
        <v>19</v>
      </c>
      <c r="F489" s="5">
        <v>149</v>
      </c>
      <c r="G489" s="7"/>
    </row>
    <row r="490" spans="1:7" ht="27.75" customHeight="1">
      <c r="A490" s="5">
        <v>488</v>
      </c>
      <c r="B490" s="6" t="str">
        <f>"云辉"</f>
        <v>云辉</v>
      </c>
      <c r="C490" s="6" t="str">
        <f>"230702201303"</f>
        <v>230702201303</v>
      </c>
      <c r="D490" s="5" t="s">
        <v>16</v>
      </c>
      <c r="E490" s="5" t="s">
        <v>19</v>
      </c>
      <c r="F490" s="5">
        <v>150</v>
      </c>
      <c r="G490" s="7"/>
    </row>
    <row r="491" spans="1:7" ht="27.75" customHeight="1">
      <c r="A491" s="5">
        <v>489</v>
      </c>
      <c r="B491" s="6" t="str">
        <f>"陈昌敬"</f>
        <v>陈昌敬</v>
      </c>
      <c r="C491" s="6" t="str">
        <f>"230702201309"</f>
        <v>230702201309</v>
      </c>
      <c r="D491" s="5" t="s">
        <v>16</v>
      </c>
      <c r="E491" s="5" t="s">
        <v>19</v>
      </c>
      <c r="F491" s="5">
        <v>151</v>
      </c>
      <c r="G491" s="7"/>
    </row>
    <row r="492" spans="1:7" ht="27.75" customHeight="1">
      <c r="A492" s="5">
        <v>490</v>
      </c>
      <c r="B492" s="6" t="str">
        <f>"罗奋"</f>
        <v>罗奋</v>
      </c>
      <c r="C492" s="6" t="str">
        <f>"230702201006"</f>
        <v>230702201006</v>
      </c>
      <c r="D492" s="5" t="s">
        <v>16</v>
      </c>
      <c r="E492" s="5" t="s">
        <v>19</v>
      </c>
      <c r="F492" s="5">
        <v>152</v>
      </c>
      <c r="G492" s="7"/>
    </row>
    <row r="493" spans="1:7" ht="27.75" customHeight="1">
      <c r="A493" s="5">
        <v>491</v>
      </c>
      <c r="B493" s="6" t="str">
        <f>"陈景岗"</f>
        <v>陈景岗</v>
      </c>
      <c r="C493" s="6" t="str">
        <f>"230702201023"</f>
        <v>230702201023</v>
      </c>
      <c r="D493" s="5" t="s">
        <v>16</v>
      </c>
      <c r="E493" s="5" t="s">
        <v>19</v>
      </c>
      <c r="F493" s="5">
        <v>153</v>
      </c>
      <c r="G493" s="7"/>
    </row>
    <row r="494" spans="1:7" ht="27.75" customHeight="1">
      <c r="A494" s="5">
        <v>492</v>
      </c>
      <c r="B494" s="6" t="str">
        <f>"林彬"</f>
        <v>林彬</v>
      </c>
      <c r="C494" s="6" t="str">
        <f>"230702201301"</f>
        <v>230702201301</v>
      </c>
      <c r="D494" s="5" t="s">
        <v>16</v>
      </c>
      <c r="E494" s="5" t="s">
        <v>19</v>
      </c>
      <c r="F494" s="5">
        <v>154</v>
      </c>
      <c r="G494" s="7"/>
    </row>
    <row r="495" spans="1:7" ht="27.75" customHeight="1">
      <c r="A495" s="5">
        <v>493</v>
      </c>
      <c r="B495" s="6" t="str">
        <f>"赖世杰"</f>
        <v>赖世杰</v>
      </c>
      <c r="C495" s="6" t="str">
        <f>"230702201011"</f>
        <v>230702201011</v>
      </c>
      <c r="D495" s="5" t="s">
        <v>16</v>
      </c>
      <c r="E495" s="5" t="s">
        <v>19</v>
      </c>
      <c r="F495" s="5">
        <v>155</v>
      </c>
      <c r="G495" s="7"/>
    </row>
    <row r="496" spans="1:7" ht="27.75" customHeight="1">
      <c r="A496" s="5">
        <v>494</v>
      </c>
      <c r="B496" s="6" t="str">
        <f>"符致明"</f>
        <v>符致明</v>
      </c>
      <c r="C496" s="6" t="str">
        <f>"230702201115"</f>
        <v>230702201115</v>
      </c>
      <c r="D496" s="5" t="s">
        <v>16</v>
      </c>
      <c r="E496" s="5" t="s">
        <v>19</v>
      </c>
      <c r="F496" s="5">
        <v>156</v>
      </c>
      <c r="G496" s="7"/>
    </row>
    <row r="497" spans="1:7" ht="27.75" customHeight="1">
      <c r="A497" s="5">
        <v>495</v>
      </c>
      <c r="B497" s="6" t="str">
        <f>"张其昌"</f>
        <v>张其昌</v>
      </c>
      <c r="C497" s="6" t="str">
        <f>"230702201209"</f>
        <v>230702201209</v>
      </c>
      <c r="D497" s="5" t="s">
        <v>16</v>
      </c>
      <c r="E497" s="5" t="s">
        <v>19</v>
      </c>
      <c r="F497" s="5">
        <v>157</v>
      </c>
      <c r="G497" s="7"/>
    </row>
    <row r="498" spans="1:7" ht="27.75" customHeight="1">
      <c r="A498" s="5">
        <v>496</v>
      </c>
      <c r="B498" s="6" t="str">
        <f>"洪世劲"</f>
        <v>洪世劲</v>
      </c>
      <c r="C498" s="6" t="str">
        <f>"230702201225"</f>
        <v>230702201225</v>
      </c>
      <c r="D498" s="5" t="s">
        <v>16</v>
      </c>
      <c r="E498" s="5" t="s">
        <v>19</v>
      </c>
      <c r="F498" s="5">
        <v>158</v>
      </c>
      <c r="G498" s="7"/>
    </row>
    <row r="499" spans="1:7" ht="27.75" customHeight="1">
      <c r="A499" s="5">
        <v>497</v>
      </c>
      <c r="B499" s="6" t="str">
        <f>"黎茜源"</f>
        <v>黎茜源</v>
      </c>
      <c r="C499" s="6" t="str">
        <f>"230702201319"</f>
        <v>230702201319</v>
      </c>
      <c r="D499" s="5" t="s">
        <v>16</v>
      </c>
      <c r="E499" s="5" t="s">
        <v>19</v>
      </c>
      <c r="F499" s="5">
        <v>159</v>
      </c>
      <c r="G499" s="7"/>
    </row>
    <row r="500" spans="1:7" ht="27.75" customHeight="1">
      <c r="A500" s="5">
        <v>498</v>
      </c>
      <c r="B500" s="6" t="str">
        <f>"黄永召"</f>
        <v>黄永召</v>
      </c>
      <c r="C500" s="6" t="str">
        <f>"230702201325"</f>
        <v>230702201325</v>
      </c>
      <c r="D500" s="5" t="s">
        <v>16</v>
      </c>
      <c r="E500" s="5" t="s">
        <v>19</v>
      </c>
      <c r="F500" s="5">
        <v>160</v>
      </c>
      <c r="G500" s="7"/>
    </row>
    <row r="501" spans="1:7" ht="27.75" customHeight="1">
      <c r="A501" s="5">
        <v>499</v>
      </c>
      <c r="B501" s="6" t="str">
        <f>"符方昊"</f>
        <v>符方昊</v>
      </c>
      <c r="C501" s="6" t="str">
        <f>"230702201328"</f>
        <v>230702201328</v>
      </c>
      <c r="D501" s="5" t="s">
        <v>16</v>
      </c>
      <c r="E501" s="5" t="s">
        <v>19</v>
      </c>
      <c r="F501" s="5">
        <v>161</v>
      </c>
      <c r="G501" s="7"/>
    </row>
    <row r="502" spans="1:7" ht="27.75" customHeight="1">
      <c r="A502" s="5">
        <v>500</v>
      </c>
      <c r="B502" s="6" t="str">
        <f>"谭人凡"</f>
        <v>谭人凡</v>
      </c>
      <c r="C502" s="6" t="str">
        <f>"230702103116"</f>
        <v>230702103116</v>
      </c>
      <c r="D502" s="5" t="s">
        <v>20</v>
      </c>
      <c r="E502" s="5" t="s">
        <v>9</v>
      </c>
      <c r="F502" s="5">
        <v>1</v>
      </c>
      <c r="G502" s="7"/>
    </row>
    <row r="503" spans="1:7" ht="27.75" customHeight="1">
      <c r="A503" s="5">
        <v>501</v>
      </c>
      <c r="B503" s="6" t="str">
        <f>"符超冠"</f>
        <v>符超冠</v>
      </c>
      <c r="C503" s="6" t="str">
        <f>"230702103123"</f>
        <v>230702103123</v>
      </c>
      <c r="D503" s="5" t="s">
        <v>20</v>
      </c>
      <c r="E503" s="5" t="s">
        <v>9</v>
      </c>
      <c r="F503" s="5">
        <v>2</v>
      </c>
      <c r="G503" s="7"/>
    </row>
    <row r="504" spans="1:7" ht="27.75" customHeight="1">
      <c r="A504" s="5">
        <v>502</v>
      </c>
      <c r="B504" s="6" t="str">
        <f>"谢国贤"</f>
        <v>谢国贤</v>
      </c>
      <c r="C504" s="6" t="str">
        <f>"230702103312"</f>
        <v>230702103312</v>
      </c>
      <c r="D504" s="5" t="s">
        <v>20</v>
      </c>
      <c r="E504" s="5" t="s">
        <v>9</v>
      </c>
      <c r="F504" s="5">
        <v>3</v>
      </c>
      <c r="G504" s="7"/>
    </row>
    <row r="505" spans="1:7" ht="27.75" customHeight="1">
      <c r="A505" s="5">
        <v>503</v>
      </c>
      <c r="B505" s="6" t="str">
        <f>"辜武维"</f>
        <v>辜武维</v>
      </c>
      <c r="C505" s="6" t="str">
        <f>"230702100814"</f>
        <v>230702100814</v>
      </c>
      <c r="D505" s="5" t="s">
        <v>20</v>
      </c>
      <c r="E505" s="5" t="s">
        <v>9</v>
      </c>
      <c r="F505" s="5">
        <v>4</v>
      </c>
      <c r="G505" s="7"/>
    </row>
    <row r="506" spans="1:7" ht="27.75" customHeight="1">
      <c r="A506" s="5">
        <v>504</v>
      </c>
      <c r="B506" s="6" t="str">
        <f>"林师中"</f>
        <v>林师中</v>
      </c>
      <c r="C506" s="6" t="str">
        <f>"230702101103"</f>
        <v>230702101103</v>
      </c>
      <c r="D506" s="5" t="s">
        <v>20</v>
      </c>
      <c r="E506" s="5" t="s">
        <v>9</v>
      </c>
      <c r="F506" s="5">
        <v>5</v>
      </c>
      <c r="G506" s="7"/>
    </row>
    <row r="507" spans="1:7" ht="27.75" customHeight="1">
      <c r="A507" s="5">
        <v>505</v>
      </c>
      <c r="B507" s="6" t="str">
        <f>"陈玉雄"</f>
        <v>陈玉雄</v>
      </c>
      <c r="C507" s="6" t="str">
        <f>"230702101124"</f>
        <v>230702101124</v>
      </c>
      <c r="D507" s="5" t="s">
        <v>20</v>
      </c>
      <c r="E507" s="5" t="s">
        <v>9</v>
      </c>
      <c r="F507" s="5">
        <v>6</v>
      </c>
      <c r="G507" s="7"/>
    </row>
    <row r="508" spans="1:7" ht="27.75" customHeight="1">
      <c r="A508" s="5">
        <v>506</v>
      </c>
      <c r="B508" s="6" t="str">
        <f>"王云道"</f>
        <v>王云道</v>
      </c>
      <c r="C508" s="6" t="str">
        <f>"230702101125"</f>
        <v>230702101125</v>
      </c>
      <c r="D508" s="5" t="s">
        <v>20</v>
      </c>
      <c r="E508" s="5" t="s">
        <v>9</v>
      </c>
      <c r="F508" s="5">
        <v>7</v>
      </c>
      <c r="G508" s="7"/>
    </row>
    <row r="509" spans="1:7" ht="27.75" customHeight="1">
      <c r="A509" s="5">
        <v>507</v>
      </c>
      <c r="B509" s="6" t="str">
        <f>"陈帅丞"</f>
        <v>陈帅丞</v>
      </c>
      <c r="C509" s="6" t="str">
        <f>"230702101628"</f>
        <v>230702101628</v>
      </c>
      <c r="D509" s="5" t="s">
        <v>20</v>
      </c>
      <c r="E509" s="5" t="s">
        <v>9</v>
      </c>
      <c r="F509" s="5">
        <v>8</v>
      </c>
      <c r="G509" s="7"/>
    </row>
    <row r="510" spans="1:7" ht="27.75" customHeight="1">
      <c r="A510" s="5">
        <v>508</v>
      </c>
      <c r="B510" s="6" t="str">
        <f>"王国庆"</f>
        <v>王国庆</v>
      </c>
      <c r="C510" s="6" t="str">
        <f>"230702101907"</f>
        <v>230702101907</v>
      </c>
      <c r="D510" s="5" t="s">
        <v>20</v>
      </c>
      <c r="E510" s="5" t="s">
        <v>9</v>
      </c>
      <c r="F510" s="5">
        <v>9</v>
      </c>
      <c r="G510" s="7"/>
    </row>
    <row r="511" spans="1:7" ht="27.75" customHeight="1">
      <c r="A511" s="5">
        <v>509</v>
      </c>
      <c r="B511" s="6" t="str">
        <f>"周昭牧"</f>
        <v>周昭牧</v>
      </c>
      <c r="C511" s="6" t="str">
        <f>"230702102013"</f>
        <v>230702102013</v>
      </c>
      <c r="D511" s="5" t="s">
        <v>20</v>
      </c>
      <c r="E511" s="5" t="s">
        <v>9</v>
      </c>
      <c r="F511" s="5">
        <v>10</v>
      </c>
      <c r="G511" s="7"/>
    </row>
    <row r="512" spans="1:7" ht="27.75" customHeight="1">
      <c r="A512" s="5">
        <v>510</v>
      </c>
      <c r="B512" s="6" t="str">
        <f>"刘洪杰"</f>
        <v>刘洪杰</v>
      </c>
      <c r="C512" s="6" t="str">
        <f>"230702102303"</f>
        <v>230702102303</v>
      </c>
      <c r="D512" s="5" t="s">
        <v>20</v>
      </c>
      <c r="E512" s="5" t="s">
        <v>9</v>
      </c>
      <c r="F512" s="5">
        <v>11</v>
      </c>
      <c r="G512" s="7"/>
    </row>
    <row r="513" spans="1:7" ht="27.75" customHeight="1">
      <c r="A513" s="5">
        <v>511</v>
      </c>
      <c r="B513" s="6" t="str">
        <f>"林圣果"</f>
        <v>林圣果</v>
      </c>
      <c r="C513" s="6" t="str">
        <f>"230702102314"</f>
        <v>230702102314</v>
      </c>
      <c r="D513" s="5" t="s">
        <v>20</v>
      </c>
      <c r="E513" s="5" t="s">
        <v>9</v>
      </c>
      <c r="F513" s="5">
        <v>12</v>
      </c>
      <c r="G513" s="7"/>
    </row>
    <row r="514" spans="1:7" ht="27.75" customHeight="1">
      <c r="A514" s="5">
        <v>512</v>
      </c>
      <c r="B514" s="6" t="str">
        <f>"杨育斌"</f>
        <v>杨育斌</v>
      </c>
      <c r="C514" s="6" t="str">
        <f>"230702102609"</f>
        <v>230702102609</v>
      </c>
      <c r="D514" s="5" t="s">
        <v>20</v>
      </c>
      <c r="E514" s="5" t="s">
        <v>9</v>
      </c>
      <c r="F514" s="5">
        <v>13</v>
      </c>
      <c r="G514" s="7"/>
    </row>
    <row r="515" spans="1:7" ht="27.75" customHeight="1">
      <c r="A515" s="5">
        <v>513</v>
      </c>
      <c r="B515" s="6" t="str">
        <f>"符谷伟"</f>
        <v>符谷伟</v>
      </c>
      <c r="C515" s="6" t="str">
        <f>"230702102626"</f>
        <v>230702102626</v>
      </c>
      <c r="D515" s="5" t="s">
        <v>20</v>
      </c>
      <c r="E515" s="5" t="s">
        <v>9</v>
      </c>
      <c r="F515" s="5">
        <v>14</v>
      </c>
      <c r="G515" s="7"/>
    </row>
    <row r="516" spans="1:7" ht="27.75" customHeight="1">
      <c r="A516" s="5">
        <v>514</v>
      </c>
      <c r="B516" s="6" t="str">
        <f>"苏泽源"</f>
        <v>苏泽源</v>
      </c>
      <c r="C516" s="6" t="str">
        <f>"230702102701"</f>
        <v>230702102701</v>
      </c>
      <c r="D516" s="5" t="s">
        <v>20</v>
      </c>
      <c r="E516" s="5" t="s">
        <v>9</v>
      </c>
      <c r="F516" s="5">
        <v>15</v>
      </c>
      <c r="G516" s="7"/>
    </row>
    <row r="517" spans="1:7" ht="27.75" customHeight="1">
      <c r="A517" s="5">
        <v>515</v>
      </c>
      <c r="B517" s="6" t="str">
        <f>"符教崇"</f>
        <v>符教崇</v>
      </c>
      <c r="C517" s="6" t="str">
        <f>"230702103321"</f>
        <v>230702103321</v>
      </c>
      <c r="D517" s="5" t="s">
        <v>20</v>
      </c>
      <c r="E517" s="5" t="s">
        <v>9</v>
      </c>
      <c r="F517" s="5">
        <v>16</v>
      </c>
      <c r="G517" s="7"/>
    </row>
    <row r="518" spans="1:7" ht="27.75" customHeight="1">
      <c r="A518" s="5">
        <v>516</v>
      </c>
      <c r="B518" s="6" t="str">
        <f>"李道敏"</f>
        <v>李道敏</v>
      </c>
      <c r="C518" s="6" t="str">
        <f>"230702103419"</f>
        <v>230702103419</v>
      </c>
      <c r="D518" s="5" t="s">
        <v>20</v>
      </c>
      <c r="E518" s="5" t="s">
        <v>9</v>
      </c>
      <c r="F518" s="5">
        <v>17</v>
      </c>
      <c r="G518" s="7"/>
    </row>
    <row r="519" spans="1:7" ht="27.75" customHeight="1">
      <c r="A519" s="5">
        <v>517</v>
      </c>
      <c r="B519" s="6" t="str">
        <f>"王烈"</f>
        <v>王烈</v>
      </c>
      <c r="C519" s="6" t="str">
        <f>"230702103514"</f>
        <v>230702103514</v>
      </c>
      <c r="D519" s="5" t="s">
        <v>20</v>
      </c>
      <c r="E519" s="5" t="s">
        <v>9</v>
      </c>
      <c r="F519" s="5">
        <v>18</v>
      </c>
      <c r="G519" s="7"/>
    </row>
    <row r="520" spans="1:7" ht="27.75" customHeight="1">
      <c r="A520" s="5">
        <v>518</v>
      </c>
      <c r="B520" s="6" t="str">
        <f>"符日东"</f>
        <v>符日东</v>
      </c>
      <c r="C520" s="6" t="str">
        <f>"230702100730"</f>
        <v>230702100730</v>
      </c>
      <c r="D520" s="5" t="s">
        <v>20</v>
      </c>
      <c r="E520" s="5" t="s">
        <v>9</v>
      </c>
      <c r="F520" s="5">
        <v>19</v>
      </c>
      <c r="G520" s="7"/>
    </row>
    <row r="521" spans="1:7" ht="27.75" customHeight="1">
      <c r="A521" s="5">
        <v>519</v>
      </c>
      <c r="B521" s="6" t="str">
        <f>"张山霖"</f>
        <v>张山霖</v>
      </c>
      <c r="C521" s="6" t="str">
        <f>"230702100918"</f>
        <v>230702100918</v>
      </c>
      <c r="D521" s="5" t="s">
        <v>20</v>
      </c>
      <c r="E521" s="5" t="s">
        <v>9</v>
      </c>
      <c r="F521" s="5">
        <v>20</v>
      </c>
      <c r="G521" s="7"/>
    </row>
    <row r="522" spans="1:7" ht="27.75" customHeight="1">
      <c r="A522" s="5">
        <v>520</v>
      </c>
      <c r="B522" s="6" t="str">
        <f>"符江"</f>
        <v>符江</v>
      </c>
      <c r="C522" s="6" t="str">
        <f>"230702101207"</f>
        <v>230702101207</v>
      </c>
      <c r="D522" s="5" t="s">
        <v>20</v>
      </c>
      <c r="E522" s="5" t="s">
        <v>9</v>
      </c>
      <c r="F522" s="5">
        <v>21</v>
      </c>
      <c r="G522" s="7"/>
    </row>
    <row r="523" spans="1:7" ht="27.75" customHeight="1">
      <c r="A523" s="5">
        <v>521</v>
      </c>
      <c r="B523" s="6" t="str">
        <f>"韩金伯"</f>
        <v>韩金伯</v>
      </c>
      <c r="C523" s="6" t="str">
        <f>"230702101728"</f>
        <v>230702101728</v>
      </c>
      <c r="D523" s="5" t="s">
        <v>20</v>
      </c>
      <c r="E523" s="5" t="s">
        <v>9</v>
      </c>
      <c r="F523" s="5">
        <v>22</v>
      </c>
      <c r="G523" s="7"/>
    </row>
    <row r="524" spans="1:7" ht="27.75" customHeight="1">
      <c r="A524" s="5">
        <v>522</v>
      </c>
      <c r="B524" s="6" t="str">
        <f>"孙传文"</f>
        <v>孙传文</v>
      </c>
      <c r="C524" s="6" t="str">
        <f>"230702102515"</f>
        <v>230702102515</v>
      </c>
      <c r="D524" s="5" t="s">
        <v>20</v>
      </c>
      <c r="E524" s="5" t="s">
        <v>9</v>
      </c>
      <c r="F524" s="5">
        <v>23</v>
      </c>
      <c r="G524" s="7"/>
    </row>
    <row r="525" spans="1:7" ht="27.75" customHeight="1">
      <c r="A525" s="5">
        <v>523</v>
      </c>
      <c r="B525" s="6" t="str">
        <f>"王上"</f>
        <v>王上</v>
      </c>
      <c r="C525" s="6" t="str">
        <f>"230702102601"</f>
        <v>230702102601</v>
      </c>
      <c r="D525" s="5" t="s">
        <v>20</v>
      </c>
      <c r="E525" s="5" t="s">
        <v>9</v>
      </c>
      <c r="F525" s="5">
        <v>24</v>
      </c>
      <c r="G525" s="7"/>
    </row>
    <row r="526" spans="1:7" ht="27.75" customHeight="1">
      <c r="A526" s="5">
        <v>524</v>
      </c>
      <c r="B526" s="6" t="str">
        <f>"羊坚子"</f>
        <v>羊坚子</v>
      </c>
      <c r="C526" s="6" t="str">
        <f>"230702103019"</f>
        <v>230702103019</v>
      </c>
      <c r="D526" s="5" t="s">
        <v>20</v>
      </c>
      <c r="E526" s="5" t="s">
        <v>9</v>
      </c>
      <c r="F526" s="5">
        <v>25</v>
      </c>
      <c r="G526" s="7"/>
    </row>
    <row r="527" spans="1:7" ht="27.75" customHeight="1">
      <c r="A527" s="5">
        <v>525</v>
      </c>
      <c r="B527" s="6" t="str">
        <f>"符绵亮"</f>
        <v>符绵亮</v>
      </c>
      <c r="C527" s="6" t="str">
        <f>"230702103120"</f>
        <v>230702103120</v>
      </c>
      <c r="D527" s="5" t="s">
        <v>20</v>
      </c>
      <c r="E527" s="5" t="s">
        <v>9</v>
      </c>
      <c r="F527" s="5">
        <v>26</v>
      </c>
      <c r="G527" s="7"/>
    </row>
    <row r="528" spans="1:7" ht="27.75" customHeight="1">
      <c r="A528" s="5">
        <v>526</v>
      </c>
      <c r="B528" s="6" t="str">
        <f>"王辉"</f>
        <v>王辉</v>
      </c>
      <c r="C528" s="6" t="str">
        <f>"230702103427"</f>
        <v>230702103427</v>
      </c>
      <c r="D528" s="5" t="s">
        <v>20</v>
      </c>
      <c r="E528" s="5" t="s">
        <v>9</v>
      </c>
      <c r="F528" s="5">
        <v>27</v>
      </c>
      <c r="G528" s="7"/>
    </row>
    <row r="529" spans="1:7" ht="27.75" customHeight="1">
      <c r="A529" s="5">
        <v>527</v>
      </c>
      <c r="B529" s="6" t="str">
        <f>"高金浩"</f>
        <v>高金浩</v>
      </c>
      <c r="C529" s="6" t="str">
        <f>"230702101410"</f>
        <v>230702101410</v>
      </c>
      <c r="D529" s="5" t="s">
        <v>20</v>
      </c>
      <c r="E529" s="5" t="s">
        <v>9</v>
      </c>
      <c r="F529" s="5">
        <v>28</v>
      </c>
      <c r="G529" s="7"/>
    </row>
    <row r="530" spans="1:7" ht="27.75" customHeight="1">
      <c r="A530" s="5">
        <v>528</v>
      </c>
      <c r="B530" s="6" t="str">
        <f>"吴英盖"</f>
        <v>吴英盖</v>
      </c>
      <c r="C530" s="6" t="str">
        <f>"230702101901"</f>
        <v>230702101901</v>
      </c>
      <c r="D530" s="5" t="s">
        <v>20</v>
      </c>
      <c r="E530" s="5" t="s">
        <v>9</v>
      </c>
      <c r="F530" s="5">
        <v>29</v>
      </c>
      <c r="G530" s="7"/>
    </row>
    <row r="531" spans="1:7" ht="27.75" customHeight="1">
      <c r="A531" s="5">
        <v>529</v>
      </c>
      <c r="B531" s="6" t="str">
        <f>"陆全海"</f>
        <v>陆全海</v>
      </c>
      <c r="C531" s="6" t="str">
        <f>"230702102206"</f>
        <v>230702102206</v>
      </c>
      <c r="D531" s="5" t="s">
        <v>20</v>
      </c>
      <c r="E531" s="5" t="s">
        <v>9</v>
      </c>
      <c r="F531" s="5">
        <v>30</v>
      </c>
      <c r="G531" s="7"/>
    </row>
    <row r="532" spans="1:7" ht="27.75" customHeight="1">
      <c r="A532" s="5">
        <v>530</v>
      </c>
      <c r="B532" s="6" t="str">
        <f>"陈大正"</f>
        <v>陈大正</v>
      </c>
      <c r="C532" s="6" t="str">
        <f>"230702102208"</f>
        <v>230702102208</v>
      </c>
      <c r="D532" s="5" t="s">
        <v>20</v>
      </c>
      <c r="E532" s="5" t="s">
        <v>9</v>
      </c>
      <c r="F532" s="5">
        <v>31</v>
      </c>
      <c r="G532" s="7"/>
    </row>
    <row r="533" spans="1:7" ht="27.75" customHeight="1">
      <c r="A533" s="5">
        <v>531</v>
      </c>
      <c r="B533" s="6" t="str">
        <f>"王健"</f>
        <v>王健</v>
      </c>
      <c r="C533" s="6" t="str">
        <f>"230702102306"</f>
        <v>230702102306</v>
      </c>
      <c r="D533" s="5" t="s">
        <v>20</v>
      </c>
      <c r="E533" s="5" t="s">
        <v>9</v>
      </c>
      <c r="F533" s="5">
        <v>32</v>
      </c>
      <c r="G533" s="7"/>
    </row>
    <row r="534" spans="1:7" ht="27.75" customHeight="1">
      <c r="A534" s="5">
        <v>532</v>
      </c>
      <c r="B534" s="6" t="str">
        <f>"柯友"</f>
        <v>柯友</v>
      </c>
      <c r="C534" s="6" t="str">
        <f>"230702102328"</f>
        <v>230702102328</v>
      </c>
      <c r="D534" s="5" t="s">
        <v>20</v>
      </c>
      <c r="E534" s="5" t="s">
        <v>9</v>
      </c>
      <c r="F534" s="5">
        <v>33</v>
      </c>
      <c r="G534" s="7"/>
    </row>
    <row r="535" spans="1:7" ht="27.75" customHeight="1">
      <c r="A535" s="5">
        <v>533</v>
      </c>
      <c r="B535" s="6" t="str">
        <f>"陈起鹏"</f>
        <v>陈起鹏</v>
      </c>
      <c r="C535" s="6" t="str">
        <f>"230702102603"</f>
        <v>230702102603</v>
      </c>
      <c r="D535" s="5" t="s">
        <v>20</v>
      </c>
      <c r="E535" s="5" t="s">
        <v>9</v>
      </c>
      <c r="F535" s="5">
        <v>34</v>
      </c>
      <c r="G535" s="7"/>
    </row>
    <row r="536" spans="1:7" ht="27.75" customHeight="1">
      <c r="A536" s="5">
        <v>534</v>
      </c>
      <c r="B536" s="6" t="str">
        <f>"邱名仙"</f>
        <v>邱名仙</v>
      </c>
      <c r="C536" s="6" t="str">
        <f>"230702102807"</f>
        <v>230702102807</v>
      </c>
      <c r="D536" s="5" t="s">
        <v>20</v>
      </c>
      <c r="E536" s="5" t="s">
        <v>9</v>
      </c>
      <c r="F536" s="5">
        <v>35</v>
      </c>
      <c r="G536" s="7"/>
    </row>
    <row r="537" spans="1:7" ht="27.75" customHeight="1">
      <c r="A537" s="5">
        <v>535</v>
      </c>
      <c r="B537" s="6" t="str">
        <f>"凌士颖"</f>
        <v>凌士颖</v>
      </c>
      <c r="C537" s="6" t="str">
        <f>"230702103008"</f>
        <v>230702103008</v>
      </c>
      <c r="D537" s="5" t="s">
        <v>20</v>
      </c>
      <c r="E537" s="5" t="s">
        <v>9</v>
      </c>
      <c r="F537" s="5">
        <v>36</v>
      </c>
      <c r="G537" s="7"/>
    </row>
    <row r="538" spans="1:7" ht="27.75" customHeight="1">
      <c r="A538" s="5">
        <v>536</v>
      </c>
      <c r="B538" s="6" t="str">
        <f>"王鹏泳"</f>
        <v>王鹏泳</v>
      </c>
      <c r="C538" s="6" t="str">
        <f>"230702103119"</f>
        <v>230702103119</v>
      </c>
      <c r="D538" s="5" t="s">
        <v>20</v>
      </c>
      <c r="E538" s="5" t="s">
        <v>9</v>
      </c>
      <c r="F538" s="5">
        <v>37</v>
      </c>
      <c r="G538" s="7"/>
    </row>
    <row r="539" spans="1:7" ht="27.75" customHeight="1">
      <c r="A539" s="5">
        <v>537</v>
      </c>
      <c r="B539" s="6" t="str">
        <f>"李善阳"</f>
        <v>李善阳</v>
      </c>
      <c r="C539" s="6" t="str">
        <f>"230702103407"</f>
        <v>230702103407</v>
      </c>
      <c r="D539" s="5" t="s">
        <v>20</v>
      </c>
      <c r="E539" s="5" t="s">
        <v>9</v>
      </c>
      <c r="F539" s="5">
        <v>38</v>
      </c>
      <c r="G539" s="7"/>
    </row>
    <row r="540" spans="1:7" ht="27.75" customHeight="1">
      <c r="A540" s="5">
        <v>538</v>
      </c>
      <c r="B540" s="6" t="str">
        <f>"郭泽凤"</f>
        <v>郭泽凤</v>
      </c>
      <c r="C540" s="6" t="str">
        <f>"230702103511"</f>
        <v>230702103511</v>
      </c>
      <c r="D540" s="5" t="s">
        <v>20</v>
      </c>
      <c r="E540" s="5" t="s">
        <v>9</v>
      </c>
      <c r="F540" s="5">
        <v>39</v>
      </c>
      <c r="G540" s="7"/>
    </row>
    <row r="541" spans="1:7" ht="27.75" customHeight="1">
      <c r="A541" s="5">
        <v>539</v>
      </c>
      <c r="B541" s="6" t="str">
        <f>"吴多炳"</f>
        <v>吴多炳</v>
      </c>
      <c r="C541" s="6" t="str">
        <f>"230702103520"</f>
        <v>230702103520</v>
      </c>
      <c r="D541" s="5" t="s">
        <v>20</v>
      </c>
      <c r="E541" s="5" t="s">
        <v>9</v>
      </c>
      <c r="F541" s="5">
        <v>40</v>
      </c>
      <c r="G541" s="7"/>
    </row>
    <row r="542" spans="1:7" ht="27.75" customHeight="1">
      <c r="A542" s="5">
        <v>540</v>
      </c>
      <c r="B542" s="6" t="str">
        <f>"何崇钰"</f>
        <v>何崇钰</v>
      </c>
      <c r="C542" s="6" t="str">
        <f>"230702100804"</f>
        <v>230702100804</v>
      </c>
      <c r="D542" s="5" t="s">
        <v>20</v>
      </c>
      <c r="E542" s="5" t="s">
        <v>9</v>
      </c>
      <c r="F542" s="5">
        <v>41</v>
      </c>
      <c r="G542" s="7"/>
    </row>
    <row r="543" spans="1:7" ht="27.75" customHeight="1">
      <c r="A543" s="5">
        <v>541</v>
      </c>
      <c r="B543" s="6" t="str">
        <f>"张轩意"</f>
        <v>张轩意</v>
      </c>
      <c r="C543" s="6" t="str">
        <f>"230702100930"</f>
        <v>230702100930</v>
      </c>
      <c r="D543" s="5" t="s">
        <v>20</v>
      </c>
      <c r="E543" s="5" t="s">
        <v>9</v>
      </c>
      <c r="F543" s="5">
        <v>42</v>
      </c>
      <c r="G543" s="7"/>
    </row>
    <row r="544" spans="1:7" ht="27.75" customHeight="1">
      <c r="A544" s="5">
        <v>542</v>
      </c>
      <c r="B544" s="6" t="str">
        <f>"吴廷润"</f>
        <v>吴廷润</v>
      </c>
      <c r="C544" s="6" t="str">
        <f>"230702101018"</f>
        <v>230702101018</v>
      </c>
      <c r="D544" s="5" t="s">
        <v>20</v>
      </c>
      <c r="E544" s="5" t="s">
        <v>9</v>
      </c>
      <c r="F544" s="5">
        <v>43</v>
      </c>
      <c r="G544" s="7"/>
    </row>
    <row r="545" spans="1:7" ht="27.75" customHeight="1">
      <c r="A545" s="5">
        <v>543</v>
      </c>
      <c r="B545" s="6" t="str">
        <f>"邢福顺"</f>
        <v>邢福顺</v>
      </c>
      <c r="C545" s="6" t="str">
        <f>"230702101203"</f>
        <v>230702101203</v>
      </c>
      <c r="D545" s="5" t="s">
        <v>20</v>
      </c>
      <c r="E545" s="5" t="s">
        <v>9</v>
      </c>
      <c r="F545" s="5">
        <v>44</v>
      </c>
      <c r="G545" s="7"/>
    </row>
    <row r="546" spans="1:7" ht="27.75" customHeight="1">
      <c r="A546" s="5">
        <v>544</v>
      </c>
      <c r="B546" s="6" t="str">
        <f>"吴永开"</f>
        <v>吴永开</v>
      </c>
      <c r="C546" s="6" t="str">
        <f>"230702101310"</f>
        <v>230702101310</v>
      </c>
      <c r="D546" s="5" t="s">
        <v>20</v>
      </c>
      <c r="E546" s="5" t="s">
        <v>9</v>
      </c>
      <c r="F546" s="5">
        <v>45</v>
      </c>
      <c r="G546" s="7"/>
    </row>
    <row r="547" spans="1:7" ht="27.75" customHeight="1">
      <c r="A547" s="5">
        <v>545</v>
      </c>
      <c r="B547" s="6" t="str">
        <f>"郭泓强"</f>
        <v>郭泓强</v>
      </c>
      <c r="C547" s="6" t="str">
        <f>"230702101322"</f>
        <v>230702101322</v>
      </c>
      <c r="D547" s="5" t="s">
        <v>20</v>
      </c>
      <c r="E547" s="5" t="s">
        <v>9</v>
      </c>
      <c r="F547" s="5">
        <v>46</v>
      </c>
      <c r="G547" s="7"/>
    </row>
    <row r="548" spans="1:7" ht="27.75" customHeight="1">
      <c r="A548" s="5">
        <v>546</v>
      </c>
      <c r="B548" s="6" t="str">
        <f>"陈建俊"</f>
        <v>陈建俊</v>
      </c>
      <c r="C548" s="6" t="str">
        <f>"230702101517"</f>
        <v>230702101517</v>
      </c>
      <c r="D548" s="5" t="s">
        <v>20</v>
      </c>
      <c r="E548" s="5" t="s">
        <v>9</v>
      </c>
      <c r="F548" s="5">
        <v>47</v>
      </c>
      <c r="G548" s="7"/>
    </row>
    <row r="549" spans="1:7" ht="27.75" customHeight="1">
      <c r="A549" s="5">
        <v>547</v>
      </c>
      <c r="B549" s="6" t="str">
        <f>"李实谋"</f>
        <v>李实谋</v>
      </c>
      <c r="C549" s="6" t="str">
        <f>"230702101711"</f>
        <v>230702101711</v>
      </c>
      <c r="D549" s="5" t="s">
        <v>20</v>
      </c>
      <c r="E549" s="5" t="s">
        <v>9</v>
      </c>
      <c r="F549" s="5">
        <v>48</v>
      </c>
      <c r="G549" s="7"/>
    </row>
    <row r="550" spans="1:7" ht="27.75" customHeight="1">
      <c r="A550" s="5">
        <v>548</v>
      </c>
      <c r="B550" s="6" t="str">
        <f>"林汉全"</f>
        <v>林汉全</v>
      </c>
      <c r="C550" s="6" t="str">
        <f>"230702102003"</f>
        <v>230702102003</v>
      </c>
      <c r="D550" s="5" t="s">
        <v>20</v>
      </c>
      <c r="E550" s="5" t="s">
        <v>9</v>
      </c>
      <c r="F550" s="5">
        <v>49</v>
      </c>
      <c r="G550" s="7"/>
    </row>
    <row r="551" spans="1:7" ht="27.75" customHeight="1">
      <c r="A551" s="5">
        <v>549</v>
      </c>
      <c r="B551" s="6" t="str">
        <f>"王健积"</f>
        <v>王健积</v>
      </c>
      <c r="C551" s="6" t="str">
        <f>"230702102222"</f>
        <v>230702102222</v>
      </c>
      <c r="D551" s="5" t="s">
        <v>20</v>
      </c>
      <c r="E551" s="5" t="s">
        <v>9</v>
      </c>
      <c r="F551" s="5">
        <v>50</v>
      </c>
      <c r="G551" s="7"/>
    </row>
    <row r="552" spans="1:7" ht="27.75" customHeight="1">
      <c r="A552" s="5">
        <v>550</v>
      </c>
      <c r="B552" s="6" t="str">
        <f>"黄富河"</f>
        <v>黄富河</v>
      </c>
      <c r="C552" s="6" t="str">
        <f>"230702102416"</f>
        <v>230702102416</v>
      </c>
      <c r="D552" s="5" t="s">
        <v>20</v>
      </c>
      <c r="E552" s="5" t="s">
        <v>9</v>
      </c>
      <c r="F552" s="5">
        <v>51</v>
      </c>
      <c r="G552" s="7"/>
    </row>
    <row r="553" spans="1:7" ht="27.75" customHeight="1">
      <c r="A553" s="5">
        <v>551</v>
      </c>
      <c r="B553" s="6" t="str">
        <f>"符桐华"</f>
        <v>符桐华</v>
      </c>
      <c r="C553" s="6" t="str">
        <f>"230702102430"</f>
        <v>230702102430</v>
      </c>
      <c r="D553" s="5" t="s">
        <v>20</v>
      </c>
      <c r="E553" s="5" t="s">
        <v>9</v>
      </c>
      <c r="F553" s="5">
        <v>52</v>
      </c>
      <c r="G553" s="7"/>
    </row>
    <row r="554" spans="1:7" ht="27.75" customHeight="1">
      <c r="A554" s="5">
        <v>552</v>
      </c>
      <c r="B554" s="6" t="str">
        <f>"杨德美"</f>
        <v>杨德美</v>
      </c>
      <c r="C554" s="6" t="str">
        <f>"230702102506"</f>
        <v>230702102506</v>
      </c>
      <c r="D554" s="5" t="s">
        <v>20</v>
      </c>
      <c r="E554" s="5" t="s">
        <v>9</v>
      </c>
      <c r="F554" s="5">
        <v>53</v>
      </c>
      <c r="G554" s="7"/>
    </row>
    <row r="555" spans="1:7" ht="27.75" customHeight="1">
      <c r="A555" s="5">
        <v>553</v>
      </c>
      <c r="B555" s="6" t="str">
        <f>"吴维朝"</f>
        <v>吴维朝</v>
      </c>
      <c r="C555" s="6" t="str">
        <f>"230702102522"</f>
        <v>230702102522</v>
      </c>
      <c r="D555" s="5" t="s">
        <v>20</v>
      </c>
      <c r="E555" s="5" t="s">
        <v>9</v>
      </c>
      <c r="F555" s="5">
        <v>54</v>
      </c>
      <c r="G555" s="7"/>
    </row>
    <row r="556" spans="1:7" ht="27.75" customHeight="1">
      <c r="A556" s="5">
        <v>554</v>
      </c>
      <c r="B556" s="6" t="str">
        <f>"王吉成"</f>
        <v>王吉成</v>
      </c>
      <c r="C556" s="6" t="str">
        <f>"230702102726"</f>
        <v>230702102726</v>
      </c>
      <c r="D556" s="5" t="s">
        <v>20</v>
      </c>
      <c r="E556" s="5" t="s">
        <v>9</v>
      </c>
      <c r="F556" s="5">
        <v>55</v>
      </c>
      <c r="G556" s="7"/>
    </row>
    <row r="557" spans="1:7" ht="27.75" customHeight="1">
      <c r="A557" s="5">
        <v>555</v>
      </c>
      <c r="B557" s="6" t="str">
        <f>"黄亭钧"</f>
        <v>黄亭钧</v>
      </c>
      <c r="C557" s="6" t="str">
        <f>"230702102914"</f>
        <v>230702102914</v>
      </c>
      <c r="D557" s="5" t="s">
        <v>20</v>
      </c>
      <c r="E557" s="5" t="s">
        <v>10</v>
      </c>
      <c r="F557" s="5">
        <v>56</v>
      </c>
      <c r="G557" s="7"/>
    </row>
    <row r="558" spans="1:7" ht="27.75" customHeight="1">
      <c r="A558" s="5">
        <v>556</v>
      </c>
      <c r="B558" s="6" t="str">
        <f>"符光敏"</f>
        <v>符光敏</v>
      </c>
      <c r="C558" s="6" t="str">
        <f>"230702103322"</f>
        <v>230702103322</v>
      </c>
      <c r="D558" s="5" t="s">
        <v>20</v>
      </c>
      <c r="E558" s="5" t="s">
        <v>10</v>
      </c>
      <c r="F558" s="5">
        <v>57</v>
      </c>
      <c r="G558" s="7"/>
    </row>
    <row r="559" spans="1:7" ht="27.75" customHeight="1">
      <c r="A559" s="5">
        <v>557</v>
      </c>
      <c r="B559" s="6" t="str">
        <f>"刘鲲翔"</f>
        <v>刘鲲翔</v>
      </c>
      <c r="C559" s="6" t="str">
        <f>"230702100813"</f>
        <v>230702100813</v>
      </c>
      <c r="D559" s="5" t="s">
        <v>20</v>
      </c>
      <c r="E559" s="5" t="s">
        <v>10</v>
      </c>
      <c r="F559" s="5">
        <v>58</v>
      </c>
      <c r="G559" s="7"/>
    </row>
    <row r="560" spans="1:7" ht="27.75" customHeight="1">
      <c r="A560" s="5">
        <v>558</v>
      </c>
      <c r="B560" s="6" t="str">
        <f>"俞宏颖"</f>
        <v>俞宏颖</v>
      </c>
      <c r="C560" s="6" t="str">
        <f>"230702100822"</f>
        <v>230702100822</v>
      </c>
      <c r="D560" s="5" t="s">
        <v>20</v>
      </c>
      <c r="E560" s="5" t="s">
        <v>10</v>
      </c>
      <c r="F560" s="5">
        <v>59</v>
      </c>
      <c r="G560" s="7"/>
    </row>
    <row r="561" spans="1:7" ht="27.75" customHeight="1">
      <c r="A561" s="5">
        <v>559</v>
      </c>
      <c r="B561" s="6" t="str">
        <f>"张智逸"</f>
        <v>张智逸</v>
      </c>
      <c r="C561" s="6" t="str">
        <f>"230702101420"</f>
        <v>230702101420</v>
      </c>
      <c r="D561" s="5" t="s">
        <v>20</v>
      </c>
      <c r="E561" s="5" t="s">
        <v>10</v>
      </c>
      <c r="F561" s="5">
        <v>60</v>
      </c>
      <c r="G561" s="7"/>
    </row>
    <row r="562" spans="1:7" ht="27.75" customHeight="1">
      <c r="A562" s="5">
        <v>560</v>
      </c>
      <c r="B562" s="6" t="str">
        <f>"韦道威"</f>
        <v>韦道威</v>
      </c>
      <c r="C562" s="6" t="str">
        <f>"230702101723"</f>
        <v>230702101723</v>
      </c>
      <c r="D562" s="5" t="s">
        <v>20</v>
      </c>
      <c r="E562" s="5" t="s">
        <v>10</v>
      </c>
      <c r="F562" s="5">
        <v>61</v>
      </c>
      <c r="G562" s="7"/>
    </row>
    <row r="563" spans="1:7" ht="27.75" customHeight="1">
      <c r="A563" s="5">
        <v>561</v>
      </c>
      <c r="B563" s="6" t="str">
        <f>"蔡义"</f>
        <v>蔡义</v>
      </c>
      <c r="C563" s="6" t="str">
        <f>"230702101908"</f>
        <v>230702101908</v>
      </c>
      <c r="D563" s="5" t="s">
        <v>20</v>
      </c>
      <c r="E563" s="5" t="s">
        <v>10</v>
      </c>
      <c r="F563" s="5">
        <v>62</v>
      </c>
      <c r="G563" s="7"/>
    </row>
    <row r="564" spans="1:7" ht="27.75" customHeight="1">
      <c r="A564" s="5">
        <v>562</v>
      </c>
      <c r="B564" s="6" t="str">
        <f>"杨浩"</f>
        <v>杨浩</v>
      </c>
      <c r="C564" s="6" t="str">
        <f>"230702102117"</f>
        <v>230702102117</v>
      </c>
      <c r="D564" s="5" t="s">
        <v>20</v>
      </c>
      <c r="E564" s="5" t="s">
        <v>10</v>
      </c>
      <c r="F564" s="5">
        <v>63</v>
      </c>
      <c r="G564" s="7"/>
    </row>
    <row r="565" spans="1:7" ht="27.75" customHeight="1">
      <c r="A565" s="5">
        <v>563</v>
      </c>
      <c r="B565" s="6" t="str">
        <f>"颜区广"</f>
        <v>颜区广</v>
      </c>
      <c r="C565" s="6" t="str">
        <f>"230702102803"</f>
        <v>230702102803</v>
      </c>
      <c r="D565" s="5" t="s">
        <v>20</v>
      </c>
      <c r="E565" s="5" t="s">
        <v>10</v>
      </c>
      <c r="F565" s="5">
        <v>64</v>
      </c>
      <c r="G565" s="7"/>
    </row>
    <row r="566" spans="1:7" ht="27.75" customHeight="1">
      <c r="A566" s="5">
        <v>564</v>
      </c>
      <c r="B566" s="6" t="str">
        <f>"周廷智"</f>
        <v>周廷智</v>
      </c>
      <c r="C566" s="6" t="str">
        <f>"230702103002"</f>
        <v>230702103002</v>
      </c>
      <c r="D566" s="5" t="s">
        <v>20</v>
      </c>
      <c r="E566" s="5" t="s">
        <v>10</v>
      </c>
      <c r="F566" s="5">
        <v>65</v>
      </c>
      <c r="G566" s="7"/>
    </row>
    <row r="567" spans="1:7" ht="27.75" customHeight="1">
      <c r="A567" s="5">
        <v>565</v>
      </c>
      <c r="B567" s="6" t="str">
        <f>"钟一帆"</f>
        <v>钟一帆</v>
      </c>
      <c r="C567" s="6" t="str">
        <f>"230702103004"</f>
        <v>230702103004</v>
      </c>
      <c r="D567" s="5" t="s">
        <v>20</v>
      </c>
      <c r="E567" s="5" t="s">
        <v>10</v>
      </c>
      <c r="F567" s="5">
        <v>66</v>
      </c>
      <c r="G567" s="7"/>
    </row>
    <row r="568" spans="1:7" ht="27.75" customHeight="1">
      <c r="A568" s="5">
        <v>566</v>
      </c>
      <c r="B568" s="6" t="str">
        <f>"蒙绪江"</f>
        <v>蒙绪江</v>
      </c>
      <c r="C568" s="6" t="str">
        <f>"230702103329"</f>
        <v>230702103329</v>
      </c>
      <c r="D568" s="5" t="s">
        <v>20</v>
      </c>
      <c r="E568" s="5" t="s">
        <v>10</v>
      </c>
      <c r="F568" s="5">
        <v>67</v>
      </c>
      <c r="G568" s="7"/>
    </row>
    <row r="569" spans="1:7" ht="27.75" customHeight="1">
      <c r="A569" s="5">
        <v>567</v>
      </c>
      <c r="B569" s="6" t="str">
        <f>"符秤雅"</f>
        <v>符秤雅</v>
      </c>
      <c r="C569" s="6" t="str">
        <f>"230702103518"</f>
        <v>230702103518</v>
      </c>
      <c r="D569" s="5" t="s">
        <v>20</v>
      </c>
      <c r="E569" s="5" t="s">
        <v>10</v>
      </c>
      <c r="F569" s="5">
        <v>68</v>
      </c>
      <c r="G569" s="7"/>
    </row>
    <row r="570" spans="1:7" ht="27.75" customHeight="1">
      <c r="A570" s="5">
        <v>568</v>
      </c>
      <c r="B570" s="6" t="str">
        <f>"汤飞龙"</f>
        <v>汤飞龙</v>
      </c>
      <c r="C570" s="6" t="str">
        <f>"230702103525"</f>
        <v>230702103525</v>
      </c>
      <c r="D570" s="5" t="s">
        <v>20</v>
      </c>
      <c r="E570" s="5" t="s">
        <v>10</v>
      </c>
      <c r="F570" s="5">
        <v>69</v>
      </c>
      <c r="G570" s="7"/>
    </row>
    <row r="571" spans="1:7" ht="27.75" customHeight="1">
      <c r="A571" s="5">
        <v>569</v>
      </c>
      <c r="B571" s="6" t="str">
        <f>"王圣熙"</f>
        <v>王圣熙</v>
      </c>
      <c r="C571" s="6" t="str">
        <f>"230702101601"</f>
        <v>230702101601</v>
      </c>
      <c r="D571" s="5" t="s">
        <v>20</v>
      </c>
      <c r="E571" s="5" t="s">
        <v>10</v>
      </c>
      <c r="F571" s="5">
        <v>70</v>
      </c>
      <c r="G571" s="7"/>
    </row>
    <row r="572" spans="1:7" ht="27.75" customHeight="1">
      <c r="A572" s="5">
        <v>570</v>
      </c>
      <c r="B572" s="6" t="str">
        <f>"杜才秀"</f>
        <v>杜才秀</v>
      </c>
      <c r="C572" s="6" t="str">
        <f>"230702101608"</f>
        <v>230702101608</v>
      </c>
      <c r="D572" s="5" t="s">
        <v>20</v>
      </c>
      <c r="E572" s="5" t="s">
        <v>10</v>
      </c>
      <c r="F572" s="5">
        <v>71</v>
      </c>
      <c r="G572" s="7"/>
    </row>
    <row r="573" spans="1:7" ht="27.75" customHeight="1">
      <c r="A573" s="5">
        <v>571</v>
      </c>
      <c r="B573" s="6" t="str">
        <f>"曾宇皓"</f>
        <v>曾宇皓</v>
      </c>
      <c r="C573" s="6" t="str">
        <f>"230702101806"</f>
        <v>230702101806</v>
      </c>
      <c r="D573" s="5" t="s">
        <v>20</v>
      </c>
      <c r="E573" s="5" t="s">
        <v>10</v>
      </c>
      <c r="F573" s="5">
        <v>72</v>
      </c>
      <c r="G573" s="7"/>
    </row>
    <row r="574" spans="1:7" ht="27.75" customHeight="1">
      <c r="A574" s="5">
        <v>572</v>
      </c>
      <c r="B574" s="6" t="str">
        <f>"欧先茂"</f>
        <v>欧先茂</v>
      </c>
      <c r="C574" s="6" t="str">
        <f>"230702102114"</f>
        <v>230702102114</v>
      </c>
      <c r="D574" s="5" t="s">
        <v>20</v>
      </c>
      <c r="E574" s="5" t="s">
        <v>10</v>
      </c>
      <c r="F574" s="5">
        <v>73</v>
      </c>
      <c r="G574" s="7"/>
    </row>
    <row r="575" spans="1:7" ht="27.75" customHeight="1">
      <c r="A575" s="5">
        <v>573</v>
      </c>
      <c r="B575" s="6" t="str">
        <f>"曾维衍"</f>
        <v>曾维衍</v>
      </c>
      <c r="C575" s="6" t="str">
        <f>"230702102209"</f>
        <v>230702102209</v>
      </c>
      <c r="D575" s="5" t="s">
        <v>20</v>
      </c>
      <c r="E575" s="5" t="s">
        <v>10</v>
      </c>
      <c r="F575" s="5">
        <v>74</v>
      </c>
      <c r="G575" s="7"/>
    </row>
    <row r="576" spans="1:7" ht="27.75" customHeight="1">
      <c r="A576" s="5">
        <v>574</v>
      </c>
      <c r="B576" s="6" t="str">
        <f>"林志纬"</f>
        <v>林志纬</v>
      </c>
      <c r="C576" s="6" t="str">
        <f>"230702102418"</f>
        <v>230702102418</v>
      </c>
      <c r="D576" s="5" t="s">
        <v>20</v>
      </c>
      <c r="E576" s="5" t="s">
        <v>10</v>
      </c>
      <c r="F576" s="5">
        <v>75</v>
      </c>
      <c r="G576" s="7"/>
    </row>
    <row r="577" spans="1:7" ht="27.75" customHeight="1">
      <c r="A577" s="5">
        <v>575</v>
      </c>
      <c r="B577" s="6" t="str">
        <f>"赵开邦"</f>
        <v>赵开邦</v>
      </c>
      <c r="C577" s="6" t="str">
        <f>"230702102428"</f>
        <v>230702102428</v>
      </c>
      <c r="D577" s="5" t="s">
        <v>20</v>
      </c>
      <c r="E577" s="5" t="s">
        <v>10</v>
      </c>
      <c r="F577" s="5">
        <v>76</v>
      </c>
      <c r="G577" s="7"/>
    </row>
    <row r="578" spans="1:7" ht="27.75" customHeight="1">
      <c r="A578" s="5">
        <v>576</v>
      </c>
      <c r="B578" s="6" t="str">
        <f>"符珈境"</f>
        <v>符珈境</v>
      </c>
      <c r="C578" s="6" t="str">
        <f>"230702102530"</f>
        <v>230702102530</v>
      </c>
      <c r="D578" s="5" t="s">
        <v>20</v>
      </c>
      <c r="E578" s="5" t="s">
        <v>10</v>
      </c>
      <c r="F578" s="5">
        <v>77</v>
      </c>
      <c r="G578" s="7"/>
    </row>
    <row r="579" spans="1:7" ht="27.75" customHeight="1">
      <c r="A579" s="5">
        <v>577</v>
      </c>
      <c r="B579" s="6" t="str">
        <f>"李晨曦"</f>
        <v>李晨曦</v>
      </c>
      <c r="C579" s="6" t="str">
        <f>"230702103025"</f>
        <v>230702103025</v>
      </c>
      <c r="D579" s="5" t="s">
        <v>20</v>
      </c>
      <c r="E579" s="5" t="s">
        <v>10</v>
      </c>
      <c r="F579" s="5">
        <v>78</v>
      </c>
      <c r="G579" s="7"/>
    </row>
    <row r="580" spans="1:7" ht="27.75" customHeight="1">
      <c r="A580" s="5">
        <v>578</v>
      </c>
      <c r="B580" s="6" t="str">
        <f>"王邦权"</f>
        <v>王邦权</v>
      </c>
      <c r="C580" s="6" t="str">
        <f>"230702103429"</f>
        <v>230702103429</v>
      </c>
      <c r="D580" s="5" t="s">
        <v>20</v>
      </c>
      <c r="E580" s="5" t="s">
        <v>10</v>
      </c>
      <c r="F580" s="5">
        <v>79</v>
      </c>
      <c r="G580" s="7"/>
    </row>
    <row r="581" spans="1:7" ht="27.75" customHeight="1">
      <c r="A581" s="5">
        <v>579</v>
      </c>
      <c r="B581" s="6" t="str">
        <f>"王行凯"</f>
        <v>王行凯</v>
      </c>
      <c r="C581" s="6" t="str">
        <f>"230702103527"</f>
        <v>230702103527</v>
      </c>
      <c r="D581" s="5" t="s">
        <v>20</v>
      </c>
      <c r="E581" s="5" t="s">
        <v>10</v>
      </c>
      <c r="F581" s="5">
        <v>80</v>
      </c>
      <c r="G581" s="7"/>
    </row>
    <row r="582" spans="1:7" ht="27.75" customHeight="1">
      <c r="A582" s="5">
        <v>580</v>
      </c>
      <c r="B582" s="6" t="str">
        <f>"苏智"</f>
        <v>苏智</v>
      </c>
      <c r="C582" s="6" t="str">
        <f>"230702100721"</f>
        <v>230702100721</v>
      </c>
      <c r="D582" s="5" t="s">
        <v>20</v>
      </c>
      <c r="E582" s="5" t="s">
        <v>10</v>
      </c>
      <c r="F582" s="5">
        <v>81</v>
      </c>
      <c r="G582" s="7"/>
    </row>
    <row r="583" spans="1:7" ht="27.75" customHeight="1">
      <c r="A583" s="5">
        <v>581</v>
      </c>
      <c r="B583" s="6" t="str">
        <f>"郭林煌"</f>
        <v>郭林煌</v>
      </c>
      <c r="C583" s="6" t="str">
        <f>"230702100821"</f>
        <v>230702100821</v>
      </c>
      <c r="D583" s="5" t="s">
        <v>20</v>
      </c>
      <c r="E583" s="5" t="s">
        <v>10</v>
      </c>
      <c r="F583" s="5">
        <v>82</v>
      </c>
      <c r="G583" s="7"/>
    </row>
    <row r="584" spans="1:7" ht="27.75" customHeight="1">
      <c r="A584" s="5">
        <v>582</v>
      </c>
      <c r="B584" s="6" t="str">
        <f>"符传帅"</f>
        <v>符传帅</v>
      </c>
      <c r="C584" s="6" t="str">
        <f>"230702100902"</f>
        <v>230702100902</v>
      </c>
      <c r="D584" s="5" t="s">
        <v>20</v>
      </c>
      <c r="E584" s="5" t="s">
        <v>10</v>
      </c>
      <c r="F584" s="5">
        <v>83</v>
      </c>
      <c r="G584" s="7"/>
    </row>
    <row r="585" spans="1:7" ht="27.75" customHeight="1">
      <c r="A585" s="5">
        <v>583</v>
      </c>
      <c r="B585" s="6" t="str">
        <f>"韦其晏"</f>
        <v>韦其晏</v>
      </c>
      <c r="C585" s="6" t="str">
        <f>"230702100917"</f>
        <v>230702100917</v>
      </c>
      <c r="D585" s="5" t="s">
        <v>20</v>
      </c>
      <c r="E585" s="5" t="s">
        <v>10</v>
      </c>
      <c r="F585" s="5">
        <v>84</v>
      </c>
      <c r="G585" s="7"/>
    </row>
    <row r="586" spans="1:7" ht="27.75" customHeight="1">
      <c r="A586" s="5">
        <v>584</v>
      </c>
      <c r="B586" s="6" t="str">
        <f>"杨一山"</f>
        <v>杨一山</v>
      </c>
      <c r="C586" s="6" t="str">
        <f>"230702101105"</f>
        <v>230702101105</v>
      </c>
      <c r="D586" s="5" t="s">
        <v>20</v>
      </c>
      <c r="E586" s="5" t="s">
        <v>10</v>
      </c>
      <c r="F586" s="5">
        <v>85</v>
      </c>
      <c r="G586" s="7"/>
    </row>
    <row r="587" spans="1:7" ht="27.75" customHeight="1">
      <c r="A587" s="5">
        <v>585</v>
      </c>
      <c r="B587" s="6" t="str">
        <f>"王雷"</f>
        <v>王雷</v>
      </c>
      <c r="C587" s="6" t="str">
        <f>"230702101127"</f>
        <v>230702101127</v>
      </c>
      <c r="D587" s="5" t="s">
        <v>20</v>
      </c>
      <c r="E587" s="5" t="s">
        <v>10</v>
      </c>
      <c r="F587" s="5">
        <v>86</v>
      </c>
      <c r="G587" s="7"/>
    </row>
    <row r="588" spans="1:7" ht="27.75" customHeight="1">
      <c r="A588" s="5">
        <v>586</v>
      </c>
      <c r="B588" s="6" t="str">
        <f>"符光通"</f>
        <v>符光通</v>
      </c>
      <c r="C588" s="6" t="str">
        <f>"230702101222"</f>
        <v>230702101222</v>
      </c>
      <c r="D588" s="5" t="s">
        <v>20</v>
      </c>
      <c r="E588" s="5" t="s">
        <v>10</v>
      </c>
      <c r="F588" s="5">
        <v>87</v>
      </c>
      <c r="G588" s="7"/>
    </row>
    <row r="589" spans="1:7" ht="27.75" customHeight="1">
      <c r="A589" s="5">
        <v>587</v>
      </c>
      <c r="B589" s="6" t="str">
        <f>"庄多洽"</f>
        <v>庄多洽</v>
      </c>
      <c r="C589" s="6" t="str">
        <f>"230702101511"</f>
        <v>230702101511</v>
      </c>
      <c r="D589" s="5" t="s">
        <v>20</v>
      </c>
      <c r="E589" s="5" t="s">
        <v>10</v>
      </c>
      <c r="F589" s="5">
        <v>88</v>
      </c>
      <c r="G589" s="7"/>
    </row>
    <row r="590" spans="1:7" ht="27.75" customHeight="1">
      <c r="A590" s="5">
        <v>588</v>
      </c>
      <c r="B590" s="6" t="str">
        <f>"王榆凯"</f>
        <v>王榆凯</v>
      </c>
      <c r="C590" s="6" t="str">
        <f>"230702101529"</f>
        <v>230702101529</v>
      </c>
      <c r="D590" s="5" t="s">
        <v>20</v>
      </c>
      <c r="E590" s="5" t="s">
        <v>10</v>
      </c>
      <c r="F590" s="5">
        <v>89</v>
      </c>
      <c r="G590" s="7"/>
    </row>
    <row r="591" spans="1:7" ht="27.75" customHeight="1">
      <c r="A591" s="5">
        <v>589</v>
      </c>
      <c r="B591" s="6" t="str">
        <f>"符铭强"</f>
        <v>符铭强</v>
      </c>
      <c r="C591" s="6" t="str">
        <f>"230702102123"</f>
        <v>230702102123</v>
      </c>
      <c r="D591" s="5" t="s">
        <v>20</v>
      </c>
      <c r="E591" s="5" t="s">
        <v>10</v>
      </c>
      <c r="F591" s="5">
        <v>90</v>
      </c>
      <c r="G591" s="7"/>
    </row>
    <row r="592" spans="1:7" ht="27.75" customHeight="1">
      <c r="A592" s="5">
        <v>590</v>
      </c>
      <c r="B592" s="6" t="str">
        <f>"王槐政"</f>
        <v>王槐政</v>
      </c>
      <c r="C592" s="6" t="str">
        <f>"230702102327"</f>
        <v>230702102327</v>
      </c>
      <c r="D592" s="5" t="s">
        <v>20</v>
      </c>
      <c r="E592" s="5" t="s">
        <v>10</v>
      </c>
      <c r="F592" s="5">
        <v>91</v>
      </c>
      <c r="G592" s="7"/>
    </row>
    <row r="593" spans="1:7" ht="27.75" customHeight="1">
      <c r="A593" s="5">
        <v>591</v>
      </c>
      <c r="B593" s="6" t="str">
        <f>"陈星光"</f>
        <v>陈星光</v>
      </c>
      <c r="C593" s="6" t="str">
        <f>"230702102526"</f>
        <v>230702102526</v>
      </c>
      <c r="D593" s="5" t="s">
        <v>20</v>
      </c>
      <c r="E593" s="5" t="s">
        <v>10</v>
      </c>
      <c r="F593" s="5">
        <v>92</v>
      </c>
      <c r="G593" s="7"/>
    </row>
    <row r="594" spans="1:7" ht="27.75" customHeight="1">
      <c r="A594" s="5">
        <v>592</v>
      </c>
      <c r="B594" s="6" t="str">
        <f>"黄新文"</f>
        <v>黄新文</v>
      </c>
      <c r="C594" s="6" t="str">
        <f>"230702102825"</f>
        <v>230702102825</v>
      </c>
      <c r="D594" s="5" t="s">
        <v>20</v>
      </c>
      <c r="E594" s="5" t="s">
        <v>10</v>
      </c>
      <c r="F594" s="5">
        <v>93</v>
      </c>
      <c r="G594" s="7"/>
    </row>
    <row r="595" spans="1:7" ht="27.75" customHeight="1">
      <c r="A595" s="5">
        <v>593</v>
      </c>
      <c r="B595" s="6" t="str">
        <f>"洪威"</f>
        <v>洪威</v>
      </c>
      <c r="C595" s="6" t="str">
        <f>"230702103406"</f>
        <v>230702103406</v>
      </c>
      <c r="D595" s="5" t="s">
        <v>20</v>
      </c>
      <c r="E595" s="5" t="s">
        <v>10</v>
      </c>
      <c r="F595" s="5">
        <v>94</v>
      </c>
      <c r="G595" s="7"/>
    </row>
    <row r="596" spans="1:7" ht="27.75" customHeight="1">
      <c r="A596" s="5">
        <v>594</v>
      </c>
      <c r="B596" s="6" t="str">
        <f>"丁海照"</f>
        <v>丁海照</v>
      </c>
      <c r="C596" s="6" t="str">
        <f>"230702103411"</f>
        <v>230702103411</v>
      </c>
      <c r="D596" s="5" t="s">
        <v>20</v>
      </c>
      <c r="E596" s="5" t="s">
        <v>10</v>
      </c>
      <c r="F596" s="5">
        <v>95</v>
      </c>
      <c r="G596" s="7"/>
    </row>
    <row r="597" spans="1:7" ht="27.75" customHeight="1">
      <c r="A597" s="5">
        <v>595</v>
      </c>
      <c r="B597" s="6" t="str">
        <f>"林松"</f>
        <v>林松</v>
      </c>
      <c r="C597" s="6" t="str">
        <f>"230702103421"</f>
        <v>230702103421</v>
      </c>
      <c r="D597" s="5" t="s">
        <v>20</v>
      </c>
      <c r="E597" s="5" t="s">
        <v>10</v>
      </c>
      <c r="F597" s="5">
        <v>96</v>
      </c>
      <c r="G597" s="7"/>
    </row>
    <row r="598" spans="1:7" ht="27.75" customHeight="1">
      <c r="A598" s="5">
        <v>596</v>
      </c>
      <c r="B598" s="6" t="str">
        <f>"李宁"</f>
        <v>李宁</v>
      </c>
      <c r="C598" s="6" t="str">
        <f>"230702101001"</f>
        <v>230702101001</v>
      </c>
      <c r="D598" s="5" t="s">
        <v>20</v>
      </c>
      <c r="E598" s="5" t="s">
        <v>10</v>
      </c>
      <c r="F598" s="5">
        <v>97</v>
      </c>
      <c r="G598" s="7"/>
    </row>
    <row r="599" spans="1:7" ht="27.75" customHeight="1">
      <c r="A599" s="5">
        <v>597</v>
      </c>
      <c r="B599" s="6" t="str">
        <f>"吴文涛"</f>
        <v>吴文涛</v>
      </c>
      <c r="C599" s="6" t="str">
        <f>"230702101007"</f>
        <v>230702101007</v>
      </c>
      <c r="D599" s="5" t="s">
        <v>20</v>
      </c>
      <c r="E599" s="5" t="s">
        <v>10</v>
      </c>
      <c r="F599" s="5">
        <v>98</v>
      </c>
      <c r="G599" s="7"/>
    </row>
    <row r="600" spans="1:7" ht="27.75" customHeight="1">
      <c r="A600" s="5">
        <v>598</v>
      </c>
      <c r="B600" s="6" t="str">
        <f>"王开成"</f>
        <v>王开成</v>
      </c>
      <c r="C600" s="6" t="str">
        <f>"230702101311"</f>
        <v>230702101311</v>
      </c>
      <c r="D600" s="5" t="s">
        <v>20</v>
      </c>
      <c r="E600" s="5" t="s">
        <v>10</v>
      </c>
      <c r="F600" s="5">
        <v>99</v>
      </c>
      <c r="G600" s="7"/>
    </row>
    <row r="601" spans="1:7" ht="27.75" customHeight="1">
      <c r="A601" s="5">
        <v>599</v>
      </c>
      <c r="B601" s="6" t="str">
        <f>"赵康"</f>
        <v>赵康</v>
      </c>
      <c r="C601" s="6" t="str">
        <f>"230702101317"</f>
        <v>230702101317</v>
      </c>
      <c r="D601" s="5" t="s">
        <v>20</v>
      </c>
      <c r="E601" s="5" t="s">
        <v>10</v>
      </c>
      <c r="F601" s="5">
        <v>100</v>
      </c>
      <c r="G601" s="7"/>
    </row>
    <row r="602" spans="1:7" ht="27.75" customHeight="1">
      <c r="A602" s="5">
        <v>600</v>
      </c>
      <c r="B602" s="6" t="str">
        <f>"蔡亲东"</f>
        <v>蔡亲东</v>
      </c>
      <c r="C602" s="6" t="str">
        <f>"230702101328"</f>
        <v>230702101328</v>
      </c>
      <c r="D602" s="5" t="s">
        <v>20</v>
      </c>
      <c r="E602" s="5" t="s">
        <v>10</v>
      </c>
      <c r="F602" s="5">
        <v>101</v>
      </c>
      <c r="G602" s="7"/>
    </row>
    <row r="603" spans="1:7" ht="27.75" customHeight="1">
      <c r="A603" s="5">
        <v>601</v>
      </c>
      <c r="B603" s="6" t="str">
        <f>"陈学毅"</f>
        <v>陈学毅</v>
      </c>
      <c r="C603" s="6" t="str">
        <f>"230702101330"</f>
        <v>230702101330</v>
      </c>
      <c r="D603" s="5" t="s">
        <v>20</v>
      </c>
      <c r="E603" s="5" t="s">
        <v>10</v>
      </c>
      <c r="F603" s="5">
        <v>102</v>
      </c>
      <c r="G603" s="7"/>
    </row>
    <row r="604" spans="1:7" ht="27.75" customHeight="1">
      <c r="A604" s="5">
        <v>602</v>
      </c>
      <c r="B604" s="6" t="str">
        <f>"李厚宝"</f>
        <v>李厚宝</v>
      </c>
      <c r="C604" s="6" t="str">
        <f>"230702101402"</f>
        <v>230702101402</v>
      </c>
      <c r="D604" s="5" t="s">
        <v>20</v>
      </c>
      <c r="E604" s="5" t="s">
        <v>10</v>
      </c>
      <c r="F604" s="5">
        <v>103</v>
      </c>
      <c r="G604" s="7"/>
    </row>
    <row r="605" spans="1:7" ht="27.75" customHeight="1">
      <c r="A605" s="5">
        <v>603</v>
      </c>
      <c r="B605" s="6" t="str">
        <f>"郭德强"</f>
        <v>郭德强</v>
      </c>
      <c r="C605" s="6" t="str">
        <f>"230702101715"</f>
        <v>230702101715</v>
      </c>
      <c r="D605" s="5" t="s">
        <v>20</v>
      </c>
      <c r="E605" s="5" t="s">
        <v>10</v>
      </c>
      <c r="F605" s="5">
        <v>104</v>
      </c>
      <c r="G605" s="7"/>
    </row>
    <row r="606" spans="1:7" ht="27.75" customHeight="1">
      <c r="A606" s="5">
        <v>604</v>
      </c>
      <c r="B606" s="6" t="str">
        <f>"曾维慷"</f>
        <v>曾维慷</v>
      </c>
      <c r="C606" s="6" t="str">
        <f>"230702101811"</f>
        <v>230702101811</v>
      </c>
      <c r="D606" s="5" t="s">
        <v>20</v>
      </c>
      <c r="E606" s="5" t="s">
        <v>10</v>
      </c>
      <c r="F606" s="5">
        <v>105</v>
      </c>
      <c r="G606" s="7"/>
    </row>
    <row r="607" spans="1:7" ht="27.75" customHeight="1">
      <c r="A607" s="5">
        <v>605</v>
      </c>
      <c r="B607" s="6" t="str">
        <f>"黄建伟"</f>
        <v>黄建伟</v>
      </c>
      <c r="C607" s="6" t="str">
        <f>"230702102116"</f>
        <v>230702102116</v>
      </c>
      <c r="D607" s="5" t="s">
        <v>20</v>
      </c>
      <c r="E607" s="5" t="s">
        <v>10</v>
      </c>
      <c r="F607" s="5">
        <v>106</v>
      </c>
      <c r="G607" s="7"/>
    </row>
    <row r="608" spans="1:7" ht="27.75" customHeight="1">
      <c r="A608" s="5">
        <v>606</v>
      </c>
      <c r="B608" s="6" t="str">
        <f>"肖传富"</f>
        <v>肖传富</v>
      </c>
      <c r="C608" s="6" t="str">
        <f>"230702102218"</f>
        <v>230702102218</v>
      </c>
      <c r="D608" s="5" t="s">
        <v>20</v>
      </c>
      <c r="E608" s="5" t="s">
        <v>10</v>
      </c>
      <c r="F608" s="5">
        <v>107</v>
      </c>
      <c r="G608" s="7"/>
    </row>
    <row r="609" spans="1:7" ht="27.75" customHeight="1">
      <c r="A609" s="5">
        <v>607</v>
      </c>
      <c r="B609" s="6" t="str">
        <f>"杨大东"</f>
        <v>杨大东</v>
      </c>
      <c r="C609" s="6" t="str">
        <f>"230702102712"</f>
        <v>230702102712</v>
      </c>
      <c r="D609" s="5" t="s">
        <v>20</v>
      </c>
      <c r="E609" s="5" t="s">
        <v>10</v>
      </c>
      <c r="F609" s="5">
        <v>108</v>
      </c>
      <c r="G609" s="7"/>
    </row>
    <row r="610" spans="1:7" ht="27.75" customHeight="1">
      <c r="A610" s="5">
        <v>608</v>
      </c>
      <c r="B610" s="6" t="str">
        <f>"吴德彪"</f>
        <v>吴德彪</v>
      </c>
      <c r="C610" s="6" t="str">
        <f>"230702102728"</f>
        <v>230702102728</v>
      </c>
      <c r="D610" s="5" t="s">
        <v>20</v>
      </c>
      <c r="E610" s="5" t="s">
        <v>10</v>
      </c>
      <c r="F610" s="5">
        <v>109</v>
      </c>
      <c r="G610" s="7"/>
    </row>
    <row r="611" spans="1:7" ht="27.75" customHeight="1">
      <c r="A611" s="5">
        <v>609</v>
      </c>
      <c r="B611" s="6" t="str">
        <f>"邢益宁"</f>
        <v>邢益宁</v>
      </c>
      <c r="C611" s="6" t="str">
        <f>"230702103026"</f>
        <v>230702103026</v>
      </c>
      <c r="D611" s="5" t="s">
        <v>20</v>
      </c>
      <c r="E611" s="5" t="s">
        <v>10</v>
      </c>
      <c r="F611" s="5">
        <v>110</v>
      </c>
      <c r="G611" s="7"/>
    </row>
    <row r="612" spans="1:7" ht="27.75" customHeight="1">
      <c r="A612" s="5">
        <v>610</v>
      </c>
      <c r="B612" s="6" t="str">
        <f>"李文朗"</f>
        <v>李文朗</v>
      </c>
      <c r="C612" s="6" t="str">
        <f>"230702103230"</f>
        <v>230702103230</v>
      </c>
      <c r="D612" s="5" t="s">
        <v>20</v>
      </c>
      <c r="E612" s="5" t="s">
        <v>19</v>
      </c>
      <c r="F612" s="5">
        <v>111</v>
      </c>
      <c r="G612" s="7"/>
    </row>
    <row r="613" spans="1:7" ht="27.75" customHeight="1">
      <c r="A613" s="5">
        <v>611</v>
      </c>
      <c r="B613" s="6" t="str">
        <f>"林迪"</f>
        <v>林迪</v>
      </c>
      <c r="C613" s="6" t="str">
        <f>"230702103330"</f>
        <v>230702103330</v>
      </c>
      <c r="D613" s="5" t="s">
        <v>20</v>
      </c>
      <c r="E613" s="5" t="s">
        <v>19</v>
      </c>
      <c r="F613" s="5">
        <v>112</v>
      </c>
      <c r="G613" s="7"/>
    </row>
    <row r="614" spans="1:7" ht="27.75" customHeight="1">
      <c r="A614" s="5">
        <v>612</v>
      </c>
      <c r="B614" s="6" t="str">
        <f>"王保森"</f>
        <v>王保森</v>
      </c>
      <c r="C614" s="6" t="str">
        <f>"230702101826"</f>
        <v>230702101826</v>
      </c>
      <c r="D614" s="5" t="s">
        <v>20</v>
      </c>
      <c r="E614" s="5" t="s">
        <v>19</v>
      </c>
      <c r="F614" s="5">
        <v>113</v>
      </c>
      <c r="G614" s="7"/>
    </row>
    <row r="615" spans="1:7" ht="27.75" customHeight="1">
      <c r="A615" s="5">
        <v>613</v>
      </c>
      <c r="B615" s="6" t="str">
        <f>"符代强"</f>
        <v>符代强</v>
      </c>
      <c r="C615" s="6" t="str">
        <f>"230702102111"</f>
        <v>230702102111</v>
      </c>
      <c r="D615" s="5" t="s">
        <v>20</v>
      </c>
      <c r="E615" s="5" t="s">
        <v>19</v>
      </c>
      <c r="F615" s="5">
        <v>114</v>
      </c>
      <c r="G615" s="7"/>
    </row>
    <row r="616" spans="1:7" ht="27.75" customHeight="1">
      <c r="A616" s="5">
        <v>614</v>
      </c>
      <c r="B616" s="6" t="str">
        <f>"羊造烈"</f>
        <v>羊造烈</v>
      </c>
      <c r="C616" s="6" t="str">
        <f>"230702102121"</f>
        <v>230702102121</v>
      </c>
      <c r="D616" s="5" t="s">
        <v>20</v>
      </c>
      <c r="E616" s="5" t="s">
        <v>19</v>
      </c>
      <c r="F616" s="5">
        <v>115</v>
      </c>
      <c r="G616" s="7"/>
    </row>
    <row r="617" spans="1:7" ht="27.75" customHeight="1">
      <c r="A617" s="5">
        <v>615</v>
      </c>
      <c r="B617" s="6" t="str">
        <f>"吴腾"</f>
        <v>吴腾</v>
      </c>
      <c r="C617" s="6" t="str">
        <f>"230702102205"</f>
        <v>230702102205</v>
      </c>
      <c r="D617" s="5" t="s">
        <v>20</v>
      </c>
      <c r="E617" s="5" t="s">
        <v>19</v>
      </c>
      <c r="F617" s="5">
        <v>116</v>
      </c>
      <c r="G617" s="7"/>
    </row>
    <row r="618" spans="1:7" ht="27.75" customHeight="1">
      <c r="A618" s="5">
        <v>616</v>
      </c>
      <c r="B618" s="6" t="str">
        <f>"王位涛"</f>
        <v>王位涛</v>
      </c>
      <c r="C618" s="6" t="str">
        <f>"230702102330"</f>
        <v>230702102330</v>
      </c>
      <c r="D618" s="5" t="s">
        <v>20</v>
      </c>
      <c r="E618" s="5" t="s">
        <v>19</v>
      </c>
      <c r="F618" s="5">
        <v>117</v>
      </c>
      <c r="G618" s="7"/>
    </row>
    <row r="619" spans="1:7" ht="27.75" customHeight="1">
      <c r="A619" s="5">
        <v>617</v>
      </c>
      <c r="B619" s="6" t="str">
        <f>"梁烽"</f>
        <v>梁烽</v>
      </c>
      <c r="C619" s="6" t="str">
        <f>"230702102827"</f>
        <v>230702102827</v>
      </c>
      <c r="D619" s="5" t="s">
        <v>20</v>
      </c>
      <c r="E619" s="5" t="s">
        <v>19</v>
      </c>
      <c r="F619" s="5">
        <v>118</v>
      </c>
      <c r="G619" s="7"/>
    </row>
    <row r="620" spans="1:7" ht="27.75" customHeight="1">
      <c r="A620" s="5">
        <v>618</v>
      </c>
      <c r="B620" s="6" t="str">
        <f>"梁昌吉"</f>
        <v>梁昌吉</v>
      </c>
      <c r="C620" s="6" t="str">
        <f>"230702102926"</f>
        <v>230702102926</v>
      </c>
      <c r="D620" s="5" t="s">
        <v>20</v>
      </c>
      <c r="E620" s="5" t="s">
        <v>19</v>
      </c>
      <c r="F620" s="5">
        <v>119</v>
      </c>
      <c r="G620" s="7"/>
    </row>
    <row r="621" spans="1:7" ht="27.75" customHeight="1">
      <c r="A621" s="5">
        <v>619</v>
      </c>
      <c r="B621" s="6" t="str">
        <f>"周大强"</f>
        <v>周大强</v>
      </c>
      <c r="C621" s="6" t="str">
        <f>"230702103027"</f>
        <v>230702103027</v>
      </c>
      <c r="D621" s="5" t="s">
        <v>20</v>
      </c>
      <c r="E621" s="5" t="s">
        <v>19</v>
      </c>
      <c r="F621" s="5">
        <v>120</v>
      </c>
      <c r="G621" s="7"/>
    </row>
    <row r="622" spans="1:7" ht="27.75" customHeight="1">
      <c r="A622" s="5">
        <v>620</v>
      </c>
      <c r="B622" s="6" t="str">
        <f>"曾广勇"</f>
        <v>曾广勇</v>
      </c>
      <c r="C622" s="6" t="str">
        <f>"230702103122"</f>
        <v>230702103122</v>
      </c>
      <c r="D622" s="5" t="s">
        <v>20</v>
      </c>
      <c r="E622" s="5" t="s">
        <v>19</v>
      </c>
      <c r="F622" s="5">
        <v>121</v>
      </c>
      <c r="G622" s="7"/>
    </row>
    <row r="623" spans="1:7" ht="27.75" customHeight="1">
      <c r="A623" s="5">
        <v>621</v>
      </c>
      <c r="B623" s="6" t="str">
        <f>"吴亮"</f>
        <v>吴亮</v>
      </c>
      <c r="C623" s="6" t="str">
        <f>"230702103210"</f>
        <v>230702103210</v>
      </c>
      <c r="D623" s="5" t="s">
        <v>20</v>
      </c>
      <c r="E623" s="5" t="s">
        <v>19</v>
      </c>
      <c r="F623" s="5">
        <v>122</v>
      </c>
      <c r="G623" s="7"/>
    </row>
    <row r="624" spans="1:7" ht="27.75" customHeight="1">
      <c r="A624" s="5">
        <v>622</v>
      </c>
      <c r="B624" s="6" t="str">
        <f>"王晓"</f>
        <v>王晓</v>
      </c>
      <c r="C624" s="6" t="str">
        <f>"230702103221"</f>
        <v>230702103221</v>
      </c>
      <c r="D624" s="5" t="s">
        <v>20</v>
      </c>
      <c r="E624" s="5" t="s">
        <v>19</v>
      </c>
      <c r="F624" s="5">
        <v>123</v>
      </c>
      <c r="G624" s="7"/>
    </row>
    <row r="625" spans="1:7" ht="27.75" customHeight="1">
      <c r="A625" s="5">
        <v>623</v>
      </c>
      <c r="B625" s="6" t="str">
        <f>"李国煜"</f>
        <v>李国煜</v>
      </c>
      <c r="C625" s="6" t="str">
        <f>"230702103315"</f>
        <v>230702103315</v>
      </c>
      <c r="D625" s="5" t="s">
        <v>20</v>
      </c>
      <c r="E625" s="5" t="s">
        <v>19</v>
      </c>
      <c r="F625" s="5">
        <v>124</v>
      </c>
      <c r="G625" s="7"/>
    </row>
    <row r="626" spans="1:7" ht="27.75" customHeight="1">
      <c r="A626" s="5">
        <v>624</v>
      </c>
      <c r="B626" s="6" t="str">
        <f>"陈林召"</f>
        <v>陈林召</v>
      </c>
      <c r="C626" s="6" t="str">
        <f>"230702103430"</f>
        <v>230702103430</v>
      </c>
      <c r="D626" s="5" t="s">
        <v>20</v>
      </c>
      <c r="E626" s="5" t="s">
        <v>19</v>
      </c>
      <c r="F626" s="5">
        <v>125</v>
      </c>
      <c r="G626" s="7"/>
    </row>
    <row r="627" spans="1:7" ht="27.75" customHeight="1">
      <c r="A627" s="5">
        <v>625</v>
      </c>
      <c r="B627" s="6" t="str">
        <f>"符文平"</f>
        <v>符文平</v>
      </c>
      <c r="C627" s="6" t="str">
        <f>"230702101017"</f>
        <v>230702101017</v>
      </c>
      <c r="D627" s="5" t="s">
        <v>20</v>
      </c>
      <c r="E627" s="5" t="s">
        <v>19</v>
      </c>
      <c r="F627" s="5">
        <v>126</v>
      </c>
      <c r="G627" s="7"/>
    </row>
    <row r="628" spans="1:7" ht="27.75" customHeight="1">
      <c r="A628" s="5">
        <v>626</v>
      </c>
      <c r="B628" s="6" t="str">
        <f>"张昌乾"</f>
        <v>张昌乾</v>
      </c>
      <c r="C628" s="6" t="str">
        <f>"230702101111"</f>
        <v>230702101111</v>
      </c>
      <c r="D628" s="5" t="s">
        <v>20</v>
      </c>
      <c r="E628" s="5" t="s">
        <v>19</v>
      </c>
      <c r="F628" s="5">
        <v>127</v>
      </c>
      <c r="G628" s="7"/>
    </row>
    <row r="629" spans="1:7" ht="27.75" customHeight="1">
      <c r="A629" s="5">
        <v>627</v>
      </c>
      <c r="B629" s="6" t="str">
        <f>"符传字"</f>
        <v>符传字</v>
      </c>
      <c r="C629" s="6" t="str">
        <f>"230702101230"</f>
        <v>230702101230</v>
      </c>
      <c r="D629" s="5" t="s">
        <v>20</v>
      </c>
      <c r="E629" s="5" t="s">
        <v>19</v>
      </c>
      <c r="F629" s="5">
        <v>128</v>
      </c>
      <c r="G629" s="7"/>
    </row>
    <row r="630" spans="1:7" ht="27.75" customHeight="1">
      <c r="A630" s="5">
        <v>628</v>
      </c>
      <c r="B630" s="6" t="str">
        <f>"王建祥"</f>
        <v>王建祥</v>
      </c>
      <c r="C630" s="6" t="str">
        <f>"230702101302"</f>
        <v>230702101302</v>
      </c>
      <c r="D630" s="5" t="s">
        <v>20</v>
      </c>
      <c r="E630" s="5" t="s">
        <v>19</v>
      </c>
      <c r="F630" s="5">
        <v>129</v>
      </c>
      <c r="G630" s="7"/>
    </row>
    <row r="631" spans="1:7" ht="27.75" customHeight="1">
      <c r="A631" s="5">
        <v>629</v>
      </c>
      <c r="B631" s="6" t="str">
        <f>"王华乾"</f>
        <v>王华乾</v>
      </c>
      <c r="C631" s="6" t="str">
        <f>"230702101314"</f>
        <v>230702101314</v>
      </c>
      <c r="D631" s="5" t="s">
        <v>20</v>
      </c>
      <c r="E631" s="5" t="s">
        <v>19</v>
      </c>
      <c r="F631" s="5">
        <v>130</v>
      </c>
      <c r="G631" s="7"/>
    </row>
    <row r="632" spans="1:7" ht="27.75" customHeight="1">
      <c r="A632" s="5">
        <v>630</v>
      </c>
      <c r="B632" s="6" t="str">
        <f>"陆璇"</f>
        <v>陆璇</v>
      </c>
      <c r="C632" s="6" t="str">
        <f>"230702101406"</f>
        <v>230702101406</v>
      </c>
      <c r="D632" s="5" t="s">
        <v>20</v>
      </c>
      <c r="E632" s="5" t="s">
        <v>19</v>
      </c>
      <c r="F632" s="5">
        <v>131</v>
      </c>
      <c r="G632" s="7"/>
    </row>
    <row r="633" spans="1:7" ht="27.75" customHeight="1">
      <c r="A633" s="5">
        <v>631</v>
      </c>
      <c r="B633" s="6" t="str">
        <f>"王柏辉"</f>
        <v>王柏辉</v>
      </c>
      <c r="C633" s="6" t="str">
        <f>"230702101603"</f>
        <v>230702101603</v>
      </c>
      <c r="D633" s="5" t="s">
        <v>20</v>
      </c>
      <c r="E633" s="5" t="s">
        <v>19</v>
      </c>
      <c r="F633" s="5">
        <v>132</v>
      </c>
      <c r="G633" s="7"/>
    </row>
    <row r="634" spans="1:7" ht="27.75" customHeight="1">
      <c r="A634" s="5">
        <v>632</v>
      </c>
      <c r="B634" s="6" t="str">
        <f>"林传贤"</f>
        <v>林传贤</v>
      </c>
      <c r="C634" s="6" t="str">
        <f>"230702101713"</f>
        <v>230702101713</v>
      </c>
      <c r="D634" s="5" t="s">
        <v>20</v>
      </c>
      <c r="E634" s="5" t="s">
        <v>19</v>
      </c>
      <c r="F634" s="5">
        <v>133</v>
      </c>
      <c r="G634" s="7"/>
    </row>
    <row r="635" spans="1:7" ht="27.75" customHeight="1">
      <c r="A635" s="5">
        <v>633</v>
      </c>
      <c r="B635" s="6" t="str">
        <f>"吴育烈"</f>
        <v>吴育烈</v>
      </c>
      <c r="C635" s="6" t="str">
        <f>"230702102009"</f>
        <v>230702102009</v>
      </c>
      <c r="D635" s="5" t="s">
        <v>20</v>
      </c>
      <c r="E635" s="5" t="s">
        <v>19</v>
      </c>
      <c r="F635" s="5">
        <v>134</v>
      </c>
      <c r="G635" s="7"/>
    </row>
    <row r="636" spans="1:7" ht="27.75" customHeight="1">
      <c r="A636" s="5">
        <v>634</v>
      </c>
      <c r="B636" s="6" t="str">
        <f>"符小刚"</f>
        <v>符小刚</v>
      </c>
      <c r="C636" s="6" t="str">
        <f>"230702102019"</f>
        <v>230702102019</v>
      </c>
      <c r="D636" s="5" t="s">
        <v>20</v>
      </c>
      <c r="E636" s="5" t="s">
        <v>19</v>
      </c>
      <c r="F636" s="5">
        <v>135</v>
      </c>
      <c r="G636" s="7"/>
    </row>
    <row r="637" spans="1:7" ht="27.75" customHeight="1">
      <c r="A637" s="5">
        <v>635</v>
      </c>
      <c r="B637" s="6" t="str">
        <f>"李拔玉"</f>
        <v>李拔玉</v>
      </c>
      <c r="C637" s="6" t="str">
        <f>"230702102127"</f>
        <v>230702102127</v>
      </c>
      <c r="D637" s="5" t="s">
        <v>20</v>
      </c>
      <c r="E637" s="5" t="s">
        <v>19</v>
      </c>
      <c r="F637" s="5">
        <v>136</v>
      </c>
      <c r="G637" s="7"/>
    </row>
    <row r="638" spans="1:7" ht="27.75" customHeight="1">
      <c r="A638" s="5">
        <v>636</v>
      </c>
      <c r="B638" s="6" t="str">
        <f>"符茂斌"</f>
        <v>符茂斌</v>
      </c>
      <c r="C638" s="6" t="str">
        <f>"230702102711"</f>
        <v>230702102711</v>
      </c>
      <c r="D638" s="5" t="s">
        <v>20</v>
      </c>
      <c r="E638" s="5" t="s">
        <v>19</v>
      </c>
      <c r="F638" s="5">
        <v>137</v>
      </c>
      <c r="G638" s="7"/>
    </row>
    <row r="639" spans="1:7" ht="27.75" customHeight="1">
      <c r="A639" s="5">
        <v>637</v>
      </c>
      <c r="B639" s="6" t="str">
        <f>"邱运博"</f>
        <v>邱运博</v>
      </c>
      <c r="C639" s="6" t="str">
        <f>"230702102909"</f>
        <v>230702102909</v>
      </c>
      <c r="D639" s="5" t="s">
        <v>20</v>
      </c>
      <c r="E639" s="5" t="s">
        <v>19</v>
      </c>
      <c r="F639" s="5">
        <v>138</v>
      </c>
      <c r="G639" s="7"/>
    </row>
    <row r="640" spans="1:7" ht="27.75" customHeight="1">
      <c r="A640" s="5">
        <v>638</v>
      </c>
      <c r="B640" s="6" t="str">
        <f>"王安卫"</f>
        <v>王安卫</v>
      </c>
      <c r="C640" s="6" t="str">
        <f>"230702103006"</f>
        <v>230702103006</v>
      </c>
      <c r="D640" s="5" t="s">
        <v>20</v>
      </c>
      <c r="E640" s="5" t="s">
        <v>19</v>
      </c>
      <c r="F640" s="5">
        <v>139</v>
      </c>
      <c r="G640" s="7"/>
    </row>
    <row r="641" spans="1:7" ht="27.75" customHeight="1">
      <c r="A641" s="5">
        <v>639</v>
      </c>
      <c r="B641" s="6" t="str">
        <f>"刘扬飞"</f>
        <v>刘扬飞</v>
      </c>
      <c r="C641" s="6" t="str">
        <f>"230702103014"</f>
        <v>230702103014</v>
      </c>
      <c r="D641" s="5" t="s">
        <v>20</v>
      </c>
      <c r="E641" s="5" t="s">
        <v>19</v>
      </c>
      <c r="F641" s="5">
        <v>140</v>
      </c>
      <c r="G641" s="7"/>
    </row>
    <row r="642" spans="1:7" ht="27.75" customHeight="1">
      <c r="A642" s="5">
        <v>640</v>
      </c>
      <c r="B642" s="6" t="str">
        <f>"杨大烈"</f>
        <v>杨大烈</v>
      </c>
      <c r="C642" s="6" t="str">
        <f>"230702103020"</f>
        <v>230702103020</v>
      </c>
      <c r="D642" s="5" t="s">
        <v>20</v>
      </c>
      <c r="E642" s="5" t="s">
        <v>19</v>
      </c>
      <c r="F642" s="5">
        <v>141</v>
      </c>
      <c r="G642" s="7"/>
    </row>
    <row r="643" spans="1:7" ht="27.75" customHeight="1">
      <c r="A643" s="5">
        <v>641</v>
      </c>
      <c r="B643" s="6" t="str">
        <f>"梁神坤"</f>
        <v>梁神坤</v>
      </c>
      <c r="C643" s="6" t="str">
        <f>"230702103125"</f>
        <v>230702103125</v>
      </c>
      <c r="D643" s="5" t="s">
        <v>20</v>
      </c>
      <c r="E643" s="5" t="s">
        <v>19</v>
      </c>
      <c r="F643" s="5">
        <v>142</v>
      </c>
      <c r="G643" s="7"/>
    </row>
    <row r="644" spans="1:7" ht="27.75" customHeight="1">
      <c r="A644" s="5">
        <v>642</v>
      </c>
      <c r="B644" s="6" t="str">
        <f>"陈杰"</f>
        <v>陈杰</v>
      </c>
      <c r="C644" s="6" t="str">
        <f>"230702103227"</f>
        <v>230702103227</v>
      </c>
      <c r="D644" s="5" t="s">
        <v>20</v>
      </c>
      <c r="E644" s="5" t="s">
        <v>19</v>
      </c>
      <c r="F644" s="5">
        <v>143</v>
      </c>
      <c r="G644" s="7"/>
    </row>
    <row r="645" spans="1:7" ht="27.75" customHeight="1">
      <c r="A645" s="5">
        <v>643</v>
      </c>
      <c r="B645" s="6" t="str">
        <f>"冯尔成"</f>
        <v>冯尔成</v>
      </c>
      <c r="C645" s="6" t="str">
        <f>"230702103425"</f>
        <v>230702103425</v>
      </c>
      <c r="D645" s="5" t="s">
        <v>20</v>
      </c>
      <c r="E645" s="5" t="s">
        <v>19</v>
      </c>
      <c r="F645" s="5">
        <v>144</v>
      </c>
      <c r="G645" s="7"/>
    </row>
    <row r="646" spans="1:7" ht="27.75" customHeight="1">
      <c r="A646" s="5">
        <v>644</v>
      </c>
      <c r="B646" s="6" t="str">
        <f>"翁贤波"</f>
        <v>翁贤波</v>
      </c>
      <c r="C646" s="6" t="str">
        <f>"230702100723"</f>
        <v>230702100723</v>
      </c>
      <c r="D646" s="5" t="s">
        <v>20</v>
      </c>
      <c r="E646" s="5" t="s">
        <v>19</v>
      </c>
      <c r="F646" s="5">
        <v>145</v>
      </c>
      <c r="G646" s="7"/>
    </row>
    <row r="647" spans="1:7" ht="27.75" customHeight="1">
      <c r="A647" s="5">
        <v>645</v>
      </c>
      <c r="B647" s="6" t="str">
        <f>"王源"</f>
        <v>王源</v>
      </c>
      <c r="C647" s="6" t="str">
        <f>"230702100910"</f>
        <v>230702100910</v>
      </c>
      <c r="D647" s="5" t="s">
        <v>20</v>
      </c>
      <c r="E647" s="5" t="s">
        <v>19</v>
      </c>
      <c r="F647" s="5">
        <v>146</v>
      </c>
      <c r="G647" s="7"/>
    </row>
    <row r="648" spans="1:7" ht="27.75" customHeight="1">
      <c r="A648" s="5">
        <v>646</v>
      </c>
      <c r="B648" s="6" t="str">
        <f>"曾广乐"</f>
        <v>曾广乐</v>
      </c>
      <c r="C648" s="6" t="str">
        <f>"230702100926"</f>
        <v>230702100926</v>
      </c>
      <c r="D648" s="5" t="s">
        <v>20</v>
      </c>
      <c r="E648" s="5" t="s">
        <v>19</v>
      </c>
      <c r="F648" s="5">
        <v>147</v>
      </c>
      <c r="G648" s="7"/>
    </row>
    <row r="649" spans="1:7" ht="27.75" customHeight="1">
      <c r="A649" s="5">
        <v>647</v>
      </c>
      <c r="B649" s="6" t="str">
        <f>"严朝阳"</f>
        <v>严朝阳</v>
      </c>
      <c r="C649" s="6" t="str">
        <f>"230702101120"</f>
        <v>230702101120</v>
      </c>
      <c r="D649" s="5" t="s">
        <v>20</v>
      </c>
      <c r="E649" s="5" t="s">
        <v>19</v>
      </c>
      <c r="F649" s="5">
        <v>148</v>
      </c>
      <c r="G649" s="7"/>
    </row>
    <row r="650" spans="1:7" ht="27.75" customHeight="1">
      <c r="A650" s="5">
        <v>648</v>
      </c>
      <c r="B650" s="6" t="str">
        <f>"洪鑫"</f>
        <v>洪鑫</v>
      </c>
      <c r="C650" s="6" t="str">
        <f>"230702101525"</f>
        <v>230702101525</v>
      </c>
      <c r="D650" s="5" t="s">
        <v>20</v>
      </c>
      <c r="E650" s="5" t="s">
        <v>19</v>
      </c>
      <c r="F650" s="5">
        <v>149</v>
      </c>
      <c r="G650" s="7"/>
    </row>
    <row r="651" spans="1:7" ht="27.75" customHeight="1">
      <c r="A651" s="5">
        <v>649</v>
      </c>
      <c r="B651" s="6" t="str">
        <f>"刘传崇"</f>
        <v>刘传崇</v>
      </c>
      <c r="C651" s="6" t="str">
        <f>"230702101717"</f>
        <v>230702101717</v>
      </c>
      <c r="D651" s="5" t="s">
        <v>20</v>
      </c>
      <c r="E651" s="5" t="s">
        <v>19</v>
      </c>
      <c r="F651" s="5">
        <v>150</v>
      </c>
      <c r="G651" s="7"/>
    </row>
    <row r="652" spans="1:7" ht="27.75" customHeight="1">
      <c r="A652" s="5">
        <v>650</v>
      </c>
      <c r="B652" s="6" t="str">
        <f>"吉星"</f>
        <v>吉星</v>
      </c>
      <c r="C652" s="6" t="str">
        <f>"230702102308"</f>
        <v>230702102308</v>
      </c>
      <c r="D652" s="5" t="s">
        <v>20</v>
      </c>
      <c r="E652" s="5" t="s">
        <v>19</v>
      </c>
      <c r="F652" s="5">
        <v>151</v>
      </c>
      <c r="G652" s="7"/>
    </row>
    <row r="653" spans="1:7" ht="27.75" customHeight="1">
      <c r="A653" s="5">
        <v>651</v>
      </c>
      <c r="B653" s="6" t="str">
        <f>"吴卓林"</f>
        <v>吴卓林</v>
      </c>
      <c r="C653" s="6" t="str">
        <f>"230702102621"</f>
        <v>230702102621</v>
      </c>
      <c r="D653" s="5" t="s">
        <v>20</v>
      </c>
      <c r="E653" s="5" t="s">
        <v>19</v>
      </c>
      <c r="F653" s="5">
        <v>152</v>
      </c>
      <c r="G653" s="7"/>
    </row>
    <row r="654" spans="1:7" ht="27.75" customHeight="1">
      <c r="A654" s="5">
        <v>652</v>
      </c>
      <c r="B654" s="6" t="str">
        <f>"孙传明"</f>
        <v>孙传明</v>
      </c>
      <c r="C654" s="6" t="str">
        <f>"230702102912"</f>
        <v>230702102912</v>
      </c>
      <c r="D654" s="5" t="s">
        <v>20</v>
      </c>
      <c r="E654" s="5" t="s">
        <v>19</v>
      </c>
      <c r="F654" s="5">
        <v>153</v>
      </c>
      <c r="G654" s="7"/>
    </row>
    <row r="655" spans="1:7" ht="27.75" customHeight="1">
      <c r="A655" s="5">
        <v>653</v>
      </c>
      <c r="B655" s="6" t="str">
        <f>"陈益诗"</f>
        <v>陈益诗</v>
      </c>
      <c r="C655" s="6" t="str">
        <f>"230702102925"</f>
        <v>230702102925</v>
      </c>
      <c r="D655" s="5" t="s">
        <v>20</v>
      </c>
      <c r="E655" s="5" t="s">
        <v>19</v>
      </c>
      <c r="F655" s="5">
        <v>154</v>
      </c>
      <c r="G655" s="7"/>
    </row>
    <row r="656" spans="1:7" ht="27.75" customHeight="1">
      <c r="A656" s="5">
        <v>654</v>
      </c>
      <c r="B656" s="6" t="str">
        <f>"詹道辉"</f>
        <v>詹道辉</v>
      </c>
      <c r="C656" s="6" t="str">
        <f>"230702103217"</f>
        <v>230702103217</v>
      </c>
      <c r="D656" s="5" t="s">
        <v>20</v>
      </c>
      <c r="E656" s="5" t="s">
        <v>19</v>
      </c>
      <c r="F656" s="5">
        <v>155</v>
      </c>
      <c r="G656" s="7"/>
    </row>
    <row r="657" spans="1:7" ht="27.75" customHeight="1">
      <c r="A657" s="5">
        <v>655</v>
      </c>
      <c r="B657" s="6" t="str">
        <f>"谭国政"</f>
        <v>谭国政</v>
      </c>
      <c r="C657" s="6" t="str">
        <f>"230702100830"</f>
        <v>230702100830</v>
      </c>
      <c r="D657" s="5" t="s">
        <v>20</v>
      </c>
      <c r="E657" s="5" t="s">
        <v>19</v>
      </c>
      <c r="F657" s="5">
        <v>156</v>
      </c>
      <c r="G657" s="7"/>
    </row>
    <row r="658" spans="1:7" ht="27.75" customHeight="1">
      <c r="A658" s="5">
        <v>656</v>
      </c>
      <c r="B658" s="6" t="str">
        <f>"王立宦"</f>
        <v>王立宦</v>
      </c>
      <c r="C658" s="6" t="str">
        <f>"230702101006"</f>
        <v>230702101006</v>
      </c>
      <c r="D658" s="5" t="s">
        <v>20</v>
      </c>
      <c r="E658" s="5" t="s">
        <v>19</v>
      </c>
      <c r="F658" s="5">
        <v>157</v>
      </c>
      <c r="G658" s="7"/>
    </row>
    <row r="659" spans="1:7" ht="27.75" customHeight="1">
      <c r="A659" s="5">
        <v>657</v>
      </c>
      <c r="B659" s="6" t="str">
        <f>"吴哲佳"</f>
        <v>吴哲佳</v>
      </c>
      <c r="C659" s="6" t="str">
        <f>"230702101011"</f>
        <v>230702101011</v>
      </c>
      <c r="D659" s="5" t="s">
        <v>20</v>
      </c>
      <c r="E659" s="5" t="s">
        <v>19</v>
      </c>
      <c r="F659" s="5">
        <v>158</v>
      </c>
      <c r="G659" s="7"/>
    </row>
    <row r="660" spans="1:7" ht="27.75" customHeight="1">
      <c r="A660" s="5">
        <v>658</v>
      </c>
      <c r="B660" s="6" t="str">
        <f>"叶经平"</f>
        <v>叶经平</v>
      </c>
      <c r="C660" s="6" t="str">
        <f>"230702101020"</f>
        <v>230702101020</v>
      </c>
      <c r="D660" s="5" t="s">
        <v>20</v>
      </c>
      <c r="E660" s="5" t="s">
        <v>19</v>
      </c>
      <c r="F660" s="5">
        <v>159</v>
      </c>
      <c r="G660" s="7"/>
    </row>
    <row r="661" spans="1:7" ht="27.75" customHeight="1">
      <c r="A661" s="5">
        <v>659</v>
      </c>
      <c r="B661" s="6" t="str">
        <f>"虞生培"</f>
        <v>虞生培</v>
      </c>
      <c r="C661" s="6" t="str">
        <f>"230702101227"</f>
        <v>230702101227</v>
      </c>
      <c r="D661" s="5" t="s">
        <v>20</v>
      </c>
      <c r="E661" s="5" t="s">
        <v>19</v>
      </c>
      <c r="F661" s="5">
        <v>160</v>
      </c>
      <c r="G661" s="7"/>
    </row>
    <row r="662" spans="1:7" ht="27.75" customHeight="1">
      <c r="A662" s="5">
        <v>660</v>
      </c>
      <c r="B662" s="6" t="str">
        <f>"黄儒俊"</f>
        <v>黄儒俊</v>
      </c>
      <c r="C662" s="6" t="str">
        <f>"230702101411"</f>
        <v>230702101411</v>
      </c>
      <c r="D662" s="5" t="s">
        <v>20</v>
      </c>
      <c r="E662" s="5" t="s">
        <v>19</v>
      </c>
      <c r="F662" s="5">
        <v>161</v>
      </c>
      <c r="G662" s="7"/>
    </row>
    <row r="663" spans="1:7" ht="27.75" customHeight="1">
      <c r="A663" s="5">
        <v>661</v>
      </c>
      <c r="B663" s="6" t="str">
        <f>"王文龙"</f>
        <v>王文龙</v>
      </c>
      <c r="C663" s="6" t="str">
        <f>"230702101703"</f>
        <v>230702101703</v>
      </c>
      <c r="D663" s="5" t="s">
        <v>20</v>
      </c>
      <c r="E663" s="5" t="s">
        <v>19</v>
      </c>
      <c r="F663" s="5">
        <v>162</v>
      </c>
      <c r="G663" s="7"/>
    </row>
    <row r="664" spans="1:7" ht="27.75" customHeight="1">
      <c r="A664" s="5">
        <v>662</v>
      </c>
      <c r="B664" s="6" t="str">
        <f>"郑天旭"</f>
        <v>郑天旭</v>
      </c>
      <c r="C664" s="6" t="str">
        <f>"230702101815"</f>
        <v>230702101815</v>
      </c>
      <c r="D664" s="5" t="s">
        <v>20</v>
      </c>
      <c r="E664" s="5" t="s">
        <v>19</v>
      </c>
      <c r="F664" s="5">
        <v>163</v>
      </c>
      <c r="G664" s="7"/>
    </row>
    <row r="665" spans="1:7" ht="27.75" customHeight="1">
      <c r="A665" s="5">
        <v>663</v>
      </c>
      <c r="B665" s="6" t="str">
        <f>"何昌金"</f>
        <v>何昌金</v>
      </c>
      <c r="C665" s="6" t="str">
        <f>"230702102312"</f>
        <v>230702102312</v>
      </c>
      <c r="D665" s="5" t="s">
        <v>20</v>
      </c>
      <c r="E665" s="5" t="s">
        <v>19</v>
      </c>
      <c r="F665" s="5">
        <v>164</v>
      </c>
      <c r="G665" s="7"/>
    </row>
    <row r="666" spans="1:7" ht="27.75" customHeight="1">
      <c r="A666" s="5">
        <v>664</v>
      </c>
      <c r="B666" s="6" t="str">
        <f>"符旺森"</f>
        <v>符旺森</v>
      </c>
      <c r="C666" s="6" t="str">
        <f>"230702102425"</f>
        <v>230702102425</v>
      </c>
      <c r="D666" s="5" t="s">
        <v>20</v>
      </c>
      <c r="E666" s="5" t="s">
        <v>19</v>
      </c>
      <c r="F666" s="5">
        <v>165</v>
      </c>
      <c r="G666" s="7"/>
    </row>
    <row r="667" spans="1:7" ht="27.75" customHeight="1">
      <c r="A667" s="5">
        <v>665</v>
      </c>
      <c r="B667" s="6" t="str">
        <f>"罗明亮"</f>
        <v>罗明亮</v>
      </c>
      <c r="C667" s="6" t="str">
        <f>"230702102618"</f>
        <v>230702102618</v>
      </c>
      <c r="D667" s="5" t="s">
        <v>20</v>
      </c>
      <c r="E667" s="5" t="s">
        <v>12</v>
      </c>
      <c r="F667" s="5">
        <v>166</v>
      </c>
      <c r="G667" s="7"/>
    </row>
    <row r="668" spans="1:7" ht="27.75" customHeight="1">
      <c r="A668" s="5">
        <v>666</v>
      </c>
      <c r="B668" s="6" t="str">
        <f>"陈泽斌"</f>
        <v>陈泽斌</v>
      </c>
      <c r="C668" s="6" t="str">
        <f>"230702102901"</f>
        <v>230702102901</v>
      </c>
      <c r="D668" s="5" t="s">
        <v>20</v>
      </c>
      <c r="E668" s="5" t="s">
        <v>12</v>
      </c>
      <c r="F668" s="5">
        <v>167</v>
      </c>
      <c r="G668" s="7"/>
    </row>
    <row r="669" spans="1:7" ht="27.75" customHeight="1">
      <c r="A669" s="5">
        <v>667</v>
      </c>
      <c r="B669" s="6" t="str">
        <f>"崔栩铭"</f>
        <v>崔栩铭</v>
      </c>
      <c r="C669" s="6" t="str">
        <f>"230702103121"</f>
        <v>230702103121</v>
      </c>
      <c r="D669" s="5" t="s">
        <v>20</v>
      </c>
      <c r="E669" s="5" t="s">
        <v>12</v>
      </c>
      <c r="F669" s="5">
        <v>168</v>
      </c>
      <c r="G669" s="7"/>
    </row>
    <row r="670" spans="1:7" ht="27.75" customHeight="1">
      <c r="A670" s="5">
        <v>668</v>
      </c>
      <c r="B670" s="6" t="str">
        <f>"王顺"</f>
        <v>王顺</v>
      </c>
      <c r="C670" s="6" t="str">
        <f>"230702103215"</f>
        <v>230702103215</v>
      </c>
      <c r="D670" s="5" t="s">
        <v>20</v>
      </c>
      <c r="E670" s="5" t="s">
        <v>12</v>
      </c>
      <c r="F670" s="5">
        <v>169</v>
      </c>
      <c r="G670" s="7"/>
    </row>
    <row r="671" spans="1:7" ht="27.75" customHeight="1">
      <c r="A671" s="5">
        <v>669</v>
      </c>
      <c r="B671" s="6" t="str">
        <f>" 卢厚宇"</f>
        <v> 卢厚宇</v>
      </c>
      <c r="C671" s="6" t="str">
        <f>"230702103220"</f>
        <v>230702103220</v>
      </c>
      <c r="D671" s="5" t="s">
        <v>20</v>
      </c>
      <c r="E671" s="5" t="s">
        <v>12</v>
      </c>
      <c r="F671" s="5">
        <v>170</v>
      </c>
      <c r="G671" s="7"/>
    </row>
    <row r="672" spans="1:7" ht="27.75" customHeight="1">
      <c r="A672" s="5">
        <v>670</v>
      </c>
      <c r="B672" s="6" t="str">
        <f>"陆忠剑"</f>
        <v>陆忠剑</v>
      </c>
      <c r="C672" s="6" t="str">
        <f>"230702103409"</f>
        <v>230702103409</v>
      </c>
      <c r="D672" s="5" t="s">
        <v>20</v>
      </c>
      <c r="E672" s="5" t="s">
        <v>12</v>
      </c>
      <c r="F672" s="5">
        <v>171</v>
      </c>
      <c r="G672" s="7"/>
    </row>
    <row r="673" spans="1:7" ht="27.75" customHeight="1">
      <c r="A673" s="5">
        <v>671</v>
      </c>
      <c r="B673" s="6" t="str">
        <f>"蔡亲斌"</f>
        <v>蔡亲斌</v>
      </c>
      <c r="C673" s="6" t="str">
        <f>"230702103423"</f>
        <v>230702103423</v>
      </c>
      <c r="D673" s="5" t="s">
        <v>20</v>
      </c>
      <c r="E673" s="5" t="s">
        <v>12</v>
      </c>
      <c r="F673" s="5">
        <v>172</v>
      </c>
      <c r="G673" s="7"/>
    </row>
    <row r="674" spans="1:7" ht="27.75" customHeight="1">
      <c r="A674" s="5">
        <v>672</v>
      </c>
      <c r="B674" s="6" t="str">
        <f>"符起才"</f>
        <v>符起才</v>
      </c>
      <c r="C674" s="6" t="str">
        <f>"230702103530"</f>
        <v>230702103530</v>
      </c>
      <c r="D674" s="5" t="s">
        <v>20</v>
      </c>
      <c r="E674" s="5" t="s">
        <v>12</v>
      </c>
      <c r="F674" s="5">
        <v>173</v>
      </c>
      <c r="G674" s="7"/>
    </row>
    <row r="675" spans="1:7" ht="27.75" customHeight="1">
      <c r="A675" s="5">
        <v>673</v>
      </c>
      <c r="B675" s="6" t="str">
        <f>"朱海龙"</f>
        <v>朱海龙</v>
      </c>
      <c r="C675" s="6" t="str">
        <f>"230702100808"</f>
        <v>230702100808</v>
      </c>
      <c r="D675" s="5" t="s">
        <v>20</v>
      </c>
      <c r="E675" s="5" t="s">
        <v>12</v>
      </c>
      <c r="F675" s="5">
        <v>174</v>
      </c>
      <c r="G675" s="7"/>
    </row>
    <row r="676" spans="1:7" ht="27.75" customHeight="1">
      <c r="A676" s="5">
        <v>674</v>
      </c>
      <c r="B676" s="6" t="str">
        <f>"黎泽辉"</f>
        <v>黎泽辉</v>
      </c>
      <c r="C676" s="6" t="str">
        <f>"230702101414"</f>
        <v>230702101414</v>
      </c>
      <c r="D676" s="5" t="s">
        <v>20</v>
      </c>
      <c r="E676" s="5" t="s">
        <v>12</v>
      </c>
      <c r="F676" s="5">
        <v>175</v>
      </c>
      <c r="G676" s="7"/>
    </row>
    <row r="677" spans="1:7" ht="27.75" customHeight="1">
      <c r="A677" s="5">
        <v>675</v>
      </c>
      <c r="B677" s="6" t="str">
        <f>"陈晓晨"</f>
        <v>陈晓晨</v>
      </c>
      <c r="C677" s="6" t="str">
        <f>"230702102318"</f>
        <v>230702102318</v>
      </c>
      <c r="D677" s="5" t="s">
        <v>20</v>
      </c>
      <c r="E677" s="5" t="s">
        <v>12</v>
      </c>
      <c r="F677" s="5">
        <v>176</v>
      </c>
      <c r="G677" s="7"/>
    </row>
    <row r="678" spans="1:7" ht="27.75" customHeight="1">
      <c r="A678" s="5">
        <v>676</v>
      </c>
      <c r="B678" s="6" t="str">
        <f>"魏振岩"</f>
        <v>魏振岩</v>
      </c>
      <c r="C678" s="6" t="str">
        <f>"230702102421"</f>
        <v>230702102421</v>
      </c>
      <c r="D678" s="5" t="s">
        <v>20</v>
      </c>
      <c r="E678" s="5" t="s">
        <v>12</v>
      </c>
      <c r="F678" s="5">
        <v>177</v>
      </c>
      <c r="G678" s="7"/>
    </row>
    <row r="679" spans="1:7" ht="27.75" customHeight="1">
      <c r="A679" s="5">
        <v>677</v>
      </c>
      <c r="B679" s="6" t="str">
        <f>"郑德华"</f>
        <v>郑德华</v>
      </c>
      <c r="C679" s="6" t="str">
        <f>"230702102518"</f>
        <v>230702102518</v>
      </c>
      <c r="D679" s="5" t="s">
        <v>20</v>
      </c>
      <c r="E679" s="5" t="s">
        <v>12</v>
      </c>
      <c r="F679" s="5">
        <v>178</v>
      </c>
      <c r="G679" s="7"/>
    </row>
    <row r="680" spans="1:7" ht="27.75" customHeight="1">
      <c r="A680" s="5">
        <v>678</v>
      </c>
      <c r="B680" s="6" t="str">
        <f>"王捷丰"</f>
        <v>王捷丰</v>
      </c>
      <c r="C680" s="6" t="str">
        <f>"230702102606"</f>
        <v>230702102606</v>
      </c>
      <c r="D680" s="5" t="s">
        <v>20</v>
      </c>
      <c r="E680" s="5" t="s">
        <v>12</v>
      </c>
      <c r="F680" s="5">
        <v>179</v>
      </c>
      <c r="G680" s="7"/>
    </row>
    <row r="681" spans="1:7" ht="27.75" customHeight="1">
      <c r="A681" s="5">
        <v>679</v>
      </c>
      <c r="B681" s="6" t="str">
        <f>"林升平"</f>
        <v>林升平</v>
      </c>
      <c r="C681" s="6" t="str">
        <f>"230702102614"</f>
        <v>230702102614</v>
      </c>
      <c r="D681" s="5" t="s">
        <v>20</v>
      </c>
      <c r="E681" s="5" t="s">
        <v>12</v>
      </c>
      <c r="F681" s="5">
        <v>180</v>
      </c>
      <c r="G681" s="7"/>
    </row>
    <row r="682" spans="1:7" ht="27.75" customHeight="1">
      <c r="A682" s="5">
        <v>680</v>
      </c>
      <c r="B682" s="6" t="str">
        <f>"林成典"</f>
        <v>林成典</v>
      </c>
      <c r="C682" s="6" t="str">
        <f>"230702102806"</f>
        <v>230702102806</v>
      </c>
      <c r="D682" s="5" t="s">
        <v>20</v>
      </c>
      <c r="E682" s="5" t="s">
        <v>12</v>
      </c>
      <c r="F682" s="5">
        <v>181</v>
      </c>
      <c r="G682" s="7"/>
    </row>
    <row r="683" spans="1:7" ht="27.75" customHeight="1">
      <c r="A683" s="5">
        <v>681</v>
      </c>
      <c r="B683" s="6" t="str">
        <f>"许小柏"</f>
        <v>许小柏</v>
      </c>
      <c r="C683" s="6" t="str">
        <f>"230702102810"</f>
        <v>230702102810</v>
      </c>
      <c r="D683" s="5" t="s">
        <v>20</v>
      </c>
      <c r="E683" s="5" t="s">
        <v>12</v>
      </c>
      <c r="F683" s="5">
        <v>182</v>
      </c>
      <c r="G683" s="7"/>
    </row>
    <row r="684" spans="1:7" ht="27.75" customHeight="1">
      <c r="A684" s="5">
        <v>682</v>
      </c>
      <c r="B684" s="6" t="str">
        <f>"吴英勇"</f>
        <v>吴英勇</v>
      </c>
      <c r="C684" s="6" t="str">
        <f>"230702103024"</f>
        <v>230702103024</v>
      </c>
      <c r="D684" s="5" t="s">
        <v>20</v>
      </c>
      <c r="E684" s="5" t="s">
        <v>12</v>
      </c>
      <c r="F684" s="5">
        <v>183</v>
      </c>
      <c r="G684" s="7"/>
    </row>
    <row r="685" spans="1:7" ht="27.75" customHeight="1">
      <c r="A685" s="5">
        <v>683</v>
      </c>
      <c r="B685" s="6" t="str">
        <f>"杜进真"</f>
        <v>杜进真</v>
      </c>
      <c r="C685" s="6" t="str">
        <f>"230702103529"</f>
        <v>230702103529</v>
      </c>
      <c r="D685" s="5" t="s">
        <v>20</v>
      </c>
      <c r="E685" s="5" t="s">
        <v>12</v>
      </c>
      <c r="F685" s="5">
        <v>184</v>
      </c>
      <c r="G685" s="7"/>
    </row>
    <row r="686" spans="1:7" ht="27.75" customHeight="1">
      <c r="A686" s="5">
        <v>684</v>
      </c>
      <c r="B686" s="6" t="str">
        <f>"林征"</f>
        <v>林征</v>
      </c>
      <c r="C686" s="6" t="str">
        <f>"230702100815"</f>
        <v>230702100815</v>
      </c>
      <c r="D686" s="5" t="s">
        <v>20</v>
      </c>
      <c r="E686" s="5" t="s">
        <v>12</v>
      </c>
      <c r="F686" s="5">
        <v>185</v>
      </c>
      <c r="G686" s="7"/>
    </row>
    <row r="687" spans="1:7" ht="27.75" customHeight="1">
      <c r="A687" s="5">
        <v>685</v>
      </c>
      <c r="B687" s="6" t="str">
        <f>"邓杰"</f>
        <v>邓杰</v>
      </c>
      <c r="C687" s="6" t="str">
        <f>"230702100911"</f>
        <v>230702100911</v>
      </c>
      <c r="D687" s="5" t="s">
        <v>20</v>
      </c>
      <c r="E687" s="5" t="s">
        <v>12</v>
      </c>
      <c r="F687" s="5">
        <v>186</v>
      </c>
      <c r="G687" s="7"/>
    </row>
    <row r="688" spans="1:7" ht="27.75" customHeight="1">
      <c r="A688" s="5">
        <v>686</v>
      </c>
      <c r="B688" s="6" t="str">
        <f>"王明鹏"</f>
        <v>王明鹏</v>
      </c>
      <c r="C688" s="6" t="str">
        <f>"230702100913"</f>
        <v>230702100913</v>
      </c>
      <c r="D688" s="5" t="s">
        <v>20</v>
      </c>
      <c r="E688" s="5" t="s">
        <v>12</v>
      </c>
      <c r="F688" s="5">
        <v>187</v>
      </c>
      <c r="G688" s="7"/>
    </row>
    <row r="689" spans="1:7" ht="27.75" customHeight="1">
      <c r="A689" s="5">
        <v>687</v>
      </c>
      <c r="B689" s="6" t="str">
        <f>"王吉功"</f>
        <v>王吉功</v>
      </c>
      <c r="C689" s="6" t="str">
        <f>"230702100914"</f>
        <v>230702100914</v>
      </c>
      <c r="D689" s="5" t="s">
        <v>20</v>
      </c>
      <c r="E689" s="5" t="s">
        <v>12</v>
      </c>
      <c r="F689" s="5">
        <v>188</v>
      </c>
      <c r="G689" s="7"/>
    </row>
    <row r="690" spans="1:7" ht="27.75" customHeight="1">
      <c r="A690" s="5">
        <v>688</v>
      </c>
      <c r="B690" s="6" t="str">
        <f>"李磊"</f>
        <v>李磊</v>
      </c>
      <c r="C690" s="6" t="str">
        <f>"230702100928"</f>
        <v>230702100928</v>
      </c>
      <c r="D690" s="5" t="s">
        <v>20</v>
      </c>
      <c r="E690" s="5" t="s">
        <v>12</v>
      </c>
      <c r="F690" s="5">
        <v>189</v>
      </c>
      <c r="G690" s="7"/>
    </row>
    <row r="691" spans="1:7" ht="27.75" customHeight="1">
      <c r="A691" s="5">
        <v>689</v>
      </c>
      <c r="B691" s="6" t="str">
        <f>"吉恩如"</f>
        <v>吉恩如</v>
      </c>
      <c r="C691" s="6" t="str">
        <f>"230702101212"</f>
        <v>230702101212</v>
      </c>
      <c r="D691" s="5" t="s">
        <v>20</v>
      </c>
      <c r="E691" s="5" t="s">
        <v>12</v>
      </c>
      <c r="F691" s="5">
        <v>190</v>
      </c>
      <c r="G691" s="7"/>
    </row>
    <row r="692" spans="1:7" ht="27.75" customHeight="1">
      <c r="A692" s="5">
        <v>690</v>
      </c>
      <c r="B692" s="6" t="str">
        <f>"吴挺武"</f>
        <v>吴挺武</v>
      </c>
      <c r="C692" s="6" t="str">
        <f>"230702101315"</f>
        <v>230702101315</v>
      </c>
      <c r="D692" s="5" t="s">
        <v>20</v>
      </c>
      <c r="E692" s="5" t="s">
        <v>12</v>
      </c>
      <c r="F692" s="5">
        <v>191</v>
      </c>
      <c r="G692" s="7"/>
    </row>
    <row r="693" spans="1:7" ht="27.75" customHeight="1">
      <c r="A693" s="5">
        <v>691</v>
      </c>
      <c r="B693" s="6" t="str">
        <f>"郑烨泽"</f>
        <v>郑烨泽</v>
      </c>
      <c r="C693" s="6" t="str">
        <f>"230702101413"</f>
        <v>230702101413</v>
      </c>
      <c r="D693" s="5" t="s">
        <v>20</v>
      </c>
      <c r="E693" s="5" t="s">
        <v>12</v>
      </c>
      <c r="F693" s="5">
        <v>192</v>
      </c>
      <c r="G693" s="7"/>
    </row>
    <row r="694" spans="1:7" ht="27.75" customHeight="1">
      <c r="A694" s="5">
        <v>692</v>
      </c>
      <c r="B694" s="6" t="str">
        <f>"李庆扬"</f>
        <v>李庆扬</v>
      </c>
      <c r="C694" s="6" t="str">
        <f>"230702101722"</f>
        <v>230702101722</v>
      </c>
      <c r="D694" s="5" t="s">
        <v>20</v>
      </c>
      <c r="E694" s="5" t="s">
        <v>12</v>
      </c>
      <c r="F694" s="5">
        <v>193</v>
      </c>
      <c r="G694" s="7"/>
    </row>
    <row r="695" spans="1:7" ht="27.75" customHeight="1">
      <c r="A695" s="5">
        <v>693</v>
      </c>
      <c r="B695" s="6" t="str">
        <f>"冯成"</f>
        <v>冯成</v>
      </c>
      <c r="C695" s="6" t="str">
        <f>"230702101822"</f>
        <v>230702101822</v>
      </c>
      <c r="D695" s="5" t="s">
        <v>20</v>
      </c>
      <c r="E695" s="5" t="s">
        <v>12</v>
      </c>
      <c r="F695" s="5">
        <v>194</v>
      </c>
      <c r="G695" s="7"/>
    </row>
    <row r="696" spans="1:7" ht="27.75" customHeight="1">
      <c r="A696" s="5">
        <v>694</v>
      </c>
      <c r="B696" s="6" t="str">
        <f>"吴松校"</f>
        <v>吴松校</v>
      </c>
      <c r="C696" s="6" t="str">
        <f>"230702101825"</f>
        <v>230702101825</v>
      </c>
      <c r="D696" s="5" t="s">
        <v>20</v>
      </c>
      <c r="E696" s="5" t="s">
        <v>12</v>
      </c>
      <c r="F696" s="5">
        <v>195</v>
      </c>
      <c r="G696" s="7"/>
    </row>
    <row r="697" spans="1:7" ht="27.75" customHeight="1">
      <c r="A697" s="5">
        <v>695</v>
      </c>
      <c r="B697" s="6" t="str">
        <f>"王文豪"</f>
        <v>王文豪</v>
      </c>
      <c r="C697" s="6" t="str">
        <f>"230702102020"</f>
        <v>230702102020</v>
      </c>
      <c r="D697" s="5" t="s">
        <v>20</v>
      </c>
      <c r="E697" s="5" t="s">
        <v>12</v>
      </c>
      <c r="F697" s="5">
        <v>196</v>
      </c>
      <c r="G697" s="7"/>
    </row>
    <row r="698" spans="1:7" ht="27.75" customHeight="1">
      <c r="A698" s="5">
        <v>696</v>
      </c>
      <c r="B698" s="6" t="str">
        <f>"陈益仁"</f>
        <v>陈益仁</v>
      </c>
      <c r="C698" s="6" t="str">
        <f>"230702102030"</f>
        <v>230702102030</v>
      </c>
      <c r="D698" s="5" t="s">
        <v>20</v>
      </c>
      <c r="E698" s="5" t="s">
        <v>12</v>
      </c>
      <c r="F698" s="5">
        <v>197</v>
      </c>
      <c r="G698" s="7"/>
    </row>
    <row r="699" spans="1:7" ht="27.75" customHeight="1">
      <c r="A699" s="5">
        <v>697</v>
      </c>
      <c r="B699" s="6" t="str">
        <f>"钟顺帆"</f>
        <v>钟顺帆</v>
      </c>
      <c r="C699" s="6" t="str">
        <f>"230702102619"</f>
        <v>230702102619</v>
      </c>
      <c r="D699" s="5" t="s">
        <v>20</v>
      </c>
      <c r="E699" s="5" t="s">
        <v>12</v>
      </c>
      <c r="F699" s="5">
        <v>198</v>
      </c>
      <c r="G699" s="7"/>
    </row>
    <row r="700" spans="1:7" ht="27.75" customHeight="1">
      <c r="A700" s="5">
        <v>698</v>
      </c>
      <c r="B700" s="6" t="str">
        <f>"王盛江"</f>
        <v>王盛江</v>
      </c>
      <c r="C700" s="6" t="str">
        <f>"230702102908"</f>
        <v>230702102908</v>
      </c>
      <c r="D700" s="5" t="s">
        <v>20</v>
      </c>
      <c r="E700" s="5" t="s">
        <v>12</v>
      </c>
      <c r="F700" s="5">
        <v>199</v>
      </c>
      <c r="G700" s="7"/>
    </row>
    <row r="701" spans="1:7" ht="27.75" customHeight="1">
      <c r="A701" s="5">
        <v>699</v>
      </c>
      <c r="B701" s="6" t="str">
        <f>"王文广"</f>
        <v>王文广</v>
      </c>
      <c r="C701" s="6" t="str">
        <f>"230702102916"</f>
        <v>230702102916</v>
      </c>
      <c r="D701" s="5" t="s">
        <v>20</v>
      </c>
      <c r="E701" s="5" t="s">
        <v>12</v>
      </c>
      <c r="F701" s="5">
        <v>200</v>
      </c>
      <c r="G701" s="7"/>
    </row>
    <row r="702" spans="1:7" ht="27.75" customHeight="1">
      <c r="A702" s="5">
        <v>700</v>
      </c>
      <c r="B702" s="6" t="str">
        <f>"邱文柯"</f>
        <v>邱文柯</v>
      </c>
      <c r="C702" s="6" t="str">
        <f>"230702102921"</f>
        <v>230702102921</v>
      </c>
      <c r="D702" s="5" t="s">
        <v>20</v>
      </c>
      <c r="E702" s="5" t="s">
        <v>12</v>
      </c>
      <c r="F702" s="5">
        <v>201</v>
      </c>
      <c r="G702" s="7"/>
    </row>
    <row r="703" spans="1:7" ht="27.75" customHeight="1">
      <c r="A703" s="5">
        <v>701</v>
      </c>
      <c r="B703" s="6" t="str">
        <f>"羊聪"</f>
        <v>羊聪</v>
      </c>
      <c r="C703" s="6" t="str">
        <f>"230702103001"</f>
        <v>230702103001</v>
      </c>
      <c r="D703" s="5" t="s">
        <v>20</v>
      </c>
      <c r="E703" s="5" t="s">
        <v>12</v>
      </c>
      <c r="F703" s="5">
        <v>202</v>
      </c>
      <c r="G703" s="7"/>
    </row>
    <row r="704" spans="1:7" ht="27.75" customHeight="1">
      <c r="A704" s="5">
        <v>702</v>
      </c>
      <c r="B704" s="6" t="str">
        <f>"洪文锐"</f>
        <v>洪文锐</v>
      </c>
      <c r="C704" s="6" t="str">
        <f>"230702103030"</f>
        <v>230702103030</v>
      </c>
      <c r="D704" s="5" t="s">
        <v>20</v>
      </c>
      <c r="E704" s="5" t="s">
        <v>12</v>
      </c>
      <c r="F704" s="5">
        <v>203</v>
      </c>
      <c r="G704" s="7"/>
    </row>
    <row r="705" spans="1:7" ht="27.75" customHeight="1">
      <c r="A705" s="5">
        <v>703</v>
      </c>
      <c r="B705" s="6" t="str">
        <f>"王康力"</f>
        <v>王康力</v>
      </c>
      <c r="C705" s="6" t="str">
        <f>"230702100729"</f>
        <v>230702100729</v>
      </c>
      <c r="D705" s="5" t="s">
        <v>20</v>
      </c>
      <c r="E705" s="5" t="s">
        <v>12</v>
      </c>
      <c r="F705" s="5">
        <v>204</v>
      </c>
      <c r="G705" s="7"/>
    </row>
    <row r="706" spans="1:7" ht="27.75" customHeight="1">
      <c r="A706" s="5">
        <v>704</v>
      </c>
      <c r="B706" s="6" t="str">
        <f>"赵庆壮"</f>
        <v>赵庆壮</v>
      </c>
      <c r="C706" s="6" t="str">
        <f>"230702100809"</f>
        <v>230702100809</v>
      </c>
      <c r="D706" s="5" t="s">
        <v>20</v>
      </c>
      <c r="E706" s="5" t="s">
        <v>12</v>
      </c>
      <c r="F706" s="5">
        <v>205</v>
      </c>
      <c r="G706" s="7"/>
    </row>
    <row r="707" spans="1:7" ht="27.75" customHeight="1">
      <c r="A707" s="5">
        <v>705</v>
      </c>
      <c r="B707" s="6" t="str">
        <f>"欧哲良"</f>
        <v>欧哲良</v>
      </c>
      <c r="C707" s="6" t="str">
        <f>"230702100811"</f>
        <v>230702100811</v>
      </c>
      <c r="D707" s="5" t="s">
        <v>20</v>
      </c>
      <c r="E707" s="5" t="s">
        <v>12</v>
      </c>
      <c r="F707" s="5">
        <v>206</v>
      </c>
      <c r="G707" s="7"/>
    </row>
    <row r="708" spans="1:7" ht="27.75" customHeight="1">
      <c r="A708" s="5">
        <v>706</v>
      </c>
      <c r="B708" s="6" t="str">
        <f>"骆光英"</f>
        <v>骆光英</v>
      </c>
      <c r="C708" s="6" t="str">
        <f>"230702100827"</f>
        <v>230702100827</v>
      </c>
      <c r="D708" s="5" t="s">
        <v>20</v>
      </c>
      <c r="E708" s="5" t="s">
        <v>12</v>
      </c>
      <c r="F708" s="5">
        <v>207</v>
      </c>
      <c r="G708" s="7"/>
    </row>
    <row r="709" spans="1:7" ht="27.75" customHeight="1">
      <c r="A709" s="5">
        <v>707</v>
      </c>
      <c r="B709" s="6" t="str">
        <f>"朱允法"</f>
        <v>朱允法</v>
      </c>
      <c r="C709" s="6" t="str">
        <f>"230702101503"</f>
        <v>230702101503</v>
      </c>
      <c r="D709" s="5" t="s">
        <v>20</v>
      </c>
      <c r="E709" s="5" t="s">
        <v>12</v>
      </c>
      <c r="F709" s="5">
        <v>208</v>
      </c>
      <c r="G709" s="7"/>
    </row>
    <row r="710" spans="1:7" ht="27.75" customHeight="1">
      <c r="A710" s="5">
        <v>708</v>
      </c>
      <c r="B710" s="6" t="str">
        <f>"颜仁欢"</f>
        <v>颜仁欢</v>
      </c>
      <c r="C710" s="6" t="str">
        <f>"230702101810"</f>
        <v>230702101810</v>
      </c>
      <c r="D710" s="5" t="s">
        <v>20</v>
      </c>
      <c r="E710" s="5" t="s">
        <v>12</v>
      </c>
      <c r="F710" s="5">
        <v>209</v>
      </c>
      <c r="G710" s="7"/>
    </row>
    <row r="711" spans="1:7" ht="27.75" customHeight="1">
      <c r="A711" s="5">
        <v>709</v>
      </c>
      <c r="B711" s="6" t="str">
        <f>"苏二波"</f>
        <v>苏二波</v>
      </c>
      <c r="C711" s="6" t="str">
        <f>"230702101830"</f>
        <v>230702101830</v>
      </c>
      <c r="D711" s="5" t="s">
        <v>20</v>
      </c>
      <c r="E711" s="5" t="s">
        <v>12</v>
      </c>
      <c r="F711" s="5">
        <v>210</v>
      </c>
      <c r="G711" s="7"/>
    </row>
    <row r="712" spans="1:7" ht="27.75" customHeight="1">
      <c r="A712" s="5">
        <v>710</v>
      </c>
      <c r="B712" s="6" t="str">
        <f>"蔡汝翔"</f>
        <v>蔡汝翔</v>
      </c>
      <c r="C712" s="6" t="str">
        <f>"230702102017"</f>
        <v>230702102017</v>
      </c>
      <c r="D712" s="5" t="s">
        <v>20</v>
      </c>
      <c r="E712" s="5" t="s">
        <v>12</v>
      </c>
      <c r="F712" s="5">
        <v>211</v>
      </c>
      <c r="G712" s="7"/>
    </row>
    <row r="713" spans="1:7" ht="27.75" customHeight="1">
      <c r="A713" s="5">
        <v>711</v>
      </c>
      <c r="B713" s="6" t="str">
        <f>"张俊国"</f>
        <v>张俊国</v>
      </c>
      <c r="C713" s="6" t="str">
        <f>"230702102214"</f>
        <v>230702102214</v>
      </c>
      <c r="D713" s="5" t="s">
        <v>20</v>
      </c>
      <c r="E713" s="5" t="s">
        <v>12</v>
      </c>
      <c r="F713" s="5">
        <v>212</v>
      </c>
      <c r="G713" s="7"/>
    </row>
    <row r="714" spans="1:7" ht="27.75" customHeight="1">
      <c r="A714" s="5">
        <v>712</v>
      </c>
      <c r="B714" s="6" t="str">
        <f>"樊挺"</f>
        <v>樊挺</v>
      </c>
      <c r="C714" s="6" t="str">
        <f>"230702102309"</f>
        <v>230702102309</v>
      </c>
      <c r="D714" s="5" t="s">
        <v>20</v>
      </c>
      <c r="E714" s="5" t="s">
        <v>12</v>
      </c>
      <c r="F714" s="5">
        <v>213</v>
      </c>
      <c r="G714" s="7"/>
    </row>
    <row r="715" spans="1:7" ht="27.75" customHeight="1">
      <c r="A715" s="5">
        <v>713</v>
      </c>
      <c r="B715" s="6" t="str">
        <f>"梁昌俊"</f>
        <v>梁昌俊</v>
      </c>
      <c r="C715" s="6" t="str">
        <f>"230702102414"</f>
        <v>230702102414</v>
      </c>
      <c r="D715" s="5" t="s">
        <v>20</v>
      </c>
      <c r="E715" s="5" t="s">
        <v>12</v>
      </c>
      <c r="F715" s="5">
        <v>214</v>
      </c>
      <c r="G715" s="7"/>
    </row>
    <row r="716" spans="1:7" ht="27.75" customHeight="1">
      <c r="A716" s="5">
        <v>714</v>
      </c>
      <c r="B716" s="6" t="str">
        <f>"陈复运"</f>
        <v>陈复运</v>
      </c>
      <c r="C716" s="6" t="str">
        <f>"230702102708"</f>
        <v>230702102708</v>
      </c>
      <c r="D716" s="5" t="s">
        <v>20</v>
      </c>
      <c r="E716" s="5" t="s">
        <v>12</v>
      </c>
      <c r="F716" s="5">
        <v>215</v>
      </c>
      <c r="G716" s="7"/>
    </row>
    <row r="717" spans="1:7" ht="27.75" customHeight="1">
      <c r="A717" s="5">
        <v>715</v>
      </c>
      <c r="B717" s="6" t="str">
        <f>"陈铭"</f>
        <v>陈铭</v>
      </c>
      <c r="C717" s="6" t="str">
        <f>"230702102727"</f>
        <v>230702102727</v>
      </c>
      <c r="D717" s="5" t="s">
        <v>20</v>
      </c>
      <c r="E717" s="5" t="s">
        <v>12</v>
      </c>
      <c r="F717" s="5">
        <v>216</v>
      </c>
      <c r="G717" s="7"/>
    </row>
    <row r="718" spans="1:7" ht="27.75" customHeight="1">
      <c r="A718" s="5">
        <v>716</v>
      </c>
      <c r="B718" s="6" t="str">
        <f>"张保帝"</f>
        <v>张保帝</v>
      </c>
      <c r="C718" s="6" t="str">
        <f>"230702102824"</f>
        <v>230702102824</v>
      </c>
      <c r="D718" s="5" t="s">
        <v>20</v>
      </c>
      <c r="E718" s="5" t="s">
        <v>12</v>
      </c>
      <c r="F718" s="5">
        <v>217</v>
      </c>
      <c r="G718" s="7"/>
    </row>
    <row r="719" spans="1:7" ht="27.75" customHeight="1">
      <c r="A719" s="5">
        <v>717</v>
      </c>
      <c r="B719" s="6" t="str">
        <f>"蔡开睿"</f>
        <v>蔡开睿</v>
      </c>
      <c r="C719" s="6" t="str">
        <f>"230702102915"</f>
        <v>230702102915</v>
      </c>
      <c r="D719" s="5" t="s">
        <v>20</v>
      </c>
      <c r="E719" s="5" t="s">
        <v>12</v>
      </c>
      <c r="F719" s="5">
        <v>218</v>
      </c>
      <c r="G719" s="7"/>
    </row>
    <row r="720" spans="1:7" ht="27.75" customHeight="1">
      <c r="A720" s="5">
        <v>718</v>
      </c>
      <c r="B720" s="6" t="str">
        <f>"王槐毅"</f>
        <v>王槐毅</v>
      </c>
      <c r="C720" s="6" t="str">
        <f>"230702102928"</f>
        <v>230702102928</v>
      </c>
      <c r="D720" s="5" t="s">
        <v>20</v>
      </c>
      <c r="E720" s="5" t="s">
        <v>12</v>
      </c>
      <c r="F720" s="5">
        <v>219</v>
      </c>
      <c r="G720" s="7"/>
    </row>
    <row r="721" spans="1:7" ht="27.75" customHeight="1">
      <c r="A721" s="5">
        <v>719</v>
      </c>
      <c r="B721" s="6" t="str">
        <f>"王文霏"</f>
        <v>王文霏</v>
      </c>
      <c r="C721" s="6" t="str">
        <f>"230702103013"</f>
        <v>230702103013</v>
      </c>
      <c r="D721" s="5" t="s">
        <v>20</v>
      </c>
      <c r="E721" s="5" t="s">
        <v>12</v>
      </c>
      <c r="F721" s="5">
        <v>220</v>
      </c>
      <c r="G721" s="7"/>
    </row>
    <row r="722" spans="1:7" ht="27.75" customHeight="1">
      <c r="A722" s="5">
        <v>720</v>
      </c>
      <c r="B722" s="6" t="str">
        <f>"符毅"</f>
        <v>符毅</v>
      </c>
      <c r="C722" s="6" t="str">
        <f>"230702103018"</f>
        <v>230702103018</v>
      </c>
      <c r="D722" s="5" t="s">
        <v>20</v>
      </c>
      <c r="E722" s="5" t="s">
        <v>13</v>
      </c>
      <c r="F722" s="5">
        <v>221</v>
      </c>
      <c r="G722" s="7"/>
    </row>
    <row r="723" spans="1:7" ht="27.75" customHeight="1">
      <c r="A723" s="5">
        <v>721</v>
      </c>
      <c r="B723" s="6" t="str">
        <f>"林哲尉"</f>
        <v>林哲尉</v>
      </c>
      <c r="C723" s="6" t="str">
        <f>"230702103110"</f>
        <v>230702103110</v>
      </c>
      <c r="D723" s="5" t="s">
        <v>20</v>
      </c>
      <c r="E723" s="5" t="s">
        <v>13</v>
      </c>
      <c r="F723" s="5">
        <v>222</v>
      </c>
      <c r="G723" s="7"/>
    </row>
    <row r="724" spans="1:7" ht="27.75" customHeight="1">
      <c r="A724" s="5">
        <v>722</v>
      </c>
      <c r="B724" s="6" t="str">
        <f>"李广彪"</f>
        <v>李广彪</v>
      </c>
      <c r="C724" s="6" t="str">
        <f>"230702103522"</f>
        <v>230702103522</v>
      </c>
      <c r="D724" s="5" t="s">
        <v>20</v>
      </c>
      <c r="E724" s="5" t="s">
        <v>13</v>
      </c>
      <c r="F724" s="5">
        <v>223</v>
      </c>
      <c r="G724" s="7"/>
    </row>
    <row r="725" spans="1:7" ht="27.75" customHeight="1">
      <c r="A725" s="5">
        <v>723</v>
      </c>
      <c r="B725" s="6" t="str">
        <f>"张传礼"</f>
        <v>张传礼</v>
      </c>
      <c r="C725" s="6" t="str">
        <f>"230702101530"</f>
        <v>230702101530</v>
      </c>
      <c r="D725" s="5" t="s">
        <v>20</v>
      </c>
      <c r="E725" s="5" t="s">
        <v>13</v>
      </c>
      <c r="F725" s="5">
        <v>224</v>
      </c>
      <c r="G725" s="7"/>
    </row>
    <row r="726" spans="1:7" ht="27.75" customHeight="1">
      <c r="A726" s="5">
        <v>724</v>
      </c>
      <c r="B726" s="6" t="str">
        <f>"符传坚"</f>
        <v>符传坚</v>
      </c>
      <c r="C726" s="6" t="str">
        <f>"230702101730"</f>
        <v>230702101730</v>
      </c>
      <c r="D726" s="5" t="s">
        <v>20</v>
      </c>
      <c r="E726" s="5" t="s">
        <v>13</v>
      </c>
      <c r="F726" s="5">
        <v>225</v>
      </c>
      <c r="G726" s="7"/>
    </row>
    <row r="727" spans="1:7" ht="27.75" customHeight="1">
      <c r="A727" s="5">
        <v>725</v>
      </c>
      <c r="B727" s="6" t="str">
        <f>"符乐群"</f>
        <v>符乐群</v>
      </c>
      <c r="C727" s="6" t="str">
        <f>"230702102012"</f>
        <v>230702102012</v>
      </c>
      <c r="D727" s="5" t="s">
        <v>20</v>
      </c>
      <c r="E727" s="5" t="s">
        <v>13</v>
      </c>
      <c r="F727" s="5">
        <v>226</v>
      </c>
      <c r="G727" s="7"/>
    </row>
    <row r="728" spans="1:7" ht="27.75" customHeight="1">
      <c r="A728" s="5">
        <v>726</v>
      </c>
      <c r="B728" s="6" t="str">
        <f>"何卓根"</f>
        <v>何卓根</v>
      </c>
      <c r="C728" s="6" t="str">
        <f>"230702102128"</f>
        <v>230702102128</v>
      </c>
      <c r="D728" s="5" t="s">
        <v>20</v>
      </c>
      <c r="E728" s="5" t="s">
        <v>13</v>
      </c>
      <c r="F728" s="5">
        <v>227</v>
      </c>
      <c r="G728" s="7"/>
    </row>
    <row r="729" spans="1:7" ht="27.75" customHeight="1">
      <c r="A729" s="5">
        <v>727</v>
      </c>
      <c r="B729" s="6" t="str">
        <f>"周以帅"</f>
        <v>周以帅</v>
      </c>
      <c r="C729" s="6" t="str">
        <f>"230702102228"</f>
        <v>230702102228</v>
      </c>
      <c r="D729" s="5" t="s">
        <v>20</v>
      </c>
      <c r="E729" s="5" t="s">
        <v>13</v>
      </c>
      <c r="F729" s="5">
        <v>228</v>
      </c>
      <c r="G729" s="7"/>
    </row>
    <row r="730" spans="1:7" ht="27.75" customHeight="1">
      <c r="A730" s="5">
        <v>728</v>
      </c>
      <c r="B730" s="6" t="str">
        <f>"方广辉"</f>
        <v>方广辉</v>
      </c>
      <c r="C730" s="6" t="str">
        <f>"230702102508"</f>
        <v>230702102508</v>
      </c>
      <c r="D730" s="5" t="s">
        <v>20</v>
      </c>
      <c r="E730" s="5" t="s">
        <v>13</v>
      </c>
      <c r="F730" s="5">
        <v>229</v>
      </c>
      <c r="G730" s="7"/>
    </row>
    <row r="731" spans="1:7" ht="27.75" customHeight="1">
      <c r="A731" s="5">
        <v>729</v>
      </c>
      <c r="B731" s="6" t="str">
        <f>"范奇柠"</f>
        <v>范奇柠</v>
      </c>
      <c r="C731" s="6" t="str">
        <f>"230702102906"</f>
        <v>230702102906</v>
      </c>
      <c r="D731" s="5" t="s">
        <v>20</v>
      </c>
      <c r="E731" s="5" t="s">
        <v>13</v>
      </c>
      <c r="F731" s="5">
        <v>230</v>
      </c>
      <c r="G731" s="7"/>
    </row>
    <row r="732" spans="1:7" ht="27.75" customHeight="1">
      <c r="A732" s="5">
        <v>730</v>
      </c>
      <c r="B732" s="6" t="str">
        <f>"劳成华"</f>
        <v>劳成华</v>
      </c>
      <c r="C732" s="6" t="str">
        <f>"230702102920"</f>
        <v>230702102920</v>
      </c>
      <c r="D732" s="5" t="s">
        <v>20</v>
      </c>
      <c r="E732" s="5" t="s">
        <v>13</v>
      </c>
      <c r="F732" s="5">
        <v>231</v>
      </c>
      <c r="G732" s="7"/>
    </row>
    <row r="733" spans="1:7" ht="27.75" customHeight="1">
      <c r="A733" s="5">
        <v>731</v>
      </c>
      <c r="B733" s="6" t="str">
        <f>"王明亮"</f>
        <v>王明亮</v>
      </c>
      <c r="C733" s="6" t="str">
        <f>"230702103017"</f>
        <v>230702103017</v>
      </c>
      <c r="D733" s="5" t="s">
        <v>20</v>
      </c>
      <c r="E733" s="5" t="s">
        <v>13</v>
      </c>
      <c r="F733" s="5">
        <v>232</v>
      </c>
      <c r="G733" s="7"/>
    </row>
    <row r="734" spans="1:7" ht="27.75" customHeight="1">
      <c r="A734" s="5">
        <v>732</v>
      </c>
      <c r="B734" s="6" t="str">
        <f>"李博"</f>
        <v>李博</v>
      </c>
      <c r="C734" s="6" t="str">
        <f>"230702103021"</f>
        <v>230702103021</v>
      </c>
      <c r="D734" s="5" t="s">
        <v>20</v>
      </c>
      <c r="E734" s="5" t="s">
        <v>13</v>
      </c>
      <c r="F734" s="5">
        <v>233</v>
      </c>
      <c r="G734" s="7"/>
    </row>
    <row r="735" spans="1:7" ht="27.75" customHeight="1">
      <c r="A735" s="5">
        <v>733</v>
      </c>
      <c r="B735" s="6" t="str">
        <f>"蔡奕奕"</f>
        <v>蔡奕奕</v>
      </c>
      <c r="C735" s="6" t="str">
        <f>"230702103112"</f>
        <v>230702103112</v>
      </c>
      <c r="D735" s="5" t="s">
        <v>20</v>
      </c>
      <c r="E735" s="5" t="s">
        <v>13</v>
      </c>
      <c r="F735" s="5">
        <v>234</v>
      </c>
      <c r="G735" s="7"/>
    </row>
    <row r="736" spans="1:7" ht="27.75" customHeight="1">
      <c r="A736" s="5">
        <v>734</v>
      </c>
      <c r="B736" s="6" t="str">
        <f>"劳一鸣"</f>
        <v>劳一鸣</v>
      </c>
      <c r="C736" s="6" t="str">
        <f>"230702103509"</f>
        <v>230702103509</v>
      </c>
      <c r="D736" s="5" t="s">
        <v>20</v>
      </c>
      <c r="E736" s="5" t="s">
        <v>13</v>
      </c>
      <c r="F736" s="5">
        <v>235</v>
      </c>
      <c r="G736" s="7"/>
    </row>
    <row r="737" spans="1:7" ht="27.75" customHeight="1">
      <c r="A737" s="5">
        <v>735</v>
      </c>
      <c r="B737" s="6" t="str">
        <f>"蒙钟润"</f>
        <v>蒙钟润</v>
      </c>
      <c r="C737" s="6" t="str">
        <f>"230702103524"</f>
        <v>230702103524</v>
      </c>
      <c r="D737" s="5" t="s">
        <v>20</v>
      </c>
      <c r="E737" s="5" t="s">
        <v>13</v>
      </c>
      <c r="F737" s="5">
        <v>236</v>
      </c>
      <c r="G737" s="7"/>
    </row>
    <row r="738" spans="1:7" ht="27.75" customHeight="1">
      <c r="A738" s="5">
        <v>736</v>
      </c>
      <c r="B738" s="6" t="str">
        <f>"岑选仲"</f>
        <v>岑选仲</v>
      </c>
      <c r="C738" s="6" t="str">
        <f>"230702100802"</f>
        <v>230702100802</v>
      </c>
      <c r="D738" s="5" t="s">
        <v>20</v>
      </c>
      <c r="E738" s="5" t="s">
        <v>13</v>
      </c>
      <c r="F738" s="5">
        <v>237</v>
      </c>
      <c r="G738" s="7"/>
    </row>
    <row r="739" spans="1:7" ht="27.75" customHeight="1">
      <c r="A739" s="5">
        <v>737</v>
      </c>
      <c r="B739" s="6" t="str">
        <f>"苏川晋"</f>
        <v>苏川晋</v>
      </c>
      <c r="C739" s="6" t="str">
        <f>"230702100818"</f>
        <v>230702100818</v>
      </c>
      <c r="D739" s="5" t="s">
        <v>20</v>
      </c>
      <c r="E739" s="5" t="s">
        <v>13</v>
      </c>
      <c r="F739" s="5">
        <v>238</v>
      </c>
      <c r="G739" s="7"/>
    </row>
    <row r="740" spans="1:7" ht="27.75" customHeight="1">
      <c r="A740" s="5">
        <v>738</v>
      </c>
      <c r="B740" s="6" t="str">
        <f>"秦万文"</f>
        <v>秦万文</v>
      </c>
      <c r="C740" s="6" t="str">
        <f>"230702101112"</f>
        <v>230702101112</v>
      </c>
      <c r="D740" s="5" t="s">
        <v>20</v>
      </c>
      <c r="E740" s="5" t="s">
        <v>13</v>
      </c>
      <c r="F740" s="5">
        <v>239</v>
      </c>
      <c r="G740" s="7"/>
    </row>
    <row r="741" spans="1:7" ht="27.75" customHeight="1">
      <c r="A741" s="5">
        <v>739</v>
      </c>
      <c r="B741" s="6" t="str">
        <f>"彭诗凤"</f>
        <v>彭诗凤</v>
      </c>
      <c r="C741" s="6" t="str">
        <f>"230702102615"</f>
        <v>230702102615</v>
      </c>
      <c r="D741" s="5" t="s">
        <v>20</v>
      </c>
      <c r="E741" s="5" t="s">
        <v>13</v>
      </c>
      <c r="F741" s="5">
        <v>240</v>
      </c>
      <c r="G741" s="7"/>
    </row>
    <row r="742" spans="1:7" ht="27.75" customHeight="1">
      <c r="A742" s="5">
        <v>740</v>
      </c>
      <c r="B742" s="6" t="str">
        <f>"陈奕隆"</f>
        <v>陈奕隆</v>
      </c>
      <c r="C742" s="6" t="str">
        <f>"230702102623"</f>
        <v>230702102623</v>
      </c>
      <c r="D742" s="5" t="s">
        <v>20</v>
      </c>
      <c r="E742" s="5" t="s">
        <v>13</v>
      </c>
      <c r="F742" s="5">
        <v>241</v>
      </c>
      <c r="G742" s="7"/>
    </row>
    <row r="743" spans="1:7" ht="27.75" customHeight="1">
      <c r="A743" s="5">
        <v>741</v>
      </c>
      <c r="B743" s="6" t="str">
        <f>"邢孔飞"</f>
        <v>邢孔飞</v>
      </c>
      <c r="C743" s="6" t="str">
        <f>"230702102703"</f>
        <v>230702102703</v>
      </c>
      <c r="D743" s="5" t="s">
        <v>20</v>
      </c>
      <c r="E743" s="5" t="s">
        <v>13</v>
      </c>
      <c r="F743" s="5">
        <v>242</v>
      </c>
      <c r="G743" s="7"/>
    </row>
    <row r="744" spans="1:7" ht="27.75" customHeight="1">
      <c r="A744" s="5">
        <v>742</v>
      </c>
      <c r="B744" s="6" t="str">
        <f>"黄宗宏"</f>
        <v>黄宗宏</v>
      </c>
      <c r="C744" s="6" t="str">
        <f>"230702102718"</f>
        <v>230702102718</v>
      </c>
      <c r="D744" s="5" t="s">
        <v>20</v>
      </c>
      <c r="E744" s="5" t="s">
        <v>13</v>
      </c>
      <c r="F744" s="5">
        <v>243</v>
      </c>
      <c r="G744" s="7"/>
    </row>
    <row r="745" spans="1:7" ht="27.75" customHeight="1">
      <c r="A745" s="5">
        <v>743</v>
      </c>
      <c r="B745" s="6" t="str">
        <f>"吉训鹏"</f>
        <v>吉训鹏</v>
      </c>
      <c r="C745" s="6" t="str">
        <f>"230702102817"</f>
        <v>230702102817</v>
      </c>
      <c r="D745" s="5" t="s">
        <v>20</v>
      </c>
      <c r="E745" s="5" t="s">
        <v>13</v>
      </c>
      <c r="F745" s="5">
        <v>244</v>
      </c>
      <c r="G745" s="7"/>
    </row>
    <row r="746" spans="1:7" ht="27.75" customHeight="1">
      <c r="A746" s="5">
        <v>744</v>
      </c>
      <c r="B746" s="6" t="str">
        <f>"李祖健"</f>
        <v>李祖健</v>
      </c>
      <c r="C746" s="6" t="str">
        <f>"230702102822"</f>
        <v>230702102822</v>
      </c>
      <c r="D746" s="5" t="s">
        <v>20</v>
      </c>
      <c r="E746" s="5" t="s">
        <v>13</v>
      </c>
      <c r="F746" s="5">
        <v>245</v>
      </c>
      <c r="G746" s="7"/>
    </row>
    <row r="747" spans="1:7" ht="27.75" customHeight="1">
      <c r="A747" s="5">
        <v>745</v>
      </c>
      <c r="B747" s="6" t="str">
        <f>"罗志建"</f>
        <v>罗志建</v>
      </c>
      <c r="C747" s="6" t="str">
        <f>"230702102919"</f>
        <v>230702102919</v>
      </c>
      <c r="D747" s="5" t="s">
        <v>20</v>
      </c>
      <c r="E747" s="5" t="s">
        <v>13</v>
      </c>
      <c r="F747" s="5">
        <v>246</v>
      </c>
      <c r="G747" s="7"/>
    </row>
    <row r="748" spans="1:7" ht="27.75" customHeight="1">
      <c r="A748" s="5">
        <v>746</v>
      </c>
      <c r="B748" s="6" t="str">
        <f>"杜修芸"</f>
        <v>杜修芸</v>
      </c>
      <c r="C748" s="6" t="str">
        <f>"230702103304"</f>
        <v>230702103304</v>
      </c>
      <c r="D748" s="5" t="s">
        <v>20</v>
      </c>
      <c r="E748" s="5" t="s">
        <v>13</v>
      </c>
      <c r="F748" s="5">
        <v>247</v>
      </c>
      <c r="G748" s="7"/>
    </row>
    <row r="749" spans="1:7" ht="27.75" customHeight="1">
      <c r="A749" s="5">
        <v>747</v>
      </c>
      <c r="B749" s="6" t="str">
        <f>"陈奕鹏"</f>
        <v>陈奕鹏</v>
      </c>
      <c r="C749" s="6" t="str">
        <f>"230702103307"</f>
        <v>230702103307</v>
      </c>
      <c r="D749" s="5" t="s">
        <v>20</v>
      </c>
      <c r="E749" s="5" t="s">
        <v>13</v>
      </c>
      <c r="F749" s="5">
        <v>248</v>
      </c>
      <c r="G749" s="7"/>
    </row>
    <row r="750" spans="1:7" ht="27.75" customHeight="1">
      <c r="A750" s="5">
        <v>748</v>
      </c>
      <c r="B750" s="6" t="str">
        <f>"符龙剑"</f>
        <v>符龙剑</v>
      </c>
      <c r="C750" s="6" t="str">
        <f>"230702103319"</f>
        <v>230702103319</v>
      </c>
      <c r="D750" s="5" t="s">
        <v>20</v>
      </c>
      <c r="E750" s="5" t="s">
        <v>13</v>
      </c>
      <c r="F750" s="5">
        <v>249</v>
      </c>
      <c r="G750" s="7"/>
    </row>
    <row r="751" spans="1:7" ht="27.75" customHeight="1">
      <c r="A751" s="5">
        <v>749</v>
      </c>
      <c r="B751" s="6" t="str">
        <f>"林青乐"</f>
        <v>林青乐</v>
      </c>
      <c r="C751" s="6" t="str">
        <f>"230702103328"</f>
        <v>230702103328</v>
      </c>
      <c r="D751" s="5" t="s">
        <v>20</v>
      </c>
      <c r="E751" s="5" t="s">
        <v>13</v>
      </c>
      <c r="F751" s="5">
        <v>250</v>
      </c>
      <c r="G751" s="7"/>
    </row>
    <row r="752" spans="1:7" ht="27.75" customHeight="1">
      <c r="A752" s="5">
        <v>750</v>
      </c>
      <c r="B752" s="6" t="str">
        <f>"王国志"</f>
        <v>王国志</v>
      </c>
      <c r="C752" s="6" t="str">
        <f>"230702101010"</f>
        <v>230702101010</v>
      </c>
      <c r="D752" s="5" t="s">
        <v>20</v>
      </c>
      <c r="E752" s="5" t="s">
        <v>13</v>
      </c>
      <c r="F752" s="5">
        <v>251</v>
      </c>
      <c r="G752" s="7"/>
    </row>
    <row r="753" spans="1:7" ht="27.75" customHeight="1">
      <c r="A753" s="5">
        <v>751</v>
      </c>
      <c r="B753" s="6" t="str">
        <f>"方一雅"</f>
        <v>方一雅</v>
      </c>
      <c r="C753" s="6" t="str">
        <f>"230702101407"</f>
        <v>230702101407</v>
      </c>
      <c r="D753" s="5" t="s">
        <v>20</v>
      </c>
      <c r="E753" s="5" t="s">
        <v>13</v>
      </c>
      <c r="F753" s="5">
        <v>252</v>
      </c>
      <c r="G753" s="7"/>
    </row>
    <row r="754" spans="1:7" ht="27.75" customHeight="1">
      <c r="A754" s="5">
        <v>752</v>
      </c>
      <c r="B754" s="6" t="str">
        <f>"王周行"</f>
        <v>王周行</v>
      </c>
      <c r="C754" s="6" t="str">
        <f>"230702101501"</f>
        <v>230702101501</v>
      </c>
      <c r="D754" s="5" t="s">
        <v>20</v>
      </c>
      <c r="E754" s="5" t="s">
        <v>13</v>
      </c>
      <c r="F754" s="5">
        <v>253</v>
      </c>
      <c r="G754" s="7"/>
    </row>
    <row r="755" spans="1:7" ht="27.75" customHeight="1">
      <c r="A755" s="5">
        <v>753</v>
      </c>
      <c r="B755" s="6" t="str">
        <f>"谭清华"</f>
        <v>谭清华</v>
      </c>
      <c r="C755" s="6" t="str">
        <f>"230702101508"</f>
        <v>230702101508</v>
      </c>
      <c r="D755" s="5" t="s">
        <v>20</v>
      </c>
      <c r="E755" s="5" t="s">
        <v>13</v>
      </c>
      <c r="F755" s="5">
        <v>254</v>
      </c>
      <c r="G755" s="7"/>
    </row>
    <row r="756" spans="1:7" ht="27.75" customHeight="1">
      <c r="A756" s="5">
        <v>754</v>
      </c>
      <c r="B756" s="6" t="str">
        <f>"吴淑秀"</f>
        <v>吴淑秀</v>
      </c>
      <c r="C756" s="6" t="str">
        <f>"230702101602"</f>
        <v>230702101602</v>
      </c>
      <c r="D756" s="5" t="s">
        <v>20</v>
      </c>
      <c r="E756" s="5" t="s">
        <v>13</v>
      </c>
      <c r="F756" s="5">
        <v>255</v>
      </c>
      <c r="G756" s="7"/>
    </row>
    <row r="757" spans="1:7" ht="27.75" customHeight="1">
      <c r="A757" s="5">
        <v>755</v>
      </c>
      <c r="B757" s="6" t="str">
        <f>"韩日定"</f>
        <v>韩日定</v>
      </c>
      <c r="C757" s="6" t="str">
        <f>"230702101610"</f>
        <v>230702101610</v>
      </c>
      <c r="D757" s="5" t="s">
        <v>20</v>
      </c>
      <c r="E757" s="5" t="s">
        <v>13</v>
      </c>
      <c r="F757" s="5">
        <v>256</v>
      </c>
      <c r="G757" s="7"/>
    </row>
    <row r="758" spans="1:7" ht="27.75" customHeight="1">
      <c r="A758" s="5">
        <v>756</v>
      </c>
      <c r="B758" s="6" t="str">
        <f>"孙伟"</f>
        <v>孙伟</v>
      </c>
      <c r="C758" s="6" t="str">
        <f>"230702101618"</f>
        <v>230702101618</v>
      </c>
      <c r="D758" s="5" t="s">
        <v>20</v>
      </c>
      <c r="E758" s="5" t="s">
        <v>13</v>
      </c>
      <c r="F758" s="5">
        <v>257</v>
      </c>
      <c r="G758" s="7"/>
    </row>
    <row r="759" spans="1:7" ht="27.75" customHeight="1">
      <c r="A759" s="5">
        <v>757</v>
      </c>
      <c r="B759" s="6" t="str">
        <f>"羊本发"</f>
        <v>羊本发</v>
      </c>
      <c r="C759" s="6" t="str">
        <f>"230702101626"</f>
        <v>230702101626</v>
      </c>
      <c r="D759" s="5" t="s">
        <v>20</v>
      </c>
      <c r="E759" s="5" t="s">
        <v>13</v>
      </c>
      <c r="F759" s="5">
        <v>258</v>
      </c>
      <c r="G759" s="7"/>
    </row>
    <row r="760" spans="1:7" ht="27.75" customHeight="1">
      <c r="A760" s="5">
        <v>758</v>
      </c>
      <c r="B760" s="6" t="str">
        <f>"苟书豪"</f>
        <v>苟书豪</v>
      </c>
      <c r="C760" s="6" t="str">
        <f>"230702101827"</f>
        <v>230702101827</v>
      </c>
      <c r="D760" s="5" t="s">
        <v>20</v>
      </c>
      <c r="E760" s="5" t="s">
        <v>13</v>
      </c>
      <c r="F760" s="5">
        <v>259</v>
      </c>
      <c r="G760" s="7"/>
    </row>
    <row r="761" spans="1:7" ht="27.75" customHeight="1">
      <c r="A761" s="5">
        <v>759</v>
      </c>
      <c r="B761" s="6" t="str">
        <f>"陈以岳"</f>
        <v>陈以岳</v>
      </c>
      <c r="C761" s="6" t="str">
        <f>"230702101916"</f>
        <v>230702101916</v>
      </c>
      <c r="D761" s="5" t="s">
        <v>20</v>
      </c>
      <c r="E761" s="5" t="s">
        <v>13</v>
      </c>
      <c r="F761" s="5">
        <v>260</v>
      </c>
      <c r="G761" s="7"/>
    </row>
    <row r="762" spans="1:7" ht="27.75" customHeight="1">
      <c r="A762" s="5">
        <v>760</v>
      </c>
      <c r="B762" s="6" t="str">
        <f>"唐甸宇"</f>
        <v>唐甸宇</v>
      </c>
      <c r="C762" s="6" t="str">
        <f>"230702102107"</f>
        <v>230702102107</v>
      </c>
      <c r="D762" s="5" t="s">
        <v>20</v>
      </c>
      <c r="E762" s="5" t="s">
        <v>13</v>
      </c>
      <c r="F762" s="5">
        <v>261</v>
      </c>
      <c r="G762" s="7"/>
    </row>
    <row r="763" spans="1:7" ht="27.75" customHeight="1">
      <c r="A763" s="5">
        <v>761</v>
      </c>
      <c r="B763" s="6" t="str">
        <f>"郭高浪"</f>
        <v>郭高浪</v>
      </c>
      <c r="C763" s="6" t="str">
        <f>"230702102108"</f>
        <v>230702102108</v>
      </c>
      <c r="D763" s="5" t="s">
        <v>20</v>
      </c>
      <c r="E763" s="5" t="s">
        <v>13</v>
      </c>
      <c r="F763" s="5">
        <v>262</v>
      </c>
      <c r="G763" s="7"/>
    </row>
    <row r="764" spans="1:7" ht="27.75" customHeight="1">
      <c r="A764" s="5">
        <v>762</v>
      </c>
      <c r="B764" s="6" t="str">
        <f>"魏德华"</f>
        <v>魏德华</v>
      </c>
      <c r="C764" s="6" t="str">
        <f>"230702102110"</f>
        <v>230702102110</v>
      </c>
      <c r="D764" s="5" t="s">
        <v>20</v>
      </c>
      <c r="E764" s="5" t="s">
        <v>13</v>
      </c>
      <c r="F764" s="5">
        <v>263</v>
      </c>
      <c r="G764" s="7"/>
    </row>
    <row r="765" spans="1:7" ht="27.75" customHeight="1">
      <c r="A765" s="5">
        <v>763</v>
      </c>
      <c r="B765" s="6" t="str">
        <f>"吴杰"</f>
        <v>吴杰</v>
      </c>
      <c r="C765" s="6" t="str">
        <f>"230702102227"</f>
        <v>230702102227</v>
      </c>
      <c r="D765" s="5" t="s">
        <v>20</v>
      </c>
      <c r="E765" s="5" t="s">
        <v>13</v>
      </c>
      <c r="F765" s="5">
        <v>264</v>
      </c>
      <c r="G765" s="7"/>
    </row>
    <row r="766" spans="1:7" ht="27.75" customHeight="1">
      <c r="A766" s="5">
        <v>764</v>
      </c>
      <c r="B766" s="6" t="str">
        <f>"胡亚帅"</f>
        <v>胡亚帅</v>
      </c>
      <c r="C766" s="6" t="str">
        <f>"230702102509"</f>
        <v>230702102509</v>
      </c>
      <c r="D766" s="5" t="s">
        <v>20</v>
      </c>
      <c r="E766" s="5" t="s">
        <v>13</v>
      </c>
      <c r="F766" s="5">
        <v>265</v>
      </c>
      <c r="G766" s="7"/>
    </row>
    <row r="767" spans="1:7" ht="27.75" customHeight="1">
      <c r="A767" s="5">
        <v>765</v>
      </c>
      <c r="B767" s="6" t="str">
        <f>"李坚"</f>
        <v>李坚</v>
      </c>
      <c r="C767" s="6" t="str">
        <f>"230702102612"</f>
        <v>230702102612</v>
      </c>
      <c r="D767" s="5" t="s">
        <v>20</v>
      </c>
      <c r="E767" s="5" t="s">
        <v>13</v>
      </c>
      <c r="F767" s="5">
        <v>266</v>
      </c>
      <c r="G767" s="7"/>
    </row>
    <row r="768" spans="1:7" ht="27.75" customHeight="1">
      <c r="A768" s="5">
        <v>766</v>
      </c>
      <c r="B768" s="6" t="str">
        <f>"文俊杨"</f>
        <v>文俊杨</v>
      </c>
      <c r="C768" s="6" t="str">
        <f>"230702102721"</f>
        <v>230702102721</v>
      </c>
      <c r="D768" s="5" t="s">
        <v>20</v>
      </c>
      <c r="E768" s="5" t="s">
        <v>13</v>
      </c>
      <c r="F768" s="5">
        <v>267</v>
      </c>
      <c r="G768" s="7"/>
    </row>
    <row r="769" spans="1:7" ht="27.75" customHeight="1">
      <c r="A769" s="5">
        <v>767</v>
      </c>
      <c r="B769" s="6" t="str">
        <f>"王绥吉"</f>
        <v>王绥吉</v>
      </c>
      <c r="C769" s="6" t="str">
        <f>"230702102917"</f>
        <v>230702102917</v>
      </c>
      <c r="D769" s="5" t="s">
        <v>20</v>
      </c>
      <c r="E769" s="5" t="s">
        <v>13</v>
      </c>
      <c r="F769" s="5">
        <v>268</v>
      </c>
      <c r="G769" s="7"/>
    </row>
    <row r="770" spans="1:7" ht="27.75" customHeight="1">
      <c r="A770" s="5">
        <v>768</v>
      </c>
      <c r="B770" s="6" t="str">
        <f>"朱望峰"</f>
        <v>朱望峰</v>
      </c>
      <c r="C770" s="6" t="str">
        <f>"230702103103"</f>
        <v>230702103103</v>
      </c>
      <c r="D770" s="5" t="s">
        <v>20</v>
      </c>
      <c r="E770" s="5" t="s">
        <v>13</v>
      </c>
      <c r="F770" s="5">
        <v>269</v>
      </c>
      <c r="G770" s="7"/>
    </row>
    <row r="771" spans="1:7" ht="27.75" customHeight="1">
      <c r="A771" s="5">
        <v>769</v>
      </c>
      <c r="B771" s="6" t="str">
        <f>"麦福利"</f>
        <v>麦福利</v>
      </c>
      <c r="C771" s="6" t="str">
        <f>"230702103222"</f>
        <v>230702103222</v>
      </c>
      <c r="D771" s="5" t="s">
        <v>20</v>
      </c>
      <c r="E771" s="5" t="s">
        <v>13</v>
      </c>
      <c r="F771" s="5">
        <v>270</v>
      </c>
      <c r="G771" s="7"/>
    </row>
    <row r="772" spans="1:7" ht="27.75" customHeight="1">
      <c r="A772" s="5">
        <v>770</v>
      </c>
      <c r="B772" s="6" t="str">
        <f>"王清晔"</f>
        <v>王清晔</v>
      </c>
      <c r="C772" s="6" t="str">
        <f>"230702103225"</f>
        <v>230702103225</v>
      </c>
      <c r="D772" s="5" t="s">
        <v>20</v>
      </c>
      <c r="E772" s="5" t="s">
        <v>13</v>
      </c>
      <c r="F772" s="5">
        <v>271</v>
      </c>
      <c r="G772" s="7"/>
    </row>
    <row r="773" spans="1:7" ht="27.75" customHeight="1">
      <c r="A773" s="5">
        <v>771</v>
      </c>
      <c r="B773" s="6" t="str">
        <f>"黄学进"</f>
        <v>黄学进</v>
      </c>
      <c r="C773" s="6" t="str">
        <f>"230702103422"</f>
        <v>230702103422</v>
      </c>
      <c r="D773" s="5" t="s">
        <v>20</v>
      </c>
      <c r="E773" s="5" t="s">
        <v>13</v>
      </c>
      <c r="F773" s="5">
        <v>272</v>
      </c>
      <c r="G773" s="7"/>
    </row>
    <row r="774" spans="1:7" ht="27.75" customHeight="1">
      <c r="A774" s="5">
        <v>772</v>
      </c>
      <c r="B774" s="6" t="str">
        <f>"吴宗栋"</f>
        <v>吴宗栋</v>
      </c>
      <c r="C774" s="6" t="str">
        <f>"230702103428"</f>
        <v>230702103428</v>
      </c>
      <c r="D774" s="5" t="s">
        <v>20</v>
      </c>
      <c r="E774" s="5" t="s">
        <v>13</v>
      </c>
      <c r="F774" s="5">
        <v>273</v>
      </c>
      <c r="G774" s="7"/>
    </row>
    <row r="775" spans="1:7" ht="27.75" customHeight="1">
      <c r="A775" s="5">
        <v>773</v>
      </c>
      <c r="B775" s="6" t="str">
        <f>"符芳畅"</f>
        <v>符芳畅</v>
      </c>
      <c r="C775" s="6" t="str">
        <f>"230702103512"</f>
        <v>230702103512</v>
      </c>
      <c r="D775" s="5" t="s">
        <v>20</v>
      </c>
      <c r="E775" s="5" t="s">
        <v>13</v>
      </c>
      <c r="F775" s="5">
        <v>274</v>
      </c>
      <c r="G775" s="7"/>
    </row>
    <row r="776" spans="1:7" ht="27.75" customHeight="1">
      <c r="A776" s="5">
        <v>774</v>
      </c>
      <c r="B776" s="6" t="str">
        <f>"李有敏"</f>
        <v>李有敏</v>
      </c>
      <c r="C776" s="6" t="str">
        <f>"230702103523"</f>
        <v>230702103523</v>
      </c>
      <c r="D776" s="5" t="s">
        <v>20</v>
      </c>
      <c r="E776" s="5" t="s">
        <v>13</v>
      </c>
      <c r="F776" s="5">
        <v>275</v>
      </c>
      <c r="G776" s="7"/>
    </row>
    <row r="777" spans="1:7" ht="27.75" customHeight="1">
      <c r="A777" s="5">
        <v>775</v>
      </c>
      <c r="B777" s="6" t="str">
        <f>"羊河泉"</f>
        <v>羊河泉</v>
      </c>
      <c r="C777" s="6" t="str">
        <f>"230702204330"</f>
        <v>230702204330</v>
      </c>
      <c r="D777" s="5" t="s">
        <v>20</v>
      </c>
      <c r="E777" s="5" t="s">
        <v>14</v>
      </c>
      <c r="F777" s="5">
        <v>276</v>
      </c>
      <c r="G777" s="7"/>
    </row>
    <row r="778" spans="1:7" ht="27.75" customHeight="1">
      <c r="A778" s="5">
        <v>776</v>
      </c>
      <c r="B778" s="6" t="str">
        <f>"郑同政"</f>
        <v>郑同政</v>
      </c>
      <c r="C778" s="6" t="str">
        <f>"230702204628"</f>
        <v>230702204628</v>
      </c>
      <c r="D778" s="5" t="s">
        <v>20</v>
      </c>
      <c r="E778" s="5" t="s">
        <v>14</v>
      </c>
      <c r="F778" s="5">
        <v>277</v>
      </c>
      <c r="G778" s="7"/>
    </row>
    <row r="779" spans="1:7" ht="27.75" customHeight="1">
      <c r="A779" s="5">
        <v>777</v>
      </c>
      <c r="B779" s="6" t="str">
        <f>"张俊恩"</f>
        <v>张俊恩</v>
      </c>
      <c r="C779" s="6" t="str">
        <f>"230702204722"</f>
        <v>230702204722</v>
      </c>
      <c r="D779" s="5" t="s">
        <v>20</v>
      </c>
      <c r="E779" s="5" t="s">
        <v>14</v>
      </c>
      <c r="F779" s="5">
        <v>278</v>
      </c>
      <c r="G779" s="7"/>
    </row>
    <row r="780" spans="1:7" ht="27.75" customHeight="1">
      <c r="A780" s="5">
        <v>778</v>
      </c>
      <c r="B780" s="6" t="str">
        <f>"符海龙"</f>
        <v>符海龙</v>
      </c>
      <c r="C780" s="6" t="str">
        <f>"230702204629"</f>
        <v>230702204629</v>
      </c>
      <c r="D780" s="5" t="s">
        <v>20</v>
      </c>
      <c r="E780" s="5" t="s">
        <v>14</v>
      </c>
      <c r="F780" s="5">
        <v>279</v>
      </c>
      <c r="G780" s="7"/>
    </row>
    <row r="781" spans="1:7" ht="27.75" customHeight="1">
      <c r="A781" s="5">
        <v>779</v>
      </c>
      <c r="B781" s="6" t="str">
        <f>"王开道"</f>
        <v>王开道</v>
      </c>
      <c r="C781" s="6" t="str">
        <f>"230702204418"</f>
        <v>230702204418</v>
      </c>
      <c r="D781" s="5" t="s">
        <v>20</v>
      </c>
      <c r="E781" s="5" t="s">
        <v>14</v>
      </c>
      <c r="F781" s="5">
        <v>280</v>
      </c>
      <c r="G781" s="7"/>
    </row>
    <row r="782" spans="1:7" ht="27.75" customHeight="1">
      <c r="A782" s="5">
        <v>780</v>
      </c>
      <c r="B782" s="6" t="str">
        <f>"卓子棠"</f>
        <v>卓子棠</v>
      </c>
      <c r="C782" s="6" t="str">
        <f>"230702204606"</f>
        <v>230702204606</v>
      </c>
      <c r="D782" s="5" t="s">
        <v>20</v>
      </c>
      <c r="E782" s="5" t="s">
        <v>14</v>
      </c>
      <c r="F782" s="5">
        <v>281</v>
      </c>
      <c r="G782" s="7"/>
    </row>
    <row r="783" spans="1:7" ht="27.75" customHeight="1">
      <c r="A783" s="5">
        <v>781</v>
      </c>
      <c r="B783" s="6" t="str">
        <f>"赵鸿杰"</f>
        <v>赵鸿杰</v>
      </c>
      <c r="C783" s="6" t="str">
        <f>"230702204323"</f>
        <v>230702204323</v>
      </c>
      <c r="D783" s="5" t="s">
        <v>20</v>
      </c>
      <c r="E783" s="5" t="s">
        <v>14</v>
      </c>
      <c r="F783" s="5">
        <v>282</v>
      </c>
      <c r="G783" s="7"/>
    </row>
    <row r="784" spans="1:7" ht="27.75" customHeight="1">
      <c r="A784" s="5">
        <v>782</v>
      </c>
      <c r="B784" s="6" t="str">
        <f>"吴嘉年"</f>
        <v>吴嘉年</v>
      </c>
      <c r="C784" s="6" t="str">
        <f>"230702204504"</f>
        <v>230702204504</v>
      </c>
      <c r="D784" s="5" t="s">
        <v>20</v>
      </c>
      <c r="E784" s="5" t="s">
        <v>14</v>
      </c>
      <c r="F784" s="5">
        <v>283</v>
      </c>
      <c r="G784" s="7"/>
    </row>
    <row r="785" spans="1:7" ht="27.75" customHeight="1">
      <c r="A785" s="5">
        <v>783</v>
      </c>
      <c r="B785" s="6" t="str">
        <f>"符昌华"</f>
        <v>符昌华</v>
      </c>
      <c r="C785" s="6" t="str">
        <f>"230702204704"</f>
        <v>230702204704</v>
      </c>
      <c r="D785" s="5" t="s">
        <v>20</v>
      </c>
      <c r="E785" s="5" t="s">
        <v>14</v>
      </c>
      <c r="F785" s="5">
        <v>284</v>
      </c>
      <c r="G785" s="7"/>
    </row>
    <row r="786" spans="1:7" ht="27.75" customHeight="1">
      <c r="A786" s="5">
        <v>784</v>
      </c>
      <c r="B786" s="6" t="str">
        <f>"刘启银"</f>
        <v>刘启银</v>
      </c>
      <c r="C786" s="6" t="str">
        <f>"230702204513"</f>
        <v>230702204513</v>
      </c>
      <c r="D786" s="5" t="s">
        <v>20</v>
      </c>
      <c r="E786" s="5" t="s">
        <v>14</v>
      </c>
      <c r="F786" s="5">
        <v>285</v>
      </c>
      <c r="G786" s="7"/>
    </row>
    <row r="787" spans="1:7" ht="27.75" customHeight="1">
      <c r="A787" s="5">
        <v>785</v>
      </c>
      <c r="B787" s="6" t="str">
        <f>"陈镒壮"</f>
        <v>陈镒壮</v>
      </c>
      <c r="C787" s="6" t="str">
        <f>"230702204412"</f>
        <v>230702204412</v>
      </c>
      <c r="D787" s="5" t="s">
        <v>20</v>
      </c>
      <c r="E787" s="5" t="s">
        <v>14</v>
      </c>
      <c r="F787" s="5">
        <v>286</v>
      </c>
      <c r="G787" s="7"/>
    </row>
    <row r="788" spans="1:7" ht="27.75" customHeight="1">
      <c r="A788" s="5">
        <v>786</v>
      </c>
      <c r="B788" s="6" t="str">
        <f>"林彦潮"</f>
        <v>林彦潮</v>
      </c>
      <c r="C788" s="6" t="str">
        <f>"230702204924"</f>
        <v>230702204924</v>
      </c>
      <c r="D788" s="5" t="s">
        <v>20</v>
      </c>
      <c r="E788" s="5" t="s">
        <v>14</v>
      </c>
      <c r="F788" s="5">
        <v>287</v>
      </c>
      <c r="G788" s="7"/>
    </row>
    <row r="789" spans="1:7" ht="27.75" customHeight="1">
      <c r="A789" s="5">
        <v>787</v>
      </c>
      <c r="B789" s="6" t="str">
        <f>"黎贤忠"</f>
        <v>黎贤忠</v>
      </c>
      <c r="C789" s="6" t="str">
        <f>"230702205114"</f>
        <v>230702205114</v>
      </c>
      <c r="D789" s="5" t="s">
        <v>20</v>
      </c>
      <c r="E789" s="5" t="s">
        <v>14</v>
      </c>
      <c r="F789" s="5">
        <v>288</v>
      </c>
      <c r="G789" s="7"/>
    </row>
    <row r="790" spans="1:7" ht="27.75" customHeight="1">
      <c r="A790" s="5">
        <v>788</v>
      </c>
      <c r="B790" s="6" t="str">
        <f>"林立亮"</f>
        <v>林立亮</v>
      </c>
      <c r="C790" s="6" t="str">
        <f>"230702204408"</f>
        <v>230702204408</v>
      </c>
      <c r="D790" s="5" t="s">
        <v>20</v>
      </c>
      <c r="E790" s="5" t="s">
        <v>14</v>
      </c>
      <c r="F790" s="5">
        <v>289</v>
      </c>
      <c r="G790" s="7"/>
    </row>
    <row r="791" spans="1:7" ht="27.75" customHeight="1">
      <c r="A791" s="5">
        <v>789</v>
      </c>
      <c r="B791" s="6" t="str">
        <f>"李毅恩"</f>
        <v>李毅恩</v>
      </c>
      <c r="C791" s="6" t="str">
        <f>"230702204528"</f>
        <v>230702204528</v>
      </c>
      <c r="D791" s="5" t="s">
        <v>20</v>
      </c>
      <c r="E791" s="5" t="s">
        <v>14</v>
      </c>
      <c r="F791" s="5">
        <v>290</v>
      </c>
      <c r="G791" s="7"/>
    </row>
    <row r="792" spans="1:7" ht="27.75" customHeight="1">
      <c r="A792" s="5">
        <v>790</v>
      </c>
      <c r="B792" s="6" t="str">
        <f>"郭福登"</f>
        <v>郭福登</v>
      </c>
      <c r="C792" s="6" t="str">
        <f>"230702204710"</f>
        <v>230702204710</v>
      </c>
      <c r="D792" s="5" t="s">
        <v>20</v>
      </c>
      <c r="E792" s="5" t="s">
        <v>14</v>
      </c>
      <c r="F792" s="5">
        <v>291</v>
      </c>
      <c r="G792" s="7"/>
    </row>
    <row r="793" spans="1:7" ht="27.75" customHeight="1">
      <c r="A793" s="5">
        <v>791</v>
      </c>
      <c r="B793" s="6" t="str">
        <f>"符尚彬"</f>
        <v>符尚彬</v>
      </c>
      <c r="C793" s="6" t="str">
        <f>"230702204811"</f>
        <v>230702204811</v>
      </c>
      <c r="D793" s="5" t="s">
        <v>20</v>
      </c>
      <c r="E793" s="5" t="s">
        <v>14</v>
      </c>
      <c r="F793" s="5">
        <v>292</v>
      </c>
      <c r="G793" s="7"/>
    </row>
    <row r="794" spans="1:7" ht="27.75" customHeight="1">
      <c r="A794" s="5">
        <v>792</v>
      </c>
      <c r="B794" s="6" t="str">
        <f>"李全智"</f>
        <v>李全智</v>
      </c>
      <c r="C794" s="6" t="str">
        <f>"230702204830"</f>
        <v>230702204830</v>
      </c>
      <c r="D794" s="5" t="s">
        <v>20</v>
      </c>
      <c r="E794" s="5" t="s">
        <v>14</v>
      </c>
      <c r="F794" s="5">
        <v>293</v>
      </c>
      <c r="G794" s="7"/>
    </row>
    <row r="795" spans="1:7" ht="27.75" customHeight="1">
      <c r="A795" s="5">
        <v>793</v>
      </c>
      <c r="B795" s="6" t="str">
        <f>"符亮科"</f>
        <v>符亮科</v>
      </c>
      <c r="C795" s="6" t="str">
        <f>"230702205130"</f>
        <v>230702205130</v>
      </c>
      <c r="D795" s="5" t="s">
        <v>20</v>
      </c>
      <c r="E795" s="5" t="s">
        <v>14</v>
      </c>
      <c r="F795" s="5">
        <v>294</v>
      </c>
      <c r="G795" s="7"/>
    </row>
    <row r="796" spans="1:7" ht="27.75" customHeight="1">
      <c r="A796" s="5">
        <v>794</v>
      </c>
      <c r="B796" s="6" t="str">
        <f>"陈上丰"</f>
        <v>陈上丰</v>
      </c>
      <c r="C796" s="6" t="str">
        <f>"230702204914"</f>
        <v>230702204914</v>
      </c>
      <c r="D796" s="5" t="s">
        <v>20</v>
      </c>
      <c r="E796" s="5" t="s">
        <v>14</v>
      </c>
      <c r="F796" s="5">
        <v>295</v>
      </c>
      <c r="G796" s="7"/>
    </row>
    <row r="797" spans="1:7" ht="27.75" customHeight="1">
      <c r="A797" s="5">
        <v>795</v>
      </c>
      <c r="B797" s="6" t="str">
        <f>"李绍应"</f>
        <v>李绍应</v>
      </c>
      <c r="C797" s="6" t="str">
        <f>"230702205221"</f>
        <v>230702205221</v>
      </c>
      <c r="D797" s="5" t="s">
        <v>20</v>
      </c>
      <c r="E797" s="5" t="s">
        <v>14</v>
      </c>
      <c r="F797" s="5">
        <v>296</v>
      </c>
      <c r="G797" s="7"/>
    </row>
    <row r="798" spans="1:7" ht="27.75" customHeight="1">
      <c r="A798" s="5">
        <v>796</v>
      </c>
      <c r="B798" s="6" t="str">
        <f>"张可翰"</f>
        <v>张可翰</v>
      </c>
      <c r="C798" s="6" t="str">
        <f>"230702204327"</f>
        <v>230702204327</v>
      </c>
      <c r="D798" s="5" t="s">
        <v>20</v>
      </c>
      <c r="E798" s="5" t="s">
        <v>14</v>
      </c>
      <c r="F798" s="5">
        <v>297</v>
      </c>
      <c r="G798" s="7"/>
    </row>
    <row r="799" spans="1:7" ht="27.75" customHeight="1">
      <c r="A799" s="5">
        <v>797</v>
      </c>
      <c r="B799" s="6" t="str">
        <f>"阙胜涛"</f>
        <v>阙胜涛</v>
      </c>
      <c r="C799" s="6" t="str">
        <f>"230702205211"</f>
        <v>230702205211</v>
      </c>
      <c r="D799" s="5" t="s">
        <v>20</v>
      </c>
      <c r="E799" s="5" t="s">
        <v>14</v>
      </c>
      <c r="F799" s="5">
        <v>298</v>
      </c>
      <c r="G799" s="7"/>
    </row>
    <row r="800" spans="1:7" ht="27.75" customHeight="1">
      <c r="A800" s="5">
        <v>798</v>
      </c>
      <c r="B800" s="6" t="str">
        <f>"高位功"</f>
        <v>高位功</v>
      </c>
      <c r="C800" s="6" t="str">
        <f>"230702204814"</f>
        <v>230702204814</v>
      </c>
      <c r="D800" s="5" t="s">
        <v>20</v>
      </c>
      <c r="E800" s="5" t="s">
        <v>14</v>
      </c>
      <c r="F800" s="5">
        <v>299</v>
      </c>
      <c r="G800" s="7"/>
    </row>
    <row r="801" spans="1:7" ht="27.75" customHeight="1">
      <c r="A801" s="5">
        <v>799</v>
      </c>
      <c r="B801" s="6" t="str">
        <f>"陈基旺"</f>
        <v>陈基旺</v>
      </c>
      <c r="C801" s="6" t="str">
        <f>"230702204318"</f>
        <v>230702204318</v>
      </c>
      <c r="D801" s="5" t="s">
        <v>20</v>
      </c>
      <c r="E801" s="5" t="s">
        <v>14</v>
      </c>
      <c r="F801" s="5">
        <v>300</v>
      </c>
      <c r="G801" s="7"/>
    </row>
    <row r="802" spans="1:7" ht="27.75" customHeight="1">
      <c r="A802" s="5">
        <v>800</v>
      </c>
      <c r="B802" s="6" t="str">
        <f>"陈学乐"</f>
        <v>陈学乐</v>
      </c>
      <c r="C802" s="6" t="str">
        <f>"230702204414"</f>
        <v>230702204414</v>
      </c>
      <c r="D802" s="5" t="s">
        <v>20</v>
      </c>
      <c r="E802" s="5" t="s">
        <v>14</v>
      </c>
      <c r="F802" s="5">
        <v>301</v>
      </c>
      <c r="G802" s="7"/>
    </row>
    <row r="803" spans="1:7" ht="27.75" customHeight="1">
      <c r="A803" s="5">
        <v>801</v>
      </c>
      <c r="B803" s="6" t="str">
        <f>"吴文杰"</f>
        <v>吴文杰</v>
      </c>
      <c r="C803" s="6" t="str">
        <f>"230702204614"</f>
        <v>230702204614</v>
      </c>
      <c r="D803" s="5" t="s">
        <v>20</v>
      </c>
      <c r="E803" s="5" t="s">
        <v>14</v>
      </c>
      <c r="F803" s="5">
        <v>302</v>
      </c>
      <c r="G803" s="7"/>
    </row>
    <row r="804" spans="1:7" ht="27.75" customHeight="1">
      <c r="A804" s="5">
        <v>802</v>
      </c>
      <c r="B804" s="6" t="str">
        <f>"陈候永"</f>
        <v>陈候永</v>
      </c>
      <c r="C804" s="6" t="str">
        <f>"230702204717"</f>
        <v>230702204717</v>
      </c>
      <c r="D804" s="5" t="s">
        <v>20</v>
      </c>
      <c r="E804" s="5" t="s">
        <v>14</v>
      </c>
      <c r="F804" s="5">
        <v>303</v>
      </c>
      <c r="G804" s="7"/>
    </row>
    <row r="805" spans="1:7" ht="27.75" customHeight="1">
      <c r="A805" s="5">
        <v>803</v>
      </c>
      <c r="B805" s="6" t="str">
        <f>"林靖岚"</f>
        <v>林靖岚</v>
      </c>
      <c r="C805" s="6" t="str">
        <f>"230702204321"</f>
        <v>230702204321</v>
      </c>
      <c r="D805" s="5" t="s">
        <v>20</v>
      </c>
      <c r="E805" s="5" t="s">
        <v>14</v>
      </c>
      <c r="F805" s="5">
        <v>304</v>
      </c>
      <c r="G805" s="7"/>
    </row>
    <row r="806" spans="1:7" ht="27.75" customHeight="1">
      <c r="A806" s="5">
        <v>804</v>
      </c>
      <c r="B806" s="6" t="str">
        <f>"王万掌"</f>
        <v>王万掌</v>
      </c>
      <c r="C806" s="6" t="str">
        <f>"230702204724"</f>
        <v>230702204724</v>
      </c>
      <c r="D806" s="5" t="s">
        <v>20</v>
      </c>
      <c r="E806" s="5" t="s">
        <v>14</v>
      </c>
      <c r="F806" s="5">
        <v>305</v>
      </c>
      <c r="G806" s="7"/>
    </row>
    <row r="807" spans="1:7" ht="27.75" customHeight="1">
      <c r="A807" s="5">
        <v>805</v>
      </c>
      <c r="B807" s="6" t="str">
        <f>"陈才开"</f>
        <v>陈才开</v>
      </c>
      <c r="C807" s="6" t="str">
        <f>"230702204716"</f>
        <v>230702204716</v>
      </c>
      <c r="D807" s="5" t="s">
        <v>20</v>
      </c>
      <c r="E807" s="5" t="s">
        <v>14</v>
      </c>
      <c r="F807" s="5">
        <v>306</v>
      </c>
      <c r="G807" s="7"/>
    </row>
    <row r="808" spans="1:7" ht="27.75" customHeight="1">
      <c r="A808" s="5">
        <v>806</v>
      </c>
      <c r="B808" s="6" t="str">
        <f>"符晓得"</f>
        <v>符晓得</v>
      </c>
      <c r="C808" s="6" t="str">
        <f>"230702204930"</f>
        <v>230702204930</v>
      </c>
      <c r="D808" s="5" t="s">
        <v>20</v>
      </c>
      <c r="E808" s="5" t="s">
        <v>14</v>
      </c>
      <c r="F808" s="5">
        <v>307</v>
      </c>
      <c r="G808" s="7"/>
    </row>
    <row r="809" spans="1:7" ht="27.75" customHeight="1">
      <c r="A809" s="5">
        <v>807</v>
      </c>
      <c r="B809" s="6" t="str">
        <f>"陶正鑫"</f>
        <v>陶正鑫</v>
      </c>
      <c r="C809" s="6" t="str">
        <f>"230702205227"</f>
        <v>230702205227</v>
      </c>
      <c r="D809" s="5" t="s">
        <v>20</v>
      </c>
      <c r="E809" s="5" t="s">
        <v>14</v>
      </c>
      <c r="F809" s="5">
        <v>308</v>
      </c>
      <c r="G809" s="7"/>
    </row>
    <row r="810" spans="1:7" ht="27.75" customHeight="1">
      <c r="A810" s="5">
        <v>808</v>
      </c>
      <c r="B810" s="6" t="str">
        <f>"范冠泽"</f>
        <v>范冠泽</v>
      </c>
      <c r="C810" s="6" t="str">
        <f>"230702204523"</f>
        <v>230702204523</v>
      </c>
      <c r="D810" s="5" t="s">
        <v>20</v>
      </c>
      <c r="E810" s="5" t="s">
        <v>14</v>
      </c>
      <c r="F810" s="5">
        <v>309</v>
      </c>
      <c r="G810" s="7"/>
    </row>
    <row r="811" spans="1:7" ht="27.75" customHeight="1">
      <c r="A811" s="5">
        <v>809</v>
      </c>
      <c r="B811" s="6" t="str">
        <f>"郑旺"</f>
        <v>郑旺</v>
      </c>
      <c r="C811" s="6" t="str">
        <f>"230702204702"</f>
        <v>230702204702</v>
      </c>
      <c r="D811" s="5" t="s">
        <v>20</v>
      </c>
      <c r="E811" s="5" t="s">
        <v>14</v>
      </c>
      <c r="F811" s="5">
        <v>310</v>
      </c>
      <c r="G811" s="7"/>
    </row>
    <row r="812" spans="1:7" ht="27.75" customHeight="1">
      <c r="A812" s="5">
        <v>810</v>
      </c>
      <c r="B812" s="6" t="str">
        <f>"韦忠"</f>
        <v>韦忠</v>
      </c>
      <c r="C812" s="6" t="str">
        <f>"230702205004"</f>
        <v>230702205004</v>
      </c>
      <c r="D812" s="5" t="s">
        <v>20</v>
      </c>
      <c r="E812" s="5" t="s">
        <v>14</v>
      </c>
      <c r="F812" s="5">
        <v>311</v>
      </c>
      <c r="G812" s="7"/>
    </row>
    <row r="813" spans="1:7" ht="27.75" customHeight="1">
      <c r="A813" s="5">
        <v>811</v>
      </c>
      <c r="B813" s="6" t="str">
        <f>"吴礼传"</f>
        <v>吴礼传</v>
      </c>
      <c r="C813" s="6" t="str">
        <f>"230702205022"</f>
        <v>230702205022</v>
      </c>
      <c r="D813" s="5" t="s">
        <v>20</v>
      </c>
      <c r="E813" s="5" t="s">
        <v>14</v>
      </c>
      <c r="F813" s="5">
        <v>312</v>
      </c>
      <c r="G813" s="7"/>
    </row>
    <row r="814" spans="1:7" ht="27.75" customHeight="1">
      <c r="A814" s="5">
        <v>812</v>
      </c>
      <c r="B814" s="6" t="str">
        <f>"陈焕嗣"</f>
        <v>陈焕嗣</v>
      </c>
      <c r="C814" s="6" t="str">
        <f>"230702204322"</f>
        <v>230702204322</v>
      </c>
      <c r="D814" s="5" t="s">
        <v>20</v>
      </c>
      <c r="E814" s="5" t="s">
        <v>14</v>
      </c>
      <c r="F814" s="5">
        <v>313</v>
      </c>
      <c r="G814" s="7"/>
    </row>
    <row r="815" spans="1:7" ht="27.75" customHeight="1">
      <c r="A815" s="5">
        <v>813</v>
      </c>
      <c r="B815" s="6" t="str">
        <f>"刘煜垲"</f>
        <v>刘煜垲</v>
      </c>
      <c r="C815" s="6" t="str">
        <f>"230702204525"</f>
        <v>230702204525</v>
      </c>
      <c r="D815" s="5" t="s">
        <v>20</v>
      </c>
      <c r="E815" s="5" t="s">
        <v>14</v>
      </c>
      <c r="F815" s="5">
        <v>314</v>
      </c>
      <c r="G815" s="7"/>
    </row>
    <row r="816" spans="1:7" ht="27.75" customHeight="1">
      <c r="A816" s="5">
        <v>814</v>
      </c>
      <c r="B816" s="6" t="str">
        <f>"余启发"</f>
        <v>余启发</v>
      </c>
      <c r="C816" s="6" t="str">
        <f>"230702204718"</f>
        <v>230702204718</v>
      </c>
      <c r="D816" s="5" t="s">
        <v>20</v>
      </c>
      <c r="E816" s="5" t="s">
        <v>14</v>
      </c>
      <c r="F816" s="5">
        <v>315</v>
      </c>
      <c r="G816" s="7"/>
    </row>
    <row r="817" spans="1:7" ht="27.75" customHeight="1">
      <c r="A817" s="5">
        <v>815</v>
      </c>
      <c r="B817" s="6" t="str">
        <f>"符克甫"</f>
        <v>符克甫</v>
      </c>
      <c r="C817" s="6" t="str">
        <f>"230702205208"</f>
        <v>230702205208</v>
      </c>
      <c r="D817" s="5" t="s">
        <v>20</v>
      </c>
      <c r="E817" s="5" t="s">
        <v>14</v>
      </c>
      <c r="F817" s="5">
        <v>316</v>
      </c>
      <c r="G817" s="7"/>
    </row>
    <row r="818" spans="1:7" ht="27.75" customHeight="1">
      <c r="A818" s="5">
        <v>816</v>
      </c>
      <c r="B818" s="6" t="str">
        <f>"黎对斌"</f>
        <v>黎对斌</v>
      </c>
      <c r="C818" s="6" t="str">
        <f>"230702204319"</f>
        <v>230702204319</v>
      </c>
      <c r="D818" s="5" t="s">
        <v>20</v>
      </c>
      <c r="E818" s="5" t="s">
        <v>14</v>
      </c>
      <c r="F818" s="5">
        <v>317</v>
      </c>
      <c r="G818" s="7"/>
    </row>
    <row r="819" spans="1:7" ht="27.75" customHeight="1">
      <c r="A819" s="5">
        <v>817</v>
      </c>
      <c r="B819" s="6" t="str">
        <f>"朱如良"</f>
        <v>朱如良</v>
      </c>
      <c r="C819" s="6" t="str">
        <f>"230702204326"</f>
        <v>230702204326</v>
      </c>
      <c r="D819" s="5" t="s">
        <v>20</v>
      </c>
      <c r="E819" s="5" t="s">
        <v>14</v>
      </c>
      <c r="F819" s="5">
        <v>318</v>
      </c>
      <c r="G819" s="7"/>
    </row>
    <row r="820" spans="1:7" ht="27.75" customHeight="1">
      <c r="A820" s="5">
        <v>818</v>
      </c>
      <c r="B820" s="6" t="str">
        <f>"钟贤敏"</f>
        <v>钟贤敏</v>
      </c>
      <c r="C820" s="6" t="str">
        <f>"230702204424"</f>
        <v>230702204424</v>
      </c>
      <c r="D820" s="5" t="s">
        <v>20</v>
      </c>
      <c r="E820" s="5" t="s">
        <v>14</v>
      </c>
      <c r="F820" s="5">
        <v>319</v>
      </c>
      <c r="G820" s="7"/>
    </row>
    <row r="821" spans="1:7" ht="27.75" customHeight="1">
      <c r="A821" s="5">
        <v>819</v>
      </c>
      <c r="B821" s="6" t="str">
        <f>"王俊祥"</f>
        <v>王俊祥</v>
      </c>
      <c r="C821" s="6" t="str">
        <f>"230702204819"</f>
        <v>230702204819</v>
      </c>
      <c r="D821" s="5" t="s">
        <v>20</v>
      </c>
      <c r="E821" s="5" t="s">
        <v>14</v>
      </c>
      <c r="F821" s="5">
        <v>320</v>
      </c>
      <c r="G821" s="7"/>
    </row>
    <row r="822" spans="1:7" ht="27.75" customHeight="1">
      <c r="A822" s="5">
        <v>820</v>
      </c>
      <c r="B822" s="6" t="str">
        <f>"陈文颂"</f>
        <v>陈文颂</v>
      </c>
      <c r="C822" s="6" t="str">
        <f>"230702205012"</f>
        <v>230702205012</v>
      </c>
      <c r="D822" s="5" t="s">
        <v>20</v>
      </c>
      <c r="E822" s="5" t="s">
        <v>14</v>
      </c>
      <c r="F822" s="5">
        <v>321</v>
      </c>
      <c r="G822" s="7"/>
    </row>
    <row r="823" spans="1:7" ht="27.75" customHeight="1">
      <c r="A823" s="5">
        <v>821</v>
      </c>
      <c r="B823" s="6" t="str">
        <f>"符世宇"</f>
        <v>符世宇</v>
      </c>
      <c r="C823" s="6" t="str">
        <f>"230702205109"</f>
        <v>230702205109</v>
      </c>
      <c r="D823" s="5" t="s">
        <v>20</v>
      </c>
      <c r="E823" s="5" t="s">
        <v>14</v>
      </c>
      <c r="F823" s="5">
        <v>322</v>
      </c>
      <c r="G823" s="7"/>
    </row>
    <row r="824" spans="1:7" ht="27.75" customHeight="1">
      <c r="A824" s="5">
        <v>822</v>
      </c>
      <c r="B824" s="6" t="str">
        <f>"邓冠明"</f>
        <v>邓冠明</v>
      </c>
      <c r="C824" s="6" t="str">
        <f>"230702205117"</f>
        <v>230702205117</v>
      </c>
      <c r="D824" s="5" t="s">
        <v>20</v>
      </c>
      <c r="E824" s="5" t="s">
        <v>14</v>
      </c>
      <c r="F824" s="5">
        <v>323</v>
      </c>
      <c r="G824" s="7"/>
    </row>
    <row r="825" spans="1:7" ht="27.75" customHeight="1">
      <c r="A825" s="5">
        <v>823</v>
      </c>
      <c r="B825" s="6" t="str">
        <f>"陈广彪"</f>
        <v>陈广彪</v>
      </c>
      <c r="C825" s="6" t="str">
        <f>"230702205207"</f>
        <v>230702205207</v>
      </c>
      <c r="D825" s="5" t="s">
        <v>20</v>
      </c>
      <c r="E825" s="5" t="s">
        <v>14</v>
      </c>
      <c r="F825" s="5">
        <v>324</v>
      </c>
      <c r="G825" s="7"/>
    </row>
    <row r="826" spans="1:7" ht="27.75" customHeight="1">
      <c r="A826" s="5">
        <v>824</v>
      </c>
      <c r="B826" s="6" t="str">
        <f>"林杰濠"</f>
        <v>林杰濠</v>
      </c>
      <c r="C826" s="6" t="str">
        <f>"230702205220"</f>
        <v>230702205220</v>
      </c>
      <c r="D826" s="5" t="s">
        <v>20</v>
      </c>
      <c r="E826" s="5" t="s">
        <v>14</v>
      </c>
      <c r="F826" s="5">
        <v>325</v>
      </c>
      <c r="G826" s="7"/>
    </row>
    <row r="827" spans="1:7" ht="27.75" customHeight="1">
      <c r="A827" s="5">
        <v>825</v>
      </c>
      <c r="B827" s="6" t="str">
        <f>"赵运喜"</f>
        <v>赵运喜</v>
      </c>
      <c r="C827" s="6" t="str">
        <f>"230702205230"</f>
        <v>230702205230</v>
      </c>
      <c r="D827" s="5" t="s">
        <v>20</v>
      </c>
      <c r="E827" s="5" t="s">
        <v>14</v>
      </c>
      <c r="F827" s="5">
        <v>326</v>
      </c>
      <c r="G827" s="7"/>
    </row>
    <row r="828" spans="1:7" ht="27.75" customHeight="1">
      <c r="A828" s="5">
        <v>826</v>
      </c>
      <c r="B828" s="6" t="str">
        <f>"符旭"</f>
        <v>符旭</v>
      </c>
      <c r="C828" s="6" t="str">
        <f>"230702100614"</f>
        <v>230702100614</v>
      </c>
      <c r="D828" s="5" t="s">
        <v>21</v>
      </c>
      <c r="E828" s="5" t="s">
        <v>17</v>
      </c>
      <c r="F828" s="5">
        <v>1</v>
      </c>
      <c r="G828" s="7"/>
    </row>
    <row r="829" spans="1:7" ht="27.75" customHeight="1">
      <c r="A829" s="5">
        <v>827</v>
      </c>
      <c r="B829" s="6" t="str">
        <f>"吴大廉"</f>
        <v>吴大廉</v>
      </c>
      <c r="C829" s="6" t="str">
        <f>"230702100529"</f>
        <v>230702100529</v>
      </c>
      <c r="D829" s="5" t="s">
        <v>21</v>
      </c>
      <c r="E829" s="5" t="s">
        <v>17</v>
      </c>
      <c r="F829" s="5">
        <v>2</v>
      </c>
      <c r="G829" s="7"/>
    </row>
    <row r="830" spans="1:7" ht="27.75" customHeight="1">
      <c r="A830" s="5">
        <v>828</v>
      </c>
      <c r="B830" s="6" t="str">
        <f>"冯志钠"</f>
        <v>冯志钠</v>
      </c>
      <c r="C830" s="6" t="str">
        <f>"230702100602"</f>
        <v>230702100602</v>
      </c>
      <c r="D830" s="5" t="s">
        <v>21</v>
      </c>
      <c r="E830" s="5" t="s">
        <v>17</v>
      </c>
      <c r="F830" s="5">
        <v>3</v>
      </c>
      <c r="G830" s="7"/>
    </row>
    <row r="831" spans="1:7" ht="27.75" customHeight="1">
      <c r="A831" s="5">
        <v>829</v>
      </c>
      <c r="B831" s="6" t="str">
        <f>"曾繁盛"</f>
        <v>曾繁盛</v>
      </c>
      <c r="C831" s="6" t="str">
        <f>"230702100419"</f>
        <v>230702100419</v>
      </c>
      <c r="D831" s="5" t="s">
        <v>21</v>
      </c>
      <c r="E831" s="5" t="s">
        <v>17</v>
      </c>
      <c r="F831" s="5">
        <v>4</v>
      </c>
      <c r="G831" s="7"/>
    </row>
    <row r="832" spans="1:7" ht="27.75" customHeight="1">
      <c r="A832" s="5">
        <v>830</v>
      </c>
      <c r="B832" s="6" t="str">
        <f>"庄冠熹"</f>
        <v>庄冠熹</v>
      </c>
      <c r="C832" s="6" t="str">
        <f>"230702100207"</f>
        <v>230702100207</v>
      </c>
      <c r="D832" s="5" t="s">
        <v>21</v>
      </c>
      <c r="E832" s="5" t="s">
        <v>17</v>
      </c>
      <c r="F832" s="5">
        <v>5</v>
      </c>
      <c r="G832" s="7"/>
    </row>
    <row r="833" spans="1:7" ht="27.75" customHeight="1">
      <c r="A833" s="5">
        <v>831</v>
      </c>
      <c r="B833" s="6" t="str">
        <f>"王香港"</f>
        <v>王香港</v>
      </c>
      <c r="C833" s="6" t="str">
        <f>"230702100517"</f>
        <v>230702100517</v>
      </c>
      <c r="D833" s="5" t="s">
        <v>21</v>
      </c>
      <c r="E833" s="5" t="s">
        <v>17</v>
      </c>
      <c r="F833" s="5">
        <v>6</v>
      </c>
      <c r="G833" s="7"/>
    </row>
    <row r="834" spans="1:7" ht="27.75" customHeight="1">
      <c r="A834" s="5">
        <v>832</v>
      </c>
      <c r="B834" s="6" t="str">
        <f>"马林洪"</f>
        <v>马林洪</v>
      </c>
      <c r="C834" s="6" t="str">
        <f>"230702100510"</f>
        <v>230702100510</v>
      </c>
      <c r="D834" s="5" t="s">
        <v>21</v>
      </c>
      <c r="E834" s="5" t="s">
        <v>17</v>
      </c>
      <c r="F834" s="5">
        <v>7</v>
      </c>
      <c r="G834" s="7"/>
    </row>
    <row r="835" spans="1:7" ht="27.75" customHeight="1">
      <c r="A835" s="5">
        <v>833</v>
      </c>
      <c r="B835" s="6" t="str">
        <f>"刘恒辰"</f>
        <v>刘恒辰</v>
      </c>
      <c r="C835" s="6" t="str">
        <f>"230702100213"</f>
        <v>230702100213</v>
      </c>
      <c r="D835" s="5" t="s">
        <v>21</v>
      </c>
      <c r="E835" s="5" t="s">
        <v>17</v>
      </c>
      <c r="F835" s="5">
        <v>8</v>
      </c>
      <c r="G835" s="7"/>
    </row>
    <row r="836" spans="1:7" ht="27.75" customHeight="1">
      <c r="A836" s="5">
        <v>834</v>
      </c>
      <c r="B836" s="6" t="str">
        <f>"卓伯参"</f>
        <v>卓伯参</v>
      </c>
      <c r="C836" s="6" t="str">
        <f>"230702100225"</f>
        <v>230702100225</v>
      </c>
      <c r="D836" s="5" t="s">
        <v>21</v>
      </c>
      <c r="E836" s="5" t="s">
        <v>17</v>
      </c>
      <c r="F836" s="5">
        <v>9</v>
      </c>
      <c r="G836" s="7"/>
    </row>
    <row r="837" spans="1:7" ht="27.75" customHeight="1">
      <c r="A837" s="5">
        <v>835</v>
      </c>
      <c r="B837" s="6" t="str">
        <f>"王居易"</f>
        <v>王居易</v>
      </c>
      <c r="C837" s="6" t="str">
        <f>"230702100513"</f>
        <v>230702100513</v>
      </c>
      <c r="D837" s="5" t="s">
        <v>21</v>
      </c>
      <c r="E837" s="5" t="s">
        <v>17</v>
      </c>
      <c r="F837" s="5">
        <v>10</v>
      </c>
      <c r="G837" s="7"/>
    </row>
    <row r="838" spans="1:7" ht="27.75" customHeight="1">
      <c r="A838" s="5">
        <v>836</v>
      </c>
      <c r="B838" s="6" t="str">
        <f>"田景云"</f>
        <v>田景云</v>
      </c>
      <c r="C838" s="6" t="str">
        <f>"230702100616"</f>
        <v>230702100616</v>
      </c>
      <c r="D838" s="5" t="s">
        <v>21</v>
      </c>
      <c r="E838" s="5" t="s">
        <v>17</v>
      </c>
      <c r="F838" s="5">
        <v>11</v>
      </c>
      <c r="G838" s="7"/>
    </row>
    <row r="839" spans="1:7" ht="27.75" customHeight="1">
      <c r="A839" s="5">
        <v>837</v>
      </c>
      <c r="B839" s="6" t="str">
        <f>"李祖标"</f>
        <v>李祖标</v>
      </c>
      <c r="C839" s="6" t="str">
        <f>"230702100125"</f>
        <v>230702100125</v>
      </c>
      <c r="D839" s="5" t="s">
        <v>21</v>
      </c>
      <c r="E839" s="5" t="s">
        <v>17</v>
      </c>
      <c r="F839" s="5">
        <v>12</v>
      </c>
      <c r="G839" s="7"/>
    </row>
    <row r="840" spans="1:7" ht="27.75" customHeight="1">
      <c r="A840" s="5">
        <v>838</v>
      </c>
      <c r="B840" s="6" t="str">
        <f>"陈兴宏"</f>
        <v>陈兴宏</v>
      </c>
      <c r="C840" s="6" t="str">
        <f>"230702100325"</f>
        <v>230702100325</v>
      </c>
      <c r="D840" s="5" t="s">
        <v>21</v>
      </c>
      <c r="E840" s="5" t="s">
        <v>17</v>
      </c>
      <c r="F840" s="5">
        <v>13</v>
      </c>
      <c r="G840" s="7"/>
    </row>
    <row r="841" spans="1:7" ht="27.75" customHeight="1">
      <c r="A841" s="5">
        <v>839</v>
      </c>
      <c r="B841" s="6" t="str">
        <f>"郭绍浦"</f>
        <v>郭绍浦</v>
      </c>
      <c r="C841" s="6" t="str">
        <f>"230702100206"</f>
        <v>230702100206</v>
      </c>
      <c r="D841" s="5" t="s">
        <v>21</v>
      </c>
      <c r="E841" s="5" t="s">
        <v>17</v>
      </c>
      <c r="F841" s="5">
        <v>14</v>
      </c>
      <c r="G841" s="7"/>
    </row>
    <row r="842" spans="1:7" ht="27.75" customHeight="1">
      <c r="A842" s="5">
        <v>840</v>
      </c>
      <c r="B842" s="6" t="str">
        <f>"李庆河"</f>
        <v>李庆河</v>
      </c>
      <c r="C842" s="6" t="str">
        <f>"230702100406"</f>
        <v>230702100406</v>
      </c>
      <c r="D842" s="5" t="s">
        <v>21</v>
      </c>
      <c r="E842" s="5" t="s">
        <v>17</v>
      </c>
      <c r="F842" s="5">
        <v>15</v>
      </c>
      <c r="G842" s="7"/>
    </row>
    <row r="843" spans="1:7" ht="27.75" customHeight="1">
      <c r="A843" s="5">
        <v>841</v>
      </c>
      <c r="B843" s="6" t="str">
        <f>"欧志宇"</f>
        <v>欧志宇</v>
      </c>
      <c r="C843" s="6" t="str">
        <f>"230702100514"</f>
        <v>230702100514</v>
      </c>
      <c r="D843" s="5" t="s">
        <v>21</v>
      </c>
      <c r="E843" s="5" t="s">
        <v>17</v>
      </c>
      <c r="F843" s="5">
        <v>16</v>
      </c>
      <c r="G843" s="7"/>
    </row>
    <row r="844" spans="1:7" ht="27.75" customHeight="1">
      <c r="A844" s="5">
        <v>842</v>
      </c>
      <c r="B844" s="6" t="str">
        <f>"李挺东"</f>
        <v>李挺东</v>
      </c>
      <c r="C844" s="6" t="str">
        <f>"230702100103"</f>
        <v>230702100103</v>
      </c>
      <c r="D844" s="5" t="s">
        <v>21</v>
      </c>
      <c r="E844" s="5" t="s">
        <v>17</v>
      </c>
      <c r="F844" s="5">
        <v>17</v>
      </c>
      <c r="G844" s="7"/>
    </row>
    <row r="845" spans="1:7" ht="27.75" customHeight="1">
      <c r="A845" s="5">
        <v>843</v>
      </c>
      <c r="B845" s="6" t="str">
        <f>"杨彪"</f>
        <v>杨彪</v>
      </c>
      <c r="C845" s="6" t="str">
        <f>"230702100304"</f>
        <v>230702100304</v>
      </c>
      <c r="D845" s="5" t="s">
        <v>21</v>
      </c>
      <c r="E845" s="5" t="s">
        <v>17</v>
      </c>
      <c r="F845" s="5">
        <v>18</v>
      </c>
      <c r="G845" s="7"/>
    </row>
    <row r="846" spans="1:7" ht="27.75" customHeight="1">
      <c r="A846" s="5">
        <v>844</v>
      </c>
      <c r="B846" s="6" t="str">
        <f>"吉家平"</f>
        <v>吉家平</v>
      </c>
      <c r="C846" s="6" t="str">
        <f>"230702100323"</f>
        <v>230702100323</v>
      </c>
      <c r="D846" s="5" t="s">
        <v>21</v>
      </c>
      <c r="E846" s="5" t="s">
        <v>17</v>
      </c>
      <c r="F846" s="5">
        <v>19</v>
      </c>
      <c r="G846" s="7"/>
    </row>
    <row r="847" spans="1:7" ht="27.75" customHeight="1">
      <c r="A847" s="5">
        <v>845</v>
      </c>
      <c r="B847" s="6" t="str">
        <f>"林海滨"</f>
        <v>林海滨</v>
      </c>
      <c r="C847" s="6" t="str">
        <f>"230702100429"</f>
        <v>230702100429</v>
      </c>
      <c r="D847" s="5" t="s">
        <v>21</v>
      </c>
      <c r="E847" s="5" t="s">
        <v>17</v>
      </c>
      <c r="F847" s="5">
        <v>20</v>
      </c>
      <c r="G847" s="7"/>
    </row>
    <row r="848" spans="1:7" ht="27.75" customHeight="1">
      <c r="A848" s="5">
        <v>846</v>
      </c>
      <c r="B848" s="6" t="str">
        <f>"林佳康"</f>
        <v>林佳康</v>
      </c>
      <c r="C848" s="6" t="str">
        <f>"230702100630"</f>
        <v>230702100630</v>
      </c>
      <c r="D848" s="5" t="s">
        <v>21</v>
      </c>
      <c r="E848" s="5" t="s">
        <v>17</v>
      </c>
      <c r="F848" s="5">
        <v>21</v>
      </c>
      <c r="G848" s="7"/>
    </row>
    <row r="849" spans="1:7" ht="27.75" customHeight="1">
      <c r="A849" s="5">
        <v>847</v>
      </c>
      <c r="B849" s="6" t="str">
        <f>"刘传基"</f>
        <v>刘传基</v>
      </c>
      <c r="C849" s="6" t="str">
        <f>"230702100221"</f>
        <v>230702100221</v>
      </c>
      <c r="D849" s="5" t="s">
        <v>21</v>
      </c>
      <c r="E849" s="5" t="s">
        <v>17</v>
      </c>
      <c r="F849" s="5">
        <v>22</v>
      </c>
      <c r="G849" s="7"/>
    </row>
    <row r="850" spans="1:7" ht="27.75" customHeight="1">
      <c r="A850" s="5">
        <v>848</v>
      </c>
      <c r="B850" s="6" t="str">
        <f>"刘道蔚"</f>
        <v>刘道蔚</v>
      </c>
      <c r="C850" s="6" t="str">
        <f>"230702100710"</f>
        <v>230702100710</v>
      </c>
      <c r="D850" s="5" t="s">
        <v>21</v>
      </c>
      <c r="E850" s="5" t="s">
        <v>17</v>
      </c>
      <c r="F850" s="5">
        <v>23</v>
      </c>
      <c r="G850" s="7"/>
    </row>
    <row r="851" spans="1:7" ht="27.75" customHeight="1">
      <c r="A851" s="5">
        <v>849</v>
      </c>
      <c r="B851" s="6" t="str">
        <f>"吴至宁"</f>
        <v>吴至宁</v>
      </c>
      <c r="C851" s="6" t="str">
        <f>"230702100210"</f>
        <v>230702100210</v>
      </c>
      <c r="D851" s="5" t="s">
        <v>21</v>
      </c>
      <c r="E851" s="5" t="s">
        <v>17</v>
      </c>
      <c r="F851" s="5">
        <v>24</v>
      </c>
      <c r="G851" s="7"/>
    </row>
    <row r="852" spans="1:7" ht="27.75" customHeight="1">
      <c r="A852" s="5">
        <v>850</v>
      </c>
      <c r="B852" s="6" t="str">
        <f>"曾孔睿"</f>
        <v>曾孔睿</v>
      </c>
      <c r="C852" s="6" t="str">
        <f>"230702100214"</f>
        <v>230702100214</v>
      </c>
      <c r="D852" s="5" t="s">
        <v>21</v>
      </c>
      <c r="E852" s="5" t="s">
        <v>17</v>
      </c>
      <c r="F852" s="5">
        <v>25</v>
      </c>
      <c r="G852" s="7"/>
    </row>
    <row r="853" spans="1:7" ht="27.75" customHeight="1">
      <c r="A853" s="5">
        <v>851</v>
      </c>
      <c r="B853" s="6" t="str">
        <f>"谢门誉"</f>
        <v>谢门誉</v>
      </c>
      <c r="C853" s="6" t="str">
        <f>"230702100511"</f>
        <v>230702100511</v>
      </c>
      <c r="D853" s="5" t="s">
        <v>21</v>
      </c>
      <c r="E853" s="5" t="s">
        <v>17</v>
      </c>
      <c r="F853" s="5">
        <v>26</v>
      </c>
      <c r="G853" s="7"/>
    </row>
    <row r="854" spans="1:7" ht="27.75" customHeight="1">
      <c r="A854" s="5">
        <v>852</v>
      </c>
      <c r="B854" s="6" t="str">
        <f>"赵诗书"</f>
        <v>赵诗书</v>
      </c>
      <c r="C854" s="6" t="str">
        <f>"230702100118"</f>
        <v>230702100118</v>
      </c>
      <c r="D854" s="5" t="s">
        <v>21</v>
      </c>
      <c r="E854" s="5" t="s">
        <v>17</v>
      </c>
      <c r="F854" s="5">
        <v>27</v>
      </c>
      <c r="G854" s="7"/>
    </row>
    <row r="855" spans="1:7" ht="27.75" customHeight="1">
      <c r="A855" s="5">
        <v>853</v>
      </c>
      <c r="B855" s="6" t="str">
        <f>"方华钦"</f>
        <v>方华钦</v>
      </c>
      <c r="C855" s="6" t="str">
        <f>"230702100314"</f>
        <v>230702100314</v>
      </c>
      <c r="D855" s="5" t="s">
        <v>21</v>
      </c>
      <c r="E855" s="5" t="s">
        <v>17</v>
      </c>
      <c r="F855" s="5">
        <v>28</v>
      </c>
      <c r="G855" s="7"/>
    </row>
    <row r="856" spans="1:7" ht="27.75" customHeight="1">
      <c r="A856" s="5">
        <v>854</v>
      </c>
      <c r="B856" s="6" t="str">
        <f>"赵继敏"</f>
        <v>赵继敏</v>
      </c>
      <c r="C856" s="6" t="str">
        <f>"230702100320"</f>
        <v>230702100320</v>
      </c>
      <c r="D856" s="5" t="s">
        <v>21</v>
      </c>
      <c r="E856" s="5" t="s">
        <v>17</v>
      </c>
      <c r="F856" s="5">
        <v>29</v>
      </c>
      <c r="G856" s="7"/>
    </row>
    <row r="857" spans="1:7" ht="27.75" customHeight="1">
      <c r="A857" s="5">
        <v>855</v>
      </c>
      <c r="B857" s="6" t="str">
        <f>"周安义"</f>
        <v>周安义</v>
      </c>
      <c r="C857" s="6" t="str">
        <f>"230702100411"</f>
        <v>230702100411</v>
      </c>
      <c r="D857" s="5" t="s">
        <v>21</v>
      </c>
      <c r="E857" s="5" t="s">
        <v>17</v>
      </c>
      <c r="F857" s="5">
        <v>30</v>
      </c>
      <c r="G857" s="7"/>
    </row>
    <row r="858" spans="1:7" ht="27.75" customHeight="1">
      <c r="A858" s="5">
        <v>856</v>
      </c>
      <c r="B858" s="6" t="str">
        <f>"黄青权"</f>
        <v>黄青权</v>
      </c>
      <c r="C858" s="6" t="str">
        <f>"230702100430"</f>
        <v>230702100430</v>
      </c>
      <c r="D858" s="5" t="s">
        <v>21</v>
      </c>
      <c r="E858" s="5" t="s">
        <v>17</v>
      </c>
      <c r="F858" s="5">
        <v>31</v>
      </c>
      <c r="G858" s="7"/>
    </row>
    <row r="859" spans="1:7" ht="27.75" customHeight="1">
      <c r="A859" s="5">
        <v>857</v>
      </c>
      <c r="B859" s="6" t="str">
        <f>"白智杰"</f>
        <v>白智杰</v>
      </c>
      <c r="C859" s="6" t="str">
        <f>"230702100218"</f>
        <v>230702100218</v>
      </c>
      <c r="D859" s="5" t="s">
        <v>21</v>
      </c>
      <c r="E859" s="5" t="s">
        <v>17</v>
      </c>
      <c r="F859" s="5">
        <v>32</v>
      </c>
      <c r="G859" s="7"/>
    </row>
    <row r="860" spans="1:7" ht="27.75" customHeight="1">
      <c r="A860" s="5">
        <v>858</v>
      </c>
      <c r="B860" s="6" t="str">
        <f>"郑宁果"</f>
        <v>郑宁果</v>
      </c>
      <c r="C860" s="6" t="str">
        <f>"230702100628"</f>
        <v>230702100628</v>
      </c>
      <c r="D860" s="5" t="s">
        <v>21</v>
      </c>
      <c r="E860" s="5" t="s">
        <v>17</v>
      </c>
      <c r="F860" s="5">
        <v>33</v>
      </c>
      <c r="G860" s="7"/>
    </row>
    <row r="861" spans="1:7" ht="27.75" customHeight="1">
      <c r="A861" s="5">
        <v>859</v>
      </c>
      <c r="B861" s="6" t="str">
        <f>"闫威"</f>
        <v>闫威</v>
      </c>
      <c r="C861" s="6" t="str">
        <f>"230702100111"</f>
        <v>230702100111</v>
      </c>
      <c r="D861" s="5" t="s">
        <v>21</v>
      </c>
      <c r="E861" s="5" t="s">
        <v>17</v>
      </c>
      <c r="F861" s="5">
        <v>34</v>
      </c>
      <c r="G861" s="7"/>
    </row>
    <row r="862" spans="1:7" ht="27.75" customHeight="1">
      <c r="A862" s="5">
        <v>860</v>
      </c>
      <c r="B862" s="6" t="str">
        <f>"林才源"</f>
        <v>林才源</v>
      </c>
      <c r="C862" s="6" t="str">
        <f>"230702100208"</f>
        <v>230702100208</v>
      </c>
      <c r="D862" s="5" t="s">
        <v>21</v>
      </c>
      <c r="E862" s="5" t="s">
        <v>17</v>
      </c>
      <c r="F862" s="5">
        <v>35</v>
      </c>
      <c r="G862" s="7"/>
    </row>
    <row r="863" spans="1:7" ht="27.75" customHeight="1">
      <c r="A863" s="5">
        <v>861</v>
      </c>
      <c r="B863" s="6" t="str">
        <f>"王泰警"</f>
        <v>王泰警</v>
      </c>
      <c r="C863" s="6" t="str">
        <f>"230702100622"</f>
        <v>230702100622</v>
      </c>
      <c r="D863" s="5" t="s">
        <v>21</v>
      </c>
      <c r="E863" s="5" t="s">
        <v>17</v>
      </c>
      <c r="F863" s="5">
        <v>36</v>
      </c>
      <c r="G863" s="7"/>
    </row>
    <row r="864" spans="1:7" ht="27.75" customHeight="1">
      <c r="A864" s="5">
        <v>862</v>
      </c>
      <c r="B864" s="6" t="str">
        <f>"马强强"</f>
        <v>马强强</v>
      </c>
      <c r="C864" s="6" t="str">
        <f>"230702100127"</f>
        <v>230702100127</v>
      </c>
      <c r="D864" s="5" t="s">
        <v>21</v>
      </c>
      <c r="E864" s="5" t="s">
        <v>17</v>
      </c>
      <c r="F864" s="5">
        <v>37</v>
      </c>
      <c r="G864" s="7"/>
    </row>
    <row r="865" spans="1:7" ht="27.75" customHeight="1">
      <c r="A865" s="5">
        <v>863</v>
      </c>
      <c r="B865" s="6" t="str">
        <f>"张小东"</f>
        <v>张小东</v>
      </c>
      <c r="C865" s="6" t="str">
        <f>"230702100216"</f>
        <v>230702100216</v>
      </c>
      <c r="D865" s="5" t="s">
        <v>21</v>
      </c>
      <c r="E865" s="5" t="s">
        <v>17</v>
      </c>
      <c r="F865" s="5">
        <v>38</v>
      </c>
      <c r="G865" s="7"/>
    </row>
    <row r="866" spans="1:7" ht="27.75" customHeight="1">
      <c r="A866" s="5">
        <v>864</v>
      </c>
      <c r="B866" s="6" t="str">
        <f>"程范德"</f>
        <v>程范德</v>
      </c>
      <c r="C866" s="6" t="str">
        <f>"230702100403"</f>
        <v>230702100403</v>
      </c>
      <c r="D866" s="5" t="s">
        <v>21</v>
      </c>
      <c r="E866" s="5" t="s">
        <v>17</v>
      </c>
      <c r="F866" s="5">
        <v>39</v>
      </c>
      <c r="G866" s="7"/>
    </row>
    <row r="867" spans="1:7" ht="27.75" customHeight="1">
      <c r="A867" s="5">
        <v>865</v>
      </c>
      <c r="B867" s="6" t="str">
        <f>"王啓东"</f>
        <v>王啓东</v>
      </c>
      <c r="C867" s="6" t="str">
        <f>"230702100612"</f>
        <v>230702100612</v>
      </c>
      <c r="D867" s="5" t="s">
        <v>21</v>
      </c>
      <c r="E867" s="5" t="s">
        <v>17</v>
      </c>
      <c r="F867" s="5">
        <v>40</v>
      </c>
      <c r="G867" s="7"/>
    </row>
    <row r="868" spans="1:7" ht="27.75" customHeight="1">
      <c r="A868" s="5">
        <v>866</v>
      </c>
      <c r="B868" s="6" t="str">
        <f>"杜佶育"</f>
        <v>杜佶育</v>
      </c>
      <c r="C868" s="6" t="str">
        <f>"230702100702"</f>
        <v>230702100702</v>
      </c>
      <c r="D868" s="5" t="s">
        <v>21</v>
      </c>
      <c r="E868" s="5" t="s">
        <v>17</v>
      </c>
      <c r="F868" s="5">
        <v>41</v>
      </c>
      <c r="G868" s="7"/>
    </row>
    <row r="869" spans="1:7" ht="27.75" customHeight="1">
      <c r="A869" s="5">
        <v>867</v>
      </c>
      <c r="B869" s="6" t="str">
        <f>"李後锦"</f>
        <v>李後锦</v>
      </c>
      <c r="C869" s="6" t="str">
        <f>"230702100123"</f>
        <v>230702100123</v>
      </c>
      <c r="D869" s="5" t="s">
        <v>21</v>
      </c>
      <c r="E869" s="5" t="s">
        <v>17</v>
      </c>
      <c r="F869" s="5">
        <v>42</v>
      </c>
      <c r="G869" s="7"/>
    </row>
    <row r="870" spans="1:7" ht="27.75" customHeight="1">
      <c r="A870" s="5">
        <v>868</v>
      </c>
      <c r="B870" s="6" t="str">
        <f>"朱奎明"</f>
        <v>朱奎明</v>
      </c>
      <c r="C870" s="6" t="str">
        <f>"230702100222"</f>
        <v>230702100222</v>
      </c>
      <c r="D870" s="5" t="s">
        <v>21</v>
      </c>
      <c r="E870" s="5" t="s">
        <v>17</v>
      </c>
      <c r="F870" s="5">
        <v>43</v>
      </c>
      <c r="G870" s="7"/>
    </row>
    <row r="871" spans="1:7" ht="27.75" customHeight="1">
      <c r="A871" s="5">
        <v>869</v>
      </c>
      <c r="B871" s="6" t="str">
        <f>"王宾"</f>
        <v>王宾</v>
      </c>
      <c r="C871" s="6" t="str">
        <f>"230702100224"</f>
        <v>230702100224</v>
      </c>
      <c r="D871" s="5" t="s">
        <v>21</v>
      </c>
      <c r="E871" s="5" t="s">
        <v>17</v>
      </c>
      <c r="F871" s="5">
        <v>44</v>
      </c>
      <c r="G871" s="7"/>
    </row>
    <row r="872" spans="1:7" ht="27.75" customHeight="1">
      <c r="A872" s="5">
        <v>870</v>
      </c>
      <c r="B872" s="6" t="str">
        <f>"李必晓"</f>
        <v>李必晓</v>
      </c>
      <c r="C872" s="6" t="str">
        <f>"230702100309"</f>
        <v>230702100309</v>
      </c>
      <c r="D872" s="5" t="s">
        <v>21</v>
      </c>
      <c r="E872" s="5" t="s">
        <v>17</v>
      </c>
      <c r="F872" s="5">
        <v>45</v>
      </c>
      <c r="G872" s="7"/>
    </row>
    <row r="873" spans="1:7" ht="27.75" customHeight="1">
      <c r="A873" s="5">
        <v>871</v>
      </c>
      <c r="B873" s="6" t="str">
        <f>"符韬"</f>
        <v>符韬</v>
      </c>
      <c r="C873" s="6" t="str">
        <f>"230702100409"</f>
        <v>230702100409</v>
      </c>
      <c r="D873" s="5" t="s">
        <v>21</v>
      </c>
      <c r="E873" s="5" t="s">
        <v>17</v>
      </c>
      <c r="F873" s="5">
        <v>46</v>
      </c>
      <c r="G873" s="7"/>
    </row>
    <row r="874" spans="1:7" ht="27.75" customHeight="1">
      <c r="A874" s="5">
        <v>872</v>
      </c>
      <c r="B874" s="6" t="str">
        <f>"吴淑才"</f>
        <v>吴淑才</v>
      </c>
      <c r="C874" s="6" t="str">
        <f>"230702100605"</f>
        <v>230702100605</v>
      </c>
      <c r="D874" s="5" t="s">
        <v>21</v>
      </c>
      <c r="E874" s="5" t="s">
        <v>17</v>
      </c>
      <c r="F874" s="5">
        <v>47</v>
      </c>
      <c r="G874" s="7"/>
    </row>
    <row r="875" spans="1:7" ht="27.75" customHeight="1">
      <c r="A875" s="5">
        <v>873</v>
      </c>
      <c r="B875" s="6" t="str">
        <f>"陈汶诗"</f>
        <v>陈汶诗</v>
      </c>
      <c r="C875" s="6" t="str">
        <f>"230702100613"</f>
        <v>230702100613</v>
      </c>
      <c r="D875" s="5" t="s">
        <v>21</v>
      </c>
      <c r="E875" s="5" t="s">
        <v>17</v>
      </c>
      <c r="F875" s="5">
        <v>48</v>
      </c>
      <c r="G875" s="7"/>
    </row>
    <row r="876" spans="1:7" ht="27.75" customHeight="1">
      <c r="A876" s="5">
        <v>874</v>
      </c>
      <c r="B876" s="6" t="str">
        <f>"王子明"</f>
        <v>王子明</v>
      </c>
      <c r="C876" s="6" t="str">
        <f>"230702100115"</f>
        <v>230702100115</v>
      </c>
      <c r="D876" s="5" t="s">
        <v>21</v>
      </c>
      <c r="E876" s="5" t="s">
        <v>17</v>
      </c>
      <c r="F876" s="5">
        <v>49</v>
      </c>
      <c r="G876" s="7"/>
    </row>
    <row r="877" spans="1:7" ht="27.75" customHeight="1">
      <c r="A877" s="5">
        <v>875</v>
      </c>
      <c r="B877" s="6" t="str">
        <f>"吴火龙"</f>
        <v>吴火龙</v>
      </c>
      <c r="C877" s="6" t="str">
        <f>"230702100313"</f>
        <v>230702100313</v>
      </c>
      <c r="D877" s="5" t="s">
        <v>21</v>
      </c>
      <c r="E877" s="5" t="s">
        <v>17</v>
      </c>
      <c r="F877" s="5">
        <v>50</v>
      </c>
      <c r="G877" s="7"/>
    </row>
    <row r="878" spans="1:7" ht="27.75" customHeight="1">
      <c r="A878" s="5">
        <v>876</v>
      </c>
      <c r="B878" s="6" t="str">
        <f>"姜子涵"</f>
        <v>姜子涵</v>
      </c>
      <c r="C878" s="6" t="str">
        <f>"230702100404"</f>
        <v>230702100404</v>
      </c>
      <c r="D878" s="5" t="s">
        <v>21</v>
      </c>
      <c r="E878" s="5" t="s">
        <v>17</v>
      </c>
      <c r="F878" s="5">
        <v>51</v>
      </c>
      <c r="G878" s="7"/>
    </row>
    <row r="879" spans="1:7" ht="27.75" customHeight="1">
      <c r="A879" s="5">
        <v>877</v>
      </c>
      <c r="B879" s="6" t="str">
        <f>"陈亚弟"</f>
        <v>陈亚弟</v>
      </c>
      <c r="C879" s="6" t="str">
        <f>"230702100618"</f>
        <v>230702100618</v>
      </c>
      <c r="D879" s="5" t="s">
        <v>21</v>
      </c>
      <c r="E879" s="5" t="s">
        <v>17</v>
      </c>
      <c r="F879" s="5">
        <v>52</v>
      </c>
      <c r="G879" s="7"/>
    </row>
    <row r="880" spans="1:7" ht="27.75" customHeight="1">
      <c r="A880" s="5">
        <v>878</v>
      </c>
      <c r="B880" s="6" t="str">
        <f>"王辉宇"</f>
        <v>王辉宇</v>
      </c>
      <c r="C880" s="6" t="str">
        <f>"230702100105"</f>
        <v>230702100105</v>
      </c>
      <c r="D880" s="5" t="s">
        <v>21</v>
      </c>
      <c r="E880" s="5" t="s">
        <v>17</v>
      </c>
      <c r="F880" s="5">
        <v>53</v>
      </c>
      <c r="G880" s="7"/>
    </row>
    <row r="881" spans="1:7" ht="27.75" customHeight="1">
      <c r="A881" s="5">
        <v>879</v>
      </c>
      <c r="B881" s="6" t="str">
        <f>"王宝龙"</f>
        <v>王宝龙</v>
      </c>
      <c r="C881" s="6" t="str">
        <f>"230702100305"</f>
        <v>230702100305</v>
      </c>
      <c r="D881" s="5" t="s">
        <v>21</v>
      </c>
      <c r="E881" s="5" t="s">
        <v>17</v>
      </c>
      <c r="F881" s="5">
        <v>54</v>
      </c>
      <c r="G881" s="7"/>
    </row>
    <row r="882" spans="1:7" ht="27.75" customHeight="1">
      <c r="A882" s="5">
        <v>880</v>
      </c>
      <c r="B882" s="6" t="str">
        <f>"文宇旋"</f>
        <v>文宇旋</v>
      </c>
      <c r="C882" s="6" t="str">
        <f>"230702100322"</f>
        <v>230702100322</v>
      </c>
      <c r="D882" s="5" t="s">
        <v>21</v>
      </c>
      <c r="E882" s="5" t="s">
        <v>18</v>
      </c>
      <c r="F882" s="5">
        <v>55</v>
      </c>
      <c r="G882" s="7"/>
    </row>
    <row r="883" spans="1:7" ht="27.75" customHeight="1">
      <c r="A883" s="5">
        <v>881</v>
      </c>
      <c r="B883" s="6" t="str">
        <f>"朱兴广"</f>
        <v>朱兴广</v>
      </c>
      <c r="C883" s="6" t="str">
        <f>"230702100709"</f>
        <v>230702100709</v>
      </c>
      <c r="D883" s="5" t="s">
        <v>21</v>
      </c>
      <c r="E883" s="5" t="s">
        <v>18</v>
      </c>
      <c r="F883" s="5">
        <v>56</v>
      </c>
      <c r="G883" s="7"/>
    </row>
    <row r="884" spans="1:7" ht="27.75" customHeight="1">
      <c r="A884" s="5">
        <v>882</v>
      </c>
      <c r="B884" s="6" t="str">
        <f>"蔡为治"</f>
        <v>蔡为治</v>
      </c>
      <c r="C884" s="6" t="str">
        <f>"230702100124"</f>
        <v>230702100124</v>
      </c>
      <c r="D884" s="5" t="s">
        <v>21</v>
      </c>
      <c r="E884" s="5" t="s">
        <v>18</v>
      </c>
      <c r="F884" s="5">
        <v>57</v>
      </c>
      <c r="G884" s="7"/>
    </row>
    <row r="885" spans="1:7" ht="27.75" customHeight="1">
      <c r="A885" s="5">
        <v>883</v>
      </c>
      <c r="B885" s="6" t="str">
        <f>"孙国龙"</f>
        <v>孙国龙</v>
      </c>
      <c r="C885" s="6" t="str">
        <f>"230702100230"</f>
        <v>230702100230</v>
      </c>
      <c r="D885" s="5" t="s">
        <v>21</v>
      </c>
      <c r="E885" s="5" t="s">
        <v>18</v>
      </c>
      <c r="F885" s="5">
        <v>58</v>
      </c>
      <c r="G885" s="7"/>
    </row>
    <row r="886" spans="1:7" ht="27.75" customHeight="1">
      <c r="A886" s="5">
        <v>884</v>
      </c>
      <c r="B886" s="6" t="str">
        <f>"廖忠煜"</f>
        <v>廖忠煜</v>
      </c>
      <c r="C886" s="6" t="str">
        <f>"230702100326"</f>
        <v>230702100326</v>
      </c>
      <c r="D886" s="5" t="s">
        <v>21</v>
      </c>
      <c r="E886" s="5" t="s">
        <v>18</v>
      </c>
      <c r="F886" s="5">
        <v>59</v>
      </c>
      <c r="G886" s="7"/>
    </row>
    <row r="887" spans="1:7" ht="27.75" customHeight="1">
      <c r="A887" s="5">
        <v>885</v>
      </c>
      <c r="B887" s="6" t="str">
        <f>"黎传国"</f>
        <v>黎传国</v>
      </c>
      <c r="C887" s="6" t="str">
        <f>"230702100401"</f>
        <v>230702100401</v>
      </c>
      <c r="D887" s="5" t="s">
        <v>21</v>
      </c>
      <c r="E887" s="5" t="s">
        <v>18</v>
      </c>
      <c r="F887" s="5">
        <v>60</v>
      </c>
      <c r="G887" s="7"/>
    </row>
    <row r="888" spans="1:7" ht="27.75" customHeight="1">
      <c r="A888" s="5">
        <v>886</v>
      </c>
      <c r="B888" s="6" t="str">
        <f>"陈崇凯"</f>
        <v>陈崇凯</v>
      </c>
      <c r="C888" s="6" t="str">
        <f>"230702100106"</f>
        <v>230702100106</v>
      </c>
      <c r="D888" s="5" t="s">
        <v>21</v>
      </c>
      <c r="E888" s="5" t="s">
        <v>18</v>
      </c>
      <c r="F888" s="5">
        <v>61</v>
      </c>
      <c r="G888" s="7"/>
    </row>
    <row r="889" spans="1:7" ht="27.75" customHeight="1">
      <c r="A889" s="5">
        <v>887</v>
      </c>
      <c r="B889" s="6" t="str">
        <f>"韩冰"</f>
        <v>韩冰</v>
      </c>
      <c r="C889" s="6" t="str">
        <f>"230702100203"</f>
        <v>230702100203</v>
      </c>
      <c r="D889" s="5" t="s">
        <v>21</v>
      </c>
      <c r="E889" s="5" t="s">
        <v>18</v>
      </c>
      <c r="F889" s="5">
        <v>62</v>
      </c>
      <c r="G889" s="7"/>
    </row>
    <row r="890" spans="1:7" ht="27.75" customHeight="1">
      <c r="A890" s="5">
        <v>888</v>
      </c>
      <c r="B890" s="6" t="str">
        <f>"王传法"</f>
        <v>王传法</v>
      </c>
      <c r="C890" s="6" t="str">
        <f>"230702100229"</f>
        <v>230702100229</v>
      </c>
      <c r="D890" s="5" t="s">
        <v>21</v>
      </c>
      <c r="E890" s="5" t="s">
        <v>18</v>
      </c>
      <c r="F890" s="5">
        <v>63</v>
      </c>
      <c r="G890" s="7"/>
    </row>
    <row r="891" spans="1:7" ht="27.75" customHeight="1">
      <c r="A891" s="5">
        <v>889</v>
      </c>
      <c r="B891" s="6" t="str">
        <f>"周培宏"</f>
        <v>周培宏</v>
      </c>
      <c r="C891" s="6" t="str">
        <f>"230702100417"</f>
        <v>230702100417</v>
      </c>
      <c r="D891" s="5" t="s">
        <v>21</v>
      </c>
      <c r="E891" s="5" t="s">
        <v>18</v>
      </c>
      <c r="F891" s="5">
        <v>64</v>
      </c>
      <c r="G891" s="7"/>
    </row>
    <row r="892" spans="1:7" ht="27.75" customHeight="1">
      <c r="A892" s="5">
        <v>890</v>
      </c>
      <c r="B892" s="6" t="str">
        <f>"薛以华"</f>
        <v>薛以华</v>
      </c>
      <c r="C892" s="6" t="str">
        <f>"230702100523"</f>
        <v>230702100523</v>
      </c>
      <c r="D892" s="5" t="s">
        <v>21</v>
      </c>
      <c r="E892" s="5" t="s">
        <v>18</v>
      </c>
      <c r="F892" s="5">
        <v>65</v>
      </c>
      <c r="G892" s="7"/>
    </row>
    <row r="893" spans="1:7" ht="27.75" customHeight="1">
      <c r="A893" s="5">
        <v>891</v>
      </c>
      <c r="B893" s="6" t="str">
        <f>"莫达龙"</f>
        <v>莫达龙</v>
      </c>
      <c r="C893" s="6" t="str">
        <f>"230702100530"</f>
        <v>230702100530</v>
      </c>
      <c r="D893" s="5" t="s">
        <v>21</v>
      </c>
      <c r="E893" s="5" t="s">
        <v>18</v>
      </c>
      <c r="F893" s="5">
        <v>66</v>
      </c>
      <c r="G893" s="7"/>
    </row>
    <row r="894" spans="1:7" ht="27.75" customHeight="1">
      <c r="A894" s="5">
        <v>892</v>
      </c>
      <c r="B894" s="6" t="str">
        <f>"蔡弥祥"</f>
        <v>蔡弥祥</v>
      </c>
      <c r="C894" s="6" t="str">
        <f>"230702100110"</f>
        <v>230702100110</v>
      </c>
      <c r="D894" s="5" t="s">
        <v>21</v>
      </c>
      <c r="E894" s="5" t="s">
        <v>18</v>
      </c>
      <c r="F894" s="5">
        <v>67</v>
      </c>
      <c r="G894" s="7"/>
    </row>
    <row r="895" spans="1:7" ht="27.75" customHeight="1">
      <c r="A895" s="5">
        <v>893</v>
      </c>
      <c r="B895" s="6" t="str">
        <f>"孙昊"</f>
        <v>孙昊</v>
      </c>
      <c r="C895" s="6" t="str">
        <f>"230702100119"</f>
        <v>230702100119</v>
      </c>
      <c r="D895" s="5" t="s">
        <v>21</v>
      </c>
      <c r="E895" s="5" t="s">
        <v>18</v>
      </c>
      <c r="F895" s="5">
        <v>68</v>
      </c>
      <c r="G895" s="7"/>
    </row>
    <row r="896" spans="1:7" ht="27.75" customHeight="1">
      <c r="A896" s="5">
        <v>894</v>
      </c>
      <c r="B896" s="6" t="str">
        <f>"王琦"</f>
        <v>王琦</v>
      </c>
      <c r="C896" s="6" t="str">
        <f>"230702100126"</f>
        <v>230702100126</v>
      </c>
      <c r="D896" s="5" t="s">
        <v>21</v>
      </c>
      <c r="E896" s="5" t="s">
        <v>18</v>
      </c>
      <c r="F896" s="5">
        <v>69</v>
      </c>
      <c r="G896" s="7"/>
    </row>
    <row r="897" spans="1:7" ht="27.75" customHeight="1">
      <c r="A897" s="5">
        <v>895</v>
      </c>
      <c r="B897" s="6" t="str">
        <f>"朱俊辉"</f>
        <v>朱俊辉</v>
      </c>
      <c r="C897" s="6" t="str">
        <f>"230702100211"</f>
        <v>230702100211</v>
      </c>
      <c r="D897" s="5" t="s">
        <v>21</v>
      </c>
      <c r="E897" s="5" t="s">
        <v>18</v>
      </c>
      <c r="F897" s="5">
        <v>70</v>
      </c>
      <c r="G897" s="7"/>
    </row>
    <row r="898" spans="1:7" ht="27.75" customHeight="1">
      <c r="A898" s="5">
        <v>896</v>
      </c>
      <c r="B898" s="6" t="str">
        <f>"周启溢"</f>
        <v>周启溢</v>
      </c>
      <c r="C898" s="6" t="str">
        <f>"230702100227"</f>
        <v>230702100227</v>
      </c>
      <c r="D898" s="5" t="s">
        <v>21</v>
      </c>
      <c r="E898" s="5" t="s">
        <v>18</v>
      </c>
      <c r="F898" s="5">
        <v>71</v>
      </c>
      <c r="G898" s="7"/>
    </row>
    <row r="899" spans="1:7" ht="27.75" customHeight="1">
      <c r="A899" s="5">
        <v>897</v>
      </c>
      <c r="B899" s="6" t="str">
        <f>"吕子龙"</f>
        <v>吕子龙</v>
      </c>
      <c r="C899" s="6" t="str">
        <f>"230702100307"</f>
        <v>230702100307</v>
      </c>
      <c r="D899" s="5" t="s">
        <v>21</v>
      </c>
      <c r="E899" s="5" t="s">
        <v>18</v>
      </c>
      <c r="F899" s="5">
        <v>72</v>
      </c>
      <c r="G899" s="7"/>
    </row>
    <row r="900" spans="1:7" ht="27.75" customHeight="1">
      <c r="A900" s="5">
        <v>898</v>
      </c>
      <c r="B900" s="6" t="str">
        <f>"梁嘉豪"</f>
        <v>梁嘉豪</v>
      </c>
      <c r="C900" s="6" t="str">
        <f>"230702100315"</f>
        <v>230702100315</v>
      </c>
      <c r="D900" s="5" t="s">
        <v>21</v>
      </c>
      <c r="E900" s="5" t="s">
        <v>18</v>
      </c>
      <c r="F900" s="5">
        <v>73</v>
      </c>
      <c r="G900" s="7"/>
    </row>
    <row r="901" spans="1:7" ht="27.75" customHeight="1">
      <c r="A901" s="5">
        <v>899</v>
      </c>
      <c r="B901" s="6" t="str">
        <f>"杜绍辉"</f>
        <v>杜绍辉</v>
      </c>
      <c r="C901" s="6" t="str">
        <f>"230702100617"</f>
        <v>230702100617</v>
      </c>
      <c r="D901" s="5" t="s">
        <v>21</v>
      </c>
      <c r="E901" s="5" t="s">
        <v>18</v>
      </c>
      <c r="F901" s="5">
        <v>74</v>
      </c>
      <c r="G901" s="7"/>
    </row>
    <row r="902" spans="1:7" ht="27.75" customHeight="1">
      <c r="A902" s="5">
        <v>900</v>
      </c>
      <c r="B902" s="6" t="str">
        <f>"牛浩康"</f>
        <v>牛浩康</v>
      </c>
      <c r="C902" s="6" t="str">
        <f>"230702100101"</f>
        <v>230702100101</v>
      </c>
      <c r="D902" s="5" t="s">
        <v>21</v>
      </c>
      <c r="E902" s="5" t="s">
        <v>18</v>
      </c>
      <c r="F902" s="5">
        <v>75</v>
      </c>
      <c r="G902" s="7"/>
    </row>
    <row r="903" spans="1:7" ht="27.75" customHeight="1">
      <c r="A903" s="5">
        <v>901</v>
      </c>
      <c r="B903" s="6" t="str">
        <f>"黄翔榆"</f>
        <v>黄翔榆</v>
      </c>
      <c r="C903" s="6" t="str">
        <f>"230702100223"</f>
        <v>230702100223</v>
      </c>
      <c r="D903" s="5" t="s">
        <v>21</v>
      </c>
      <c r="E903" s="5" t="s">
        <v>18</v>
      </c>
      <c r="F903" s="5">
        <v>76</v>
      </c>
      <c r="G903" s="7"/>
    </row>
    <row r="904" spans="1:7" ht="27.75" customHeight="1">
      <c r="A904" s="5">
        <v>902</v>
      </c>
      <c r="B904" s="6" t="str">
        <f>"陈波"</f>
        <v>陈波</v>
      </c>
      <c r="C904" s="6" t="str">
        <f>"230702100415"</f>
        <v>230702100415</v>
      </c>
      <c r="D904" s="5" t="s">
        <v>21</v>
      </c>
      <c r="E904" s="5" t="s">
        <v>18</v>
      </c>
      <c r="F904" s="5">
        <v>77</v>
      </c>
      <c r="G904" s="7"/>
    </row>
    <row r="905" spans="1:7" ht="27.75" customHeight="1">
      <c r="A905" s="5">
        <v>903</v>
      </c>
      <c r="B905" s="6" t="str">
        <f>"王河健"</f>
        <v>王河健</v>
      </c>
      <c r="C905" s="6" t="str">
        <f>"230702100608"</f>
        <v>230702100608</v>
      </c>
      <c r="D905" s="5" t="s">
        <v>21</v>
      </c>
      <c r="E905" s="5" t="s">
        <v>18</v>
      </c>
      <c r="F905" s="5">
        <v>78</v>
      </c>
      <c r="G905" s="7"/>
    </row>
    <row r="906" spans="1:7" ht="27.75" customHeight="1">
      <c r="A906" s="5">
        <v>904</v>
      </c>
      <c r="B906" s="6" t="str">
        <f>"张泰颜"</f>
        <v>张泰颜</v>
      </c>
      <c r="C906" s="6" t="str">
        <f>"230702100626"</f>
        <v>230702100626</v>
      </c>
      <c r="D906" s="5" t="s">
        <v>21</v>
      </c>
      <c r="E906" s="5" t="s">
        <v>18</v>
      </c>
      <c r="F906" s="5">
        <v>79</v>
      </c>
      <c r="G906" s="7"/>
    </row>
    <row r="907" spans="1:7" ht="27.75" customHeight="1">
      <c r="A907" s="5">
        <v>905</v>
      </c>
      <c r="B907" s="6" t="str">
        <f>"周小刚"</f>
        <v>周小刚</v>
      </c>
      <c r="C907" s="6" t="str">
        <f>"230702100209"</f>
        <v>230702100209</v>
      </c>
      <c r="D907" s="5" t="s">
        <v>21</v>
      </c>
      <c r="E907" s="5" t="s">
        <v>18</v>
      </c>
      <c r="F907" s="5">
        <v>80</v>
      </c>
      <c r="G907" s="7"/>
    </row>
    <row r="908" spans="1:7" ht="27.75" customHeight="1">
      <c r="A908" s="5">
        <v>906</v>
      </c>
      <c r="B908" s="6" t="str">
        <f>"罗家勤"</f>
        <v>罗家勤</v>
      </c>
      <c r="C908" s="6" t="str">
        <f>"230702100228"</f>
        <v>230702100228</v>
      </c>
      <c r="D908" s="5" t="s">
        <v>21</v>
      </c>
      <c r="E908" s="5" t="s">
        <v>18</v>
      </c>
      <c r="F908" s="5">
        <v>81</v>
      </c>
      <c r="G908" s="7"/>
    </row>
    <row r="909" spans="1:7" ht="27.75" customHeight="1">
      <c r="A909" s="5">
        <v>907</v>
      </c>
      <c r="B909" s="6" t="str">
        <f>"李先鸿"</f>
        <v>李先鸿</v>
      </c>
      <c r="C909" s="6" t="str">
        <f>"230702100405"</f>
        <v>230702100405</v>
      </c>
      <c r="D909" s="5" t="s">
        <v>21</v>
      </c>
      <c r="E909" s="5" t="s">
        <v>18</v>
      </c>
      <c r="F909" s="5">
        <v>82</v>
      </c>
      <c r="G909" s="7"/>
    </row>
    <row r="910" spans="1:7" ht="27.75" customHeight="1">
      <c r="A910" s="5">
        <v>908</v>
      </c>
      <c r="B910" s="6" t="str">
        <f>"莫导"</f>
        <v>莫导</v>
      </c>
      <c r="C910" s="6" t="str">
        <f>"230702100607"</f>
        <v>230702100607</v>
      </c>
      <c r="D910" s="5" t="s">
        <v>21</v>
      </c>
      <c r="E910" s="5" t="s">
        <v>18</v>
      </c>
      <c r="F910" s="5">
        <v>83</v>
      </c>
      <c r="G910" s="7"/>
    </row>
    <row r="911" spans="1:7" ht="27.75" customHeight="1">
      <c r="A911" s="5">
        <v>909</v>
      </c>
      <c r="B911" s="6" t="str">
        <f>"郑进威"</f>
        <v>郑进威</v>
      </c>
      <c r="C911" s="6" t="str">
        <f>"230702100412"</f>
        <v>230702100412</v>
      </c>
      <c r="D911" s="5" t="s">
        <v>21</v>
      </c>
      <c r="E911" s="5" t="s">
        <v>18</v>
      </c>
      <c r="F911" s="5">
        <v>84</v>
      </c>
      <c r="G911" s="7"/>
    </row>
    <row r="912" spans="1:7" ht="27.75" customHeight="1">
      <c r="A912" s="5">
        <v>910</v>
      </c>
      <c r="B912" s="6" t="str">
        <f>"郭启龙"</f>
        <v>郭启龙</v>
      </c>
      <c r="C912" s="6" t="str">
        <f>"230702100506"</f>
        <v>230702100506</v>
      </c>
      <c r="D912" s="5" t="s">
        <v>21</v>
      </c>
      <c r="E912" s="5" t="s">
        <v>18</v>
      </c>
      <c r="F912" s="5">
        <v>85</v>
      </c>
      <c r="G912" s="7"/>
    </row>
    <row r="913" spans="1:7" ht="27.75" customHeight="1">
      <c r="A913" s="5">
        <v>911</v>
      </c>
      <c r="B913" s="6" t="str">
        <f>"陈元镇"</f>
        <v>陈元镇</v>
      </c>
      <c r="C913" s="6" t="str">
        <f>"230702100524"</f>
        <v>230702100524</v>
      </c>
      <c r="D913" s="5" t="s">
        <v>21</v>
      </c>
      <c r="E913" s="5" t="s">
        <v>18</v>
      </c>
      <c r="F913" s="5">
        <v>86</v>
      </c>
      <c r="G913" s="7"/>
    </row>
    <row r="914" spans="1:7" ht="27.75" customHeight="1">
      <c r="A914" s="5">
        <v>912</v>
      </c>
      <c r="B914" s="6" t="str">
        <f>"麦川忠"</f>
        <v>麦川忠</v>
      </c>
      <c r="C914" s="6" t="str">
        <f>"230702100414"</f>
        <v>230702100414</v>
      </c>
      <c r="D914" s="5" t="s">
        <v>21</v>
      </c>
      <c r="E914" s="5" t="s">
        <v>18</v>
      </c>
      <c r="F914" s="5">
        <v>87</v>
      </c>
      <c r="G914" s="7"/>
    </row>
    <row r="915" spans="1:7" ht="27.75" customHeight="1">
      <c r="A915" s="5">
        <v>913</v>
      </c>
      <c r="B915" s="6" t="str">
        <f>"聂小赟"</f>
        <v>聂小赟</v>
      </c>
      <c r="C915" s="6" t="str">
        <f>"230702100601"</f>
        <v>230702100601</v>
      </c>
      <c r="D915" s="5" t="s">
        <v>21</v>
      </c>
      <c r="E915" s="5" t="s">
        <v>18</v>
      </c>
      <c r="F915" s="5">
        <v>88</v>
      </c>
      <c r="G915" s="7"/>
    </row>
    <row r="916" spans="1:7" ht="27.75" customHeight="1">
      <c r="A916" s="5">
        <v>914</v>
      </c>
      <c r="B916" s="6" t="str">
        <f>"邢增林"</f>
        <v>邢增林</v>
      </c>
      <c r="C916" s="6" t="str">
        <f>"230702100611"</f>
        <v>230702100611</v>
      </c>
      <c r="D916" s="5" t="s">
        <v>21</v>
      </c>
      <c r="E916" s="5" t="s">
        <v>18</v>
      </c>
      <c r="F916" s="5">
        <v>89</v>
      </c>
      <c r="G916" s="7"/>
    </row>
    <row r="917" spans="1:7" ht="27.75" customHeight="1">
      <c r="A917" s="5">
        <v>915</v>
      </c>
      <c r="B917" s="6" t="str">
        <f>"坟成康"</f>
        <v>坟成康</v>
      </c>
      <c r="C917" s="6" t="str">
        <f>"230702100102"</f>
        <v>230702100102</v>
      </c>
      <c r="D917" s="5" t="s">
        <v>21</v>
      </c>
      <c r="E917" s="5" t="s">
        <v>18</v>
      </c>
      <c r="F917" s="5">
        <v>90</v>
      </c>
      <c r="G917" s="7"/>
    </row>
    <row r="918" spans="1:7" ht="27.75" customHeight="1">
      <c r="A918" s="5">
        <v>916</v>
      </c>
      <c r="B918" s="6" t="str">
        <f>"王道星"</f>
        <v>王道星</v>
      </c>
      <c r="C918" s="6" t="str">
        <f>"230702100310"</f>
        <v>230702100310</v>
      </c>
      <c r="D918" s="5" t="s">
        <v>21</v>
      </c>
      <c r="E918" s="5" t="s">
        <v>18</v>
      </c>
      <c r="F918" s="5">
        <v>91</v>
      </c>
      <c r="G918" s="7"/>
    </row>
    <row r="919" spans="1:7" ht="27.75" customHeight="1">
      <c r="A919" s="5">
        <v>917</v>
      </c>
      <c r="B919" s="6" t="str">
        <f>"陈冲"</f>
        <v>陈冲</v>
      </c>
      <c r="C919" s="6" t="str">
        <f>"230702100422"</f>
        <v>230702100422</v>
      </c>
      <c r="D919" s="5" t="s">
        <v>21</v>
      </c>
      <c r="E919" s="5" t="s">
        <v>18</v>
      </c>
      <c r="F919" s="5">
        <v>92</v>
      </c>
      <c r="G919" s="7"/>
    </row>
    <row r="920" spans="1:7" ht="27.75" customHeight="1">
      <c r="A920" s="5">
        <v>918</v>
      </c>
      <c r="B920" s="6" t="str">
        <f>"陈聪"</f>
        <v>陈聪</v>
      </c>
      <c r="C920" s="6" t="str">
        <f>"230702100425"</f>
        <v>230702100425</v>
      </c>
      <c r="D920" s="5" t="s">
        <v>21</v>
      </c>
      <c r="E920" s="5" t="s">
        <v>18</v>
      </c>
      <c r="F920" s="5">
        <v>93</v>
      </c>
      <c r="G920" s="7"/>
    </row>
    <row r="921" spans="1:7" ht="27.75" customHeight="1">
      <c r="A921" s="5">
        <v>919</v>
      </c>
      <c r="B921" s="6" t="str">
        <f>"陈敬毅"</f>
        <v>陈敬毅</v>
      </c>
      <c r="C921" s="6" t="str">
        <f>"230702100113"</f>
        <v>230702100113</v>
      </c>
      <c r="D921" s="5" t="s">
        <v>21</v>
      </c>
      <c r="E921" s="5" t="s">
        <v>18</v>
      </c>
      <c r="F921" s="5">
        <v>94</v>
      </c>
      <c r="G921" s="7"/>
    </row>
    <row r="922" spans="1:7" ht="27.75" customHeight="1">
      <c r="A922" s="5">
        <v>920</v>
      </c>
      <c r="B922" s="6" t="str">
        <f>"万锐"</f>
        <v>万锐</v>
      </c>
      <c r="C922" s="6" t="str">
        <f>"230702100120"</f>
        <v>230702100120</v>
      </c>
      <c r="D922" s="5" t="s">
        <v>21</v>
      </c>
      <c r="E922" s="5" t="s">
        <v>18</v>
      </c>
      <c r="F922" s="5">
        <v>95</v>
      </c>
      <c r="G922" s="7"/>
    </row>
    <row r="923" spans="1:7" ht="27.75" customHeight="1">
      <c r="A923" s="5">
        <v>921</v>
      </c>
      <c r="B923" s="6" t="str">
        <f>"许普礼"</f>
        <v>许普礼</v>
      </c>
      <c r="C923" s="6" t="str">
        <f>"230702100319"</f>
        <v>230702100319</v>
      </c>
      <c r="D923" s="5" t="s">
        <v>21</v>
      </c>
      <c r="E923" s="5" t="s">
        <v>18</v>
      </c>
      <c r="F923" s="5">
        <v>96</v>
      </c>
      <c r="G923" s="7"/>
    </row>
    <row r="924" spans="1:7" ht="27.75" customHeight="1">
      <c r="A924" s="5">
        <v>922</v>
      </c>
      <c r="B924" s="6" t="str">
        <f>"李航"</f>
        <v>李航</v>
      </c>
      <c r="C924" s="6" t="str">
        <f>"230702100408"</f>
        <v>230702100408</v>
      </c>
      <c r="D924" s="5" t="s">
        <v>21</v>
      </c>
      <c r="E924" s="5" t="s">
        <v>18</v>
      </c>
      <c r="F924" s="5">
        <v>97</v>
      </c>
      <c r="G924" s="7"/>
    </row>
    <row r="925" spans="1:7" ht="27.75" customHeight="1">
      <c r="A925" s="5">
        <v>923</v>
      </c>
      <c r="B925" s="6" t="str">
        <f>"陈兴王"</f>
        <v>陈兴王</v>
      </c>
      <c r="C925" s="6" t="str">
        <f>"230702100501"</f>
        <v>230702100501</v>
      </c>
      <c r="D925" s="5" t="s">
        <v>21</v>
      </c>
      <c r="E925" s="5" t="s">
        <v>18</v>
      </c>
      <c r="F925" s="5">
        <v>98</v>
      </c>
      <c r="G925" s="7"/>
    </row>
    <row r="926" spans="1:7" ht="27.75" customHeight="1">
      <c r="A926" s="5">
        <v>924</v>
      </c>
      <c r="B926" s="6" t="str">
        <f>"孙龙杰"</f>
        <v>孙龙杰</v>
      </c>
      <c r="C926" s="6" t="str">
        <f>"230702100502"</f>
        <v>230702100502</v>
      </c>
      <c r="D926" s="5" t="s">
        <v>21</v>
      </c>
      <c r="E926" s="5" t="s">
        <v>18</v>
      </c>
      <c r="F926" s="5">
        <v>99</v>
      </c>
      <c r="G926" s="7"/>
    </row>
    <row r="927" spans="1:7" ht="27.75" customHeight="1">
      <c r="A927" s="5">
        <v>925</v>
      </c>
      <c r="B927" s="6" t="str">
        <f>"陈梓林"</f>
        <v>陈梓林</v>
      </c>
      <c r="C927" s="6" t="str">
        <f>"230702100701"</f>
        <v>230702100701</v>
      </c>
      <c r="D927" s="5" t="s">
        <v>21</v>
      </c>
      <c r="E927" s="5" t="s">
        <v>18</v>
      </c>
      <c r="F927" s="5">
        <v>100</v>
      </c>
      <c r="G927" s="7"/>
    </row>
    <row r="928" spans="1:7" ht="27.75" customHeight="1">
      <c r="A928" s="5">
        <v>926</v>
      </c>
      <c r="B928" s="6" t="str">
        <f>"曹海波"</f>
        <v>曹海波</v>
      </c>
      <c r="C928" s="6" t="str">
        <f>"230702100706"</f>
        <v>230702100706</v>
      </c>
      <c r="D928" s="5" t="s">
        <v>21</v>
      </c>
      <c r="E928" s="5" t="s">
        <v>18</v>
      </c>
      <c r="F928" s="5">
        <v>101</v>
      </c>
      <c r="G928" s="7"/>
    </row>
    <row r="929" spans="1:7" ht="27.75" customHeight="1">
      <c r="A929" s="5">
        <v>927</v>
      </c>
      <c r="B929" s="6" t="str">
        <f>"符昌辉"</f>
        <v>符昌辉</v>
      </c>
      <c r="C929" s="6" t="str">
        <f>"230702100329"</f>
        <v>230702100329</v>
      </c>
      <c r="D929" s="5" t="s">
        <v>21</v>
      </c>
      <c r="E929" s="5" t="s">
        <v>18</v>
      </c>
      <c r="F929" s="5">
        <v>102</v>
      </c>
      <c r="G929" s="7"/>
    </row>
    <row r="930" spans="1:7" ht="27.75" customHeight="1">
      <c r="A930" s="5">
        <v>928</v>
      </c>
      <c r="B930" s="6" t="str">
        <f>"吴汉林"</f>
        <v>吴汉林</v>
      </c>
      <c r="C930" s="6" t="str">
        <f>"230702100402"</f>
        <v>230702100402</v>
      </c>
      <c r="D930" s="5" t="s">
        <v>21</v>
      </c>
      <c r="E930" s="5" t="s">
        <v>18</v>
      </c>
      <c r="F930" s="5">
        <v>103</v>
      </c>
      <c r="G930" s="7"/>
    </row>
    <row r="931" spans="1:7" ht="27.75" customHeight="1">
      <c r="A931" s="5">
        <v>929</v>
      </c>
      <c r="B931" s="6" t="str">
        <f>"黄观生"</f>
        <v>黄观生</v>
      </c>
      <c r="C931" s="6" t="str">
        <f>"230702100424"</f>
        <v>230702100424</v>
      </c>
      <c r="D931" s="5" t="s">
        <v>21</v>
      </c>
      <c r="E931" s="5" t="s">
        <v>18</v>
      </c>
      <c r="F931" s="5">
        <v>104</v>
      </c>
      <c r="G931" s="7"/>
    </row>
    <row r="932" spans="1:7" ht="27.75" customHeight="1">
      <c r="A932" s="5">
        <v>930</v>
      </c>
      <c r="B932" s="6" t="str">
        <f>"王海权"</f>
        <v>王海权</v>
      </c>
      <c r="C932" s="6" t="str">
        <f>"230702100707"</f>
        <v>230702100707</v>
      </c>
      <c r="D932" s="5" t="s">
        <v>21</v>
      </c>
      <c r="E932" s="5" t="s">
        <v>18</v>
      </c>
      <c r="F932" s="5">
        <v>105</v>
      </c>
      <c r="G932" s="7"/>
    </row>
    <row r="933" spans="1:7" ht="27.75" customHeight="1">
      <c r="A933" s="5">
        <v>931</v>
      </c>
      <c r="B933" s="6" t="str">
        <f>"曾其兴"</f>
        <v>曾其兴</v>
      </c>
      <c r="C933" s="6" t="str">
        <f>"230702100112"</f>
        <v>230702100112</v>
      </c>
      <c r="D933" s="5" t="s">
        <v>21</v>
      </c>
      <c r="E933" s="5" t="s">
        <v>18</v>
      </c>
      <c r="F933" s="5">
        <v>106</v>
      </c>
      <c r="G933" s="7"/>
    </row>
    <row r="934" spans="1:7" ht="27.75" customHeight="1">
      <c r="A934" s="5">
        <v>932</v>
      </c>
      <c r="B934" s="6" t="str">
        <f>"王树"</f>
        <v>王树</v>
      </c>
      <c r="C934" s="6" t="str">
        <f>"230702100129"</f>
        <v>230702100129</v>
      </c>
      <c r="D934" s="5" t="s">
        <v>21</v>
      </c>
      <c r="E934" s="5" t="s">
        <v>18</v>
      </c>
      <c r="F934" s="5">
        <v>107</v>
      </c>
      <c r="G934" s="7"/>
    </row>
    <row r="935" spans="1:7" ht="27.75" customHeight="1">
      <c r="A935" s="5">
        <v>933</v>
      </c>
      <c r="B935" s="6" t="str">
        <f>"庄光泽"</f>
        <v>庄光泽</v>
      </c>
      <c r="C935" s="6" t="str">
        <f>"230702100504"</f>
        <v>230702100504</v>
      </c>
      <c r="D935" s="5" t="s">
        <v>21</v>
      </c>
      <c r="E935" s="5" t="s">
        <v>18</v>
      </c>
      <c r="F935" s="5">
        <v>108</v>
      </c>
      <c r="G935" s="7"/>
    </row>
    <row r="936" spans="1:7" ht="27.75" customHeight="1">
      <c r="A936" s="5">
        <v>934</v>
      </c>
      <c r="B936" s="6" t="str">
        <f>"郝彦有"</f>
        <v>郝彦有</v>
      </c>
      <c r="C936" s="6" t="str">
        <f>"230702100708"</f>
        <v>230702100708</v>
      </c>
      <c r="D936" s="5" t="s">
        <v>21</v>
      </c>
      <c r="E936" s="5" t="s">
        <v>19</v>
      </c>
      <c r="F936" s="5">
        <v>109</v>
      </c>
      <c r="G936" s="7"/>
    </row>
    <row r="937" spans="1:7" ht="27.75" customHeight="1">
      <c r="A937" s="5">
        <v>935</v>
      </c>
      <c r="B937" s="6" t="str">
        <f>"陈于豪"</f>
        <v>陈于豪</v>
      </c>
      <c r="C937" s="6" t="str">
        <f>"230702100121"</f>
        <v>230702100121</v>
      </c>
      <c r="D937" s="5" t="s">
        <v>21</v>
      </c>
      <c r="E937" s="5" t="s">
        <v>19</v>
      </c>
      <c r="F937" s="5">
        <v>110</v>
      </c>
      <c r="G937" s="7"/>
    </row>
    <row r="938" spans="1:7" ht="27.75" customHeight="1">
      <c r="A938" s="5">
        <v>936</v>
      </c>
      <c r="B938" s="6" t="str">
        <f>"罗梯"</f>
        <v>罗梯</v>
      </c>
      <c r="C938" s="6" t="str">
        <f>"230702100316"</f>
        <v>230702100316</v>
      </c>
      <c r="D938" s="5" t="s">
        <v>21</v>
      </c>
      <c r="E938" s="5" t="s">
        <v>19</v>
      </c>
      <c r="F938" s="5">
        <v>111</v>
      </c>
      <c r="G938" s="7"/>
    </row>
    <row r="939" spans="1:7" ht="27.75" customHeight="1">
      <c r="A939" s="5">
        <v>937</v>
      </c>
      <c r="B939" s="6" t="str">
        <f>"许天再"</f>
        <v>许天再</v>
      </c>
      <c r="C939" s="6" t="str">
        <f>"230702100620"</f>
        <v>230702100620</v>
      </c>
      <c r="D939" s="5" t="s">
        <v>21</v>
      </c>
      <c r="E939" s="5" t="s">
        <v>19</v>
      </c>
      <c r="F939" s="5">
        <v>112</v>
      </c>
      <c r="G939" s="7"/>
    </row>
    <row r="940" spans="1:7" ht="27.75" customHeight="1">
      <c r="A940" s="5">
        <v>938</v>
      </c>
      <c r="B940" s="6" t="str">
        <f>"王业伦"</f>
        <v>王业伦</v>
      </c>
      <c r="C940" s="6" t="str">
        <f>"230702100217"</f>
        <v>230702100217</v>
      </c>
      <c r="D940" s="5" t="s">
        <v>21</v>
      </c>
      <c r="E940" s="5" t="s">
        <v>19</v>
      </c>
      <c r="F940" s="5">
        <v>113</v>
      </c>
      <c r="G940" s="7"/>
    </row>
    <row r="941" spans="1:7" ht="27.75" customHeight="1">
      <c r="A941" s="5">
        <v>939</v>
      </c>
      <c r="B941" s="6" t="str">
        <f>"吴乾智"</f>
        <v>吴乾智</v>
      </c>
      <c r="C941" s="6" t="str">
        <f>"230702100303"</f>
        <v>230702100303</v>
      </c>
      <c r="D941" s="5" t="s">
        <v>21</v>
      </c>
      <c r="E941" s="5" t="s">
        <v>19</v>
      </c>
      <c r="F941" s="5">
        <v>114</v>
      </c>
      <c r="G941" s="7"/>
    </row>
    <row r="942" spans="1:7" ht="27.75" customHeight="1">
      <c r="A942" s="5">
        <v>940</v>
      </c>
      <c r="B942" s="6" t="str">
        <f>"韦周旭"</f>
        <v>韦周旭</v>
      </c>
      <c r="C942" s="6" t="str">
        <f>"230702100318"</f>
        <v>230702100318</v>
      </c>
      <c r="D942" s="5" t="s">
        <v>21</v>
      </c>
      <c r="E942" s="5" t="s">
        <v>19</v>
      </c>
      <c r="F942" s="5">
        <v>115</v>
      </c>
      <c r="G942" s="7"/>
    </row>
    <row r="943" spans="1:7" ht="27.75" customHeight="1">
      <c r="A943" s="5">
        <v>941</v>
      </c>
      <c r="B943" s="6" t="str">
        <f>"周春晖"</f>
        <v>周春晖</v>
      </c>
      <c r="C943" s="6" t="str">
        <f>"230702100327"</f>
        <v>230702100327</v>
      </c>
      <c r="D943" s="5" t="s">
        <v>21</v>
      </c>
      <c r="E943" s="5" t="s">
        <v>19</v>
      </c>
      <c r="F943" s="5">
        <v>116</v>
      </c>
      <c r="G943" s="7"/>
    </row>
    <row r="944" spans="1:7" ht="27.75" customHeight="1">
      <c r="A944" s="5">
        <v>942</v>
      </c>
      <c r="B944" s="6" t="str">
        <f>"王健松"</f>
        <v>王健松</v>
      </c>
      <c r="C944" s="6" t="str">
        <f>"230702100410"</f>
        <v>230702100410</v>
      </c>
      <c r="D944" s="5" t="s">
        <v>21</v>
      </c>
      <c r="E944" s="5" t="s">
        <v>19</v>
      </c>
      <c r="F944" s="5">
        <v>117</v>
      </c>
      <c r="G944" s="7"/>
    </row>
    <row r="945" spans="1:7" ht="27.75" customHeight="1">
      <c r="A945" s="5">
        <v>943</v>
      </c>
      <c r="B945" s="6" t="str">
        <f>"吴孝辉"</f>
        <v>吴孝辉</v>
      </c>
      <c r="C945" s="6" t="str">
        <f>"230702100426"</f>
        <v>230702100426</v>
      </c>
      <c r="D945" s="5" t="s">
        <v>21</v>
      </c>
      <c r="E945" s="5" t="s">
        <v>19</v>
      </c>
      <c r="F945" s="5">
        <v>118</v>
      </c>
      <c r="G945" s="7"/>
    </row>
    <row r="946" spans="1:7" ht="27.75" customHeight="1">
      <c r="A946" s="5">
        <v>944</v>
      </c>
      <c r="B946" s="6" t="str">
        <f>"梁献甲"</f>
        <v>梁献甲</v>
      </c>
      <c r="C946" s="6" t="str">
        <f>"230702100503"</f>
        <v>230702100503</v>
      </c>
      <c r="D946" s="5" t="s">
        <v>21</v>
      </c>
      <c r="E946" s="5" t="s">
        <v>19</v>
      </c>
      <c r="F946" s="5">
        <v>119</v>
      </c>
      <c r="G946" s="7"/>
    </row>
    <row r="947" spans="1:7" ht="27.75" customHeight="1">
      <c r="A947" s="5">
        <v>945</v>
      </c>
      <c r="B947" s="6" t="str">
        <f>"秦万辉"</f>
        <v>秦万辉</v>
      </c>
      <c r="C947" s="6" t="str">
        <f>"230702100301"</f>
        <v>230702100301</v>
      </c>
      <c r="D947" s="5" t="s">
        <v>21</v>
      </c>
      <c r="E947" s="5" t="s">
        <v>19</v>
      </c>
      <c r="F947" s="5">
        <v>120</v>
      </c>
      <c r="G947" s="7"/>
    </row>
    <row r="948" spans="1:7" ht="27.75" customHeight="1">
      <c r="A948" s="5">
        <v>946</v>
      </c>
      <c r="B948" s="6" t="str">
        <f>"黄仕鸿"</f>
        <v>黄仕鸿</v>
      </c>
      <c r="C948" s="6" t="str">
        <f>"230702100423"</f>
        <v>230702100423</v>
      </c>
      <c r="D948" s="5" t="s">
        <v>21</v>
      </c>
      <c r="E948" s="5" t="s">
        <v>19</v>
      </c>
      <c r="F948" s="5">
        <v>121</v>
      </c>
      <c r="G948" s="7"/>
    </row>
    <row r="949" spans="1:7" ht="27.75" customHeight="1">
      <c r="A949" s="5">
        <v>947</v>
      </c>
      <c r="B949" s="6" t="str">
        <f>"王刚"</f>
        <v>王刚</v>
      </c>
      <c r="C949" s="6" t="str">
        <f>"230702100527"</f>
        <v>230702100527</v>
      </c>
      <c r="D949" s="5" t="s">
        <v>21</v>
      </c>
      <c r="E949" s="5" t="s">
        <v>19</v>
      </c>
      <c r="F949" s="5">
        <v>122</v>
      </c>
      <c r="G949" s="7"/>
    </row>
    <row r="950" spans="1:7" ht="27.75" customHeight="1">
      <c r="A950" s="5">
        <v>948</v>
      </c>
      <c r="B950" s="6" t="str">
        <f>"陈事勋"</f>
        <v>陈事勋</v>
      </c>
      <c r="C950" s="6" t="str">
        <f>"230702100705"</f>
        <v>230702100705</v>
      </c>
      <c r="D950" s="5" t="s">
        <v>21</v>
      </c>
      <c r="E950" s="5" t="s">
        <v>19</v>
      </c>
      <c r="F950" s="5">
        <v>123</v>
      </c>
      <c r="G950" s="7"/>
    </row>
    <row r="951" spans="1:7" ht="27.75" customHeight="1">
      <c r="A951" s="5">
        <v>949</v>
      </c>
      <c r="B951" s="6" t="str">
        <f>"田忠"</f>
        <v>田忠</v>
      </c>
      <c r="C951" s="6" t="str">
        <f>"230702100516"</f>
        <v>230702100516</v>
      </c>
      <c r="D951" s="5" t="s">
        <v>21</v>
      </c>
      <c r="E951" s="5" t="s">
        <v>19</v>
      </c>
      <c r="F951" s="5">
        <v>124</v>
      </c>
      <c r="G951" s="7"/>
    </row>
    <row r="952" spans="1:7" ht="27.75" customHeight="1">
      <c r="A952" s="5">
        <v>950</v>
      </c>
      <c r="B952" s="6" t="str">
        <f>"吴济聪"</f>
        <v>吴济聪</v>
      </c>
      <c r="C952" s="6" t="str">
        <f>"230702100703"</f>
        <v>230702100703</v>
      </c>
      <c r="D952" s="5" t="s">
        <v>21</v>
      </c>
      <c r="E952" s="5" t="s">
        <v>19</v>
      </c>
      <c r="F952" s="5">
        <v>125</v>
      </c>
      <c r="G952" s="7"/>
    </row>
    <row r="953" spans="1:7" ht="27.75" customHeight="1">
      <c r="A953" s="5">
        <v>951</v>
      </c>
      <c r="B953" s="6" t="str">
        <f>"沈禾"</f>
        <v>沈禾</v>
      </c>
      <c r="C953" s="6" t="str">
        <f>"230702100324"</f>
        <v>230702100324</v>
      </c>
      <c r="D953" s="5" t="s">
        <v>21</v>
      </c>
      <c r="E953" s="5" t="s">
        <v>19</v>
      </c>
      <c r="F953" s="5">
        <v>126</v>
      </c>
      <c r="G953" s="7"/>
    </row>
    <row r="954" spans="1:7" ht="27.75" customHeight="1">
      <c r="A954" s="5">
        <v>952</v>
      </c>
      <c r="B954" s="6" t="str">
        <f>"陈焕森"</f>
        <v>陈焕森</v>
      </c>
      <c r="C954" s="6" t="str">
        <f>"230702100525"</f>
        <v>230702100525</v>
      </c>
      <c r="D954" s="5" t="s">
        <v>21</v>
      </c>
      <c r="E954" s="5" t="s">
        <v>19</v>
      </c>
      <c r="F954" s="5">
        <v>127</v>
      </c>
      <c r="G954" s="7"/>
    </row>
    <row r="955" spans="1:7" ht="27.75" customHeight="1">
      <c r="A955" s="5">
        <v>953</v>
      </c>
      <c r="B955" s="6" t="str">
        <f>"王泽华"</f>
        <v>王泽华</v>
      </c>
      <c r="C955" s="6" t="str">
        <f>"230702100526"</f>
        <v>230702100526</v>
      </c>
      <c r="D955" s="5" t="s">
        <v>21</v>
      </c>
      <c r="E955" s="5" t="s">
        <v>19</v>
      </c>
      <c r="F955" s="5">
        <v>128</v>
      </c>
      <c r="G955" s="7"/>
    </row>
    <row r="956" spans="1:7" ht="27.75" customHeight="1">
      <c r="A956" s="5">
        <v>954</v>
      </c>
      <c r="B956" s="6" t="str">
        <f>"梅声卫"</f>
        <v>梅声卫</v>
      </c>
      <c r="C956" s="6" t="str">
        <f>"230702100130"</f>
        <v>230702100130</v>
      </c>
      <c r="D956" s="5" t="s">
        <v>21</v>
      </c>
      <c r="E956" s="5" t="s">
        <v>19</v>
      </c>
      <c r="F956" s="5">
        <v>129</v>
      </c>
      <c r="G956" s="7"/>
    </row>
    <row r="957" spans="1:7" ht="27.75" customHeight="1">
      <c r="A957" s="5">
        <v>955</v>
      </c>
      <c r="B957" s="6" t="str">
        <f>"符家论"</f>
        <v>符家论</v>
      </c>
      <c r="C957" s="6" t="str">
        <f>"230702100321"</f>
        <v>230702100321</v>
      </c>
      <c r="D957" s="5" t="s">
        <v>21</v>
      </c>
      <c r="E957" s="5" t="s">
        <v>19</v>
      </c>
      <c r="F957" s="5">
        <v>130</v>
      </c>
      <c r="G957" s="7"/>
    </row>
    <row r="958" spans="1:7" ht="27.75" customHeight="1">
      <c r="A958" s="5">
        <v>956</v>
      </c>
      <c r="B958" s="6" t="str">
        <f>"卢一帆"</f>
        <v>卢一帆</v>
      </c>
      <c r="C958" s="6" t="str">
        <f>"230702100509"</f>
        <v>230702100509</v>
      </c>
      <c r="D958" s="5" t="s">
        <v>21</v>
      </c>
      <c r="E958" s="5" t="s">
        <v>19</v>
      </c>
      <c r="F958" s="5">
        <v>131</v>
      </c>
      <c r="G958" s="7"/>
    </row>
    <row r="959" spans="1:7" ht="27.75" customHeight="1">
      <c r="A959" s="5">
        <v>957</v>
      </c>
      <c r="B959" s="6" t="str">
        <f>"全会山"</f>
        <v>全会山</v>
      </c>
      <c r="C959" s="6" t="str">
        <f>"230702100518"</f>
        <v>230702100518</v>
      </c>
      <c r="D959" s="5" t="s">
        <v>21</v>
      </c>
      <c r="E959" s="5" t="s">
        <v>19</v>
      </c>
      <c r="F959" s="5">
        <v>132</v>
      </c>
      <c r="G959" s="7"/>
    </row>
    <row r="960" spans="1:7" ht="27.75" customHeight="1">
      <c r="A960" s="5">
        <v>958</v>
      </c>
      <c r="B960" s="6" t="str">
        <f>"郑伟"</f>
        <v>郑伟</v>
      </c>
      <c r="C960" s="6" t="str">
        <f>"230702106420"</f>
        <v>230702106420</v>
      </c>
      <c r="D960" s="5" t="s">
        <v>21</v>
      </c>
      <c r="E960" s="5" t="s">
        <v>19</v>
      </c>
      <c r="F960" s="5">
        <v>133</v>
      </c>
      <c r="G960" s="7"/>
    </row>
    <row r="961" spans="1:7" ht="27.75" customHeight="1">
      <c r="A961" s="5">
        <v>959</v>
      </c>
      <c r="B961" s="6" t="str">
        <f>"谭童郁"</f>
        <v>谭童郁</v>
      </c>
      <c r="C961" s="6" t="str">
        <f>"230702107507"</f>
        <v>230702107507</v>
      </c>
      <c r="D961" s="5" t="s">
        <v>21</v>
      </c>
      <c r="E961" s="5" t="s">
        <v>19</v>
      </c>
      <c r="F961" s="5">
        <v>134</v>
      </c>
      <c r="G961" s="7"/>
    </row>
    <row r="962" spans="1:7" ht="27.75" customHeight="1">
      <c r="A962" s="5">
        <v>960</v>
      </c>
      <c r="B962" s="6" t="str">
        <f>"梁宸"</f>
        <v>梁宸</v>
      </c>
      <c r="C962" s="6" t="str">
        <f>"230702106102"</f>
        <v>230702106102</v>
      </c>
      <c r="D962" s="5" t="s">
        <v>21</v>
      </c>
      <c r="E962" s="5" t="s">
        <v>19</v>
      </c>
      <c r="F962" s="5">
        <v>135</v>
      </c>
      <c r="G962" s="7"/>
    </row>
    <row r="963" spans="1:7" ht="27.75" customHeight="1">
      <c r="A963" s="5">
        <v>961</v>
      </c>
      <c r="B963" s="6" t="str">
        <f>"陈文雄"</f>
        <v>陈文雄</v>
      </c>
      <c r="C963" s="6" t="str">
        <f>"230702107710"</f>
        <v>230702107710</v>
      </c>
      <c r="D963" s="5" t="s">
        <v>21</v>
      </c>
      <c r="E963" s="5" t="s">
        <v>19</v>
      </c>
      <c r="F963" s="5">
        <v>136</v>
      </c>
      <c r="G963" s="7"/>
    </row>
    <row r="964" spans="1:7" ht="27.75" customHeight="1">
      <c r="A964" s="5">
        <v>962</v>
      </c>
      <c r="B964" s="6" t="str">
        <f>"叶康生"</f>
        <v>叶康生</v>
      </c>
      <c r="C964" s="6" t="str">
        <f>"230702105826"</f>
        <v>230702105826</v>
      </c>
      <c r="D964" s="5" t="s">
        <v>21</v>
      </c>
      <c r="E964" s="5" t="s">
        <v>19</v>
      </c>
      <c r="F964" s="5">
        <v>137</v>
      </c>
      <c r="G964" s="7"/>
    </row>
    <row r="965" spans="1:7" ht="27.75" customHeight="1">
      <c r="A965" s="5">
        <v>963</v>
      </c>
      <c r="B965" s="6" t="str">
        <f>"陈永锋"</f>
        <v>陈永锋</v>
      </c>
      <c r="C965" s="6" t="str">
        <f>"230702107222"</f>
        <v>230702107222</v>
      </c>
      <c r="D965" s="5" t="s">
        <v>21</v>
      </c>
      <c r="E965" s="5" t="s">
        <v>19</v>
      </c>
      <c r="F965" s="5">
        <v>138</v>
      </c>
      <c r="G965" s="7"/>
    </row>
    <row r="966" spans="1:7" ht="27.75" customHeight="1">
      <c r="A966" s="5">
        <v>964</v>
      </c>
      <c r="B966" s="6" t="str">
        <f>"曾上浩"</f>
        <v>曾上浩</v>
      </c>
      <c r="C966" s="6" t="str">
        <f>"230702105912"</f>
        <v>230702105912</v>
      </c>
      <c r="D966" s="5" t="s">
        <v>21</v>
      </c>
      <c r="E966" s="5" t="s">
        <v>19</v>
      </c>
      <c r="F966" s="5">
        <v>139</v>
      </c>
      <c r="G966" s="7"/>
    </row>
    <row r="967" spans="1:7" ht="27.75" customHeight="1">
      <c r="A967" s="5">
        <v>965</v>
      </c>
      <c r="B967" s="6" t="str">
        <f>"许振师"</f>
        <v>许振师</v>
      </c>
      <c r="C967" s="6" t="str">
        <f>"230702107825"</f>
        <v>230702107825</v>
      </c>
      <c r="D967" s="5" t="s">
        <v>21</v>
      </c>
      <c r="E967" s="5" t="s">
        <v>19</v>
      </c>
      <c r="F967" s="5">
        <v>140</v>
      </c>
      <c r="G967" s="7"/>
    </row>
    <row r="968" spans="1:7" ht="27.75" customHeight="1">
      <c r="A968" s="5">
        <v>966</v>
      </c>
      <c r="B968" s="6" t="str">
        <f>"罗长让"</f>
        <v>罗长让</v>
      </c>
      <c r="C968" s="6" t="str">
        <f>"230702106411"</f>
        <v>230702106411</v>
      </c>
      <c r="D968" s="5" t="s">
        <v>21</v>
      </c>
      <c r="E968" s="5" t="s">
        <v>19</v>
      </c>
      <c r="F968" s="5">
        <v>141</v>
      </c>
      <c r="G968" s="7"/>
    </row>
    <row r="969" spans="1:7" ht="27.75" customHeight="1">
      <c r="A969" s="5">
        <v>967</v>
      </c>
      <c r="B969" s="6" t="str">
        <f>"周开东"</f>
        <v>周开东</v>
      </c>
      <c r="C969" s="6" t="str">
        <f>"230702106002"</f>
        <v>230702106002</v>
      </c>
      <c r="D969" s="5" t="s">
        <v>21</v>
      </c>
      <c r="E969" s="5" t="s">
        <v>19</v>
      </c>
      <c r="F969" s="5">
        <v>142</v>
      </c>
      <c r="G969" s="7"/>
    </row>
    <row r="970" spans="1:7" ht="27.75" customHeight="1">
      <c r="A970" s="5">
        <v>968</v>
      </c>
      <c r="B970" s="6" t="str">
        <f>"邢增东"</f>
        <v>邢增东</v>
      </c>
      <c r="C970" s="6" t="str">
        <f>"230702106607"</f>
        <v>230702106607</v>
      </c>
      <c r="D970" s="5" t="s">
        <v>21</v>
      </c>
      <c r="E970" s="5" t="s">
        <v>19</v>
      </c>
      <c r="F970" s="5">
        <v>143</v>
      </c>
      <c r="G970" s="7"/>
    </row>
    <row r="971" spans="1:7" ht="27.75" customHeight="1">
      <c r="A971" s="5">
        <v>969</v>
      </c>
      <c r="B971" s="6" t="str">
        <f>"王华亭"</f>
        <v>王华亭</v>
      </c>
      <c r="C971" s="6" t="str">
        <f>"230702106428"</f>
        <v>230702106428</v>
      </c>
      <c r="D971" s="5" t="s">
        <v>21</v>
      </c>
      <c r="E971" s="5" t="s">
        <v>19</v>
      </c>
      <c r="F971" s="5">
        <v>144</v>
      </c>
      <c r="G971" s="7"/>
    </row>
    <row r="972" spans="1:7" ht="27.75" customHeight="1">
      <c r="A972" s="5">
        <v>970</v>
      </c>
      <c r="B972" s="6" t="str">
        <f>"周林杨"</f>
        <v>周林杨</v>
      </c>
      <c r="C972" s="6" t="str">
        <f>"230702106915"</f>
        <v>230702106915</v>
      </c>
      <c r="D972" s="5" t="s">
        <v>21</v>
      </c>
      <c r="E972" s="5" t="s">
        <v>19</v>
      </c>
      <c r="F972" s="5">
        <v>145</v>
      </c>
      <c r="G972" s="7"/>
    </row>
    <row r="973" spans="1:7" ht="27.75" customHeight="1">
      <c r="A973" s="5">
        <v>971</v>
      </c>
      <c r="B973" s="6" t="str">
        <f>"黄君"</f>
        <v>黄君</v>
      </c>
      <c r="C973" s="6" t="str">
        <f>"230702108026"</f>
        <v>230702108026</v>
      </c>
      <c r="D973" s="5" t="s">
        <v>21</v>
      </c>
      <c r="E973" s="5" t="s">
        <v>19</v>
      </c>
      <c r="F973" s="5">
        <v>146</v>
      </c>
      <c r="G973" s="7"/>
    </row>
    <row r="974" spans="1:7" ht="27.75" customHeight="1">
      <c r="A974" s="5">
        <v>972</v>
      </c>
      <c r="B974" s="6" t="str">
        <f>"刘洺浩"</f>
        <v>刘洺浩</v>
      </c>
      <c r="C974" s="6" t="str">
        <f>"230702106527"</f>
        <v>230702106527</v>
      </c>
      <c r="D974" s="5" t="s">
        <v>21</v>
      </c>
      <c r="E974" s="5" t="s">
        <v>19</v>
      </c>
      <c r="F974" s="5">
        <v>147</v>
      </c>
      <c r="G974" s="7"/>
    </row>
    <row r="975" spans="1:7" ht="27.75" customHeight="1">
      <c r="A975" s="5">
        <v>973</v>
      </c>
      <c r="B975" s="6" t="str">
        <f>"周佳佳"</f>
        <v>周佳佳</v>
      </c>
      <c r="C975" s="6" t="str">
        <f>"230702106906"</f>
        <v>230702106906</v>
      </c>
      <c r="D975" s="5" t="s">
        <v>21</v>
      </c>
      <c r="E975" s="5" t="s">
        <v>19</v>
      </c>
      <c r="F975" s="5">
        <v>148</v>
      </c>
      <c r="G975" s="7"/>
    </row>
    <row r="976" spans="1:7" ht="27.75" customHeight="1">
      <c r="A976" s="5">
        <v>974</v>
      </c>
      <c r="B976" s="6" t="str">
        <f>"曾阳"</f>
        <v>曾阳</v>
      </c>
      <c r="C976" s="6" t="str">
        <f>"230702107609"</f>
        <v>230702107609</v>
      </c>
      <c r="D976" s="5" t="s">
        <v>21</v>
      </c>
      <c r="E976" s="5" t="s">
        <v>19</v>
      </c>
      <c r="F976" s="5">
        <v>149</v>
      </c>
      <c r="G976" s="7"/>
    </row>
    <row r="977" spans="1:7" ht="27.75" customHeight="1">
      <c r="A977" s="5">
        <v>975</v>
      </c>
      <c r="B977" s="6" t="str">
        <f>"刘松侹"</f>
        <v>刘松侹</v>
      </c>
      <c r="C977" s="6" t="str">
        <f>"230702106405"</f>
        <v>230702106405</v>
      </c>
      <c r="D977" s="5" t="s">
        <v>21</v>
      </c>
      <c r="E977" s="5" t="s">
        <v>19</v>
      </c>
      <c r="F977" s="5">
        <v>150</v>
      </c>
      <c r="G977" s="7"/>
    </row>
    <row r="978" spans="1:7" ht="27.75" customHeight="1">
      <c r="A978" s="5">
        <v>976</v>
      </c>
      <c r="B978" s="6" t="str">
        <f>"蔡思政"</f>
        <v>蔡思政</v>
      </c>
      <c r="C978" s="6" t="str">
        <f>"230702106408"</f>
        <v>230702106408</v>
      </c>
      <c r="D978" s="5" t="s">
        <v>21</v>
      </c>
      <c r="E978" s="5" t="s">
        <v>19</v>
      </c>
      <c r="F978" s="5">
        <v>151</v>
      </c>
      <c r="G978" s="7"/>
    </row>
    <row r="979" spans="1:7" ht="27.75" customHeight="1">
      <c r="A979" s="5">
        <v>977</v>
      </c>
      <c r="B979" s="6" t="str">
        <f>"钟晓明"</f>
        <v>钟晓明</v>
      </c>
      <c r="C979" s="6" t="str">
        <f>"230702106901"</f>
        <v>230702106901</v>
      </c>
      <c r="D979" s="5" t="s">
        <v>21</v>
      </c>
      <c r="E979" s="5" t="s">
        <v>19</v>
      </c>
      <c r="F979" s="5">
        <v>152</v>
      </c>
      <c r="G979" s="7"/>
    </row>
    <row r="980" spans="1:7" ht="27.75" customHeight="1">
      <c r="A980" s="5">
        <v>978</v>
      </c>
      <c r="B980" s="6" t="str">
        <f>"梁金威"</f>
        <v>梁金威</v>
      </c>
      <c r="C980" s="6" t="str">
        <f>"230702107523"</f>
        <v>230702107523</v>
      </c>
      <c r="D980" s="5" t="s">
        <v>21</v>
      </c>
      <c r="E980" s="5" t="s">
        <v>19</v>
      </c>
      <c r="F980" s="5">
        <v>153</v>
      </c>
      <c r="G980" s="7"/>
    </row>
    <row r="981" spans="1:7" ht="27.75" customHeight="1">
      <c r="A981" s="5">
        <v>979</v>
      </c>
      <c r="B981" s="6" t="str">
        <f>"牛雨潼"</f>
        <v>牛雨潼</v>
      </c>
      <c r="C981" s="6" t="str">
        <f>"230702107902"</f>
        <v>230702107902</v>
      </c>
      <c r="D981" s="5" t="s">
        <v>21</v>
      </c>
      <c r="E981" s="5" t="s">
        <v>19</v>
      </c>
      <c r="F981" s="5">
        <v>154</v>
      </c>
      <c r="G981" s="7"/>
    </row>
    <row r="982" spans="1:7" ht="27.75" customHeight="1">
      <c r="A982" s="5">
        <v>980</v>
      </c>
      <c r="B982" s="6" t="str">
        <f>"杨博"</f>
        <v>杨博</v>
      </c>
      <c r="C982" s="6" t="str">
        <f>"230702106126"</f>
        <v>230702106126</v>
      </c>
      <c r="D982" s="5" t="s">
        <v>21</v>
      </c>
      <c r="E982" s="5" t="s">
        <v>19</v>
      </c>
      <c r="F982" s="5">
        <v>155</v>
      </c>
      <c r="G982" s="7"/>
    </row>
    <row r="983" spans="1:7" ht="27.75" customHeight="1">
      <c r="A983" s="5">
        <v>981</v>
      </c>
      <c r="B983" s="6" t="str">
        <f>"王康森"</f>
        <v>王康森</v>
      </c>
      <c r="C983" s="6" t="str">
        <f>"230702106701"</f>
        <v>230702106701</v>
      </c>
      <c r="D983" s="5" t="s">
        <v>21</v>
      </c>
      <c r="E983" s="5" t="s">
        <v>19</v>
      </c>
      <c r="F983" s="5">
        <v>156</v>
      </c>
      <c r="G983" s="7"/>
    </row>
    <row r="984" spans="1:7" ht="27.75" customHeight="1">
      <c r="A984" s="5">
        <v>982</v>
      </c>
      <c r="B984" s="6" t="str">
        <f>"梁杰"</f>
        <v>梁杰</v>
      </c>
      <c r="C984" s="6" t="str">
        <f>"230702105723"</f>
        <v>230702105723</v>
      </c>
      <c r="D984" s="5" t="s">
        <v>21</v>
      </c>
      <c r="E984" s="5" t="s">
        <v>19</v>
      </c>
      <c r="F984" s="5">
        <v>157</v>
      </c>
      <c r="G984" s="7"/>
    </row>
    <row r="985" spans="1:7" ht="27.75" customHeight="1">
      <c r="A985" s="5">
        <v>983</v>
      </c>
      <c r="B985" s="6" t="str">
        <f>"陈东江"</f>
        <v>陈东江</v>
      </c>
      <c r="C985" s="6" t="str">
        <f>"230702107313"</f>
        <v>230702107313</v>
      </c>
      <c r="D985" s="5" t="s">
        <v>21</v>
      </c>
      <c r="E985" s="5" t="s">
        <v>19</v>
      </c>
      <c r="F985" s="5">
        <v>158</v>
      </c>
      <c r="G985" s="7"/>
    </row>
    <row r="986" spans="1:7" ht="27.75" customHeight="1">
      <c r="A986" s="5">
        <v>984</v>
      </c>
      <c r="B986" s="6" t="str">
        <f>"林道超"</f>
        <v>林道超</v>
      </c>
      <c r="C986" s="6" t="str">
        <f>"230702105807"</f>
        <v>230702105807</v>
      </c>
      <c r="D986" s="5" t="s">
        <v>21</v>
      </c>
      <c r="E986" s="5" t="s">
        <v>19</v>
      </c>
      <c r="F986" s="5">
        <v>159</v>
      </c>
      <c r="G986" s="7"/>
    </row>
    <row r="987" spans="1:7" ht="27.75" customHeight="1">
      <c r="A987" s="5">
        <v>985</v>
      </c>
      <c r="B987" s="6" t="str">
        <f>"谢巍"</f>
        <v>谢巍</v>
      </c>
      <c r="C987" s="6" t="str">
        <f>"230702106230"</f>
        <v>230702106230</v>
      </c>
      <c r="D987" s="5" t="s">
        <v>21</v>
      </c>
      <c r="E987" s="5" t="s">
        <v>19</v>
      </c>
      <c r="F987" s="5">
        <v>160</v>
      </c>
      <c r="G987" s="7"/>
    </row>
    <row r="988" spans="1:7" ht="27.75" customHeight="1">
      <c r="A988" s="5">
        <v>986</v>
      </c>
      <c r="B988" s="6" t="str">
        <f>"吴清杰"</f>
        <v>吴清杰</v>
      </c>
      <c r="C988" s="6" t="str">
        <f>"230702106911"</f>
        <v>230702106911</v>
      </c>
      <c r="D988" s="5" t="s">
        <v>21</v>
      </c>
      <c r="E988" s="5" t="s">
        <v>19</v>
      </c>
      <c r="F988" s="5">
        <v>161</v>
      </c>
      <c r="G988" s="7"/>
    </row>
    <row r="989" spans="1:7" ht="27.75" customHeight="1">
      <c r="A989" s="5">
        <v>987</v>
      </c>
      <c r="B989" s="6" t="str">
        <f>"杨浩龙"</f>
        <v>杨浩龙</v>
      </c>
      <c r="C989" s="6" t="str">
        <f>"230702107119"</f>
        <v>230702107119</v>
      </c>
      <c r="D989" s="5" t="s">
        <v>21</v>
      </c>
      <c r="E989" s="5" t="s">
        <v>19</v>
      </c>
      <c r="F989" s="5">
        <v>162</v>
      </c>
      <c r="G989" s="7"/>
    </row>
    <row r="990" spans="1:7" ht="27.75" customHeight="1">
      <c r="A990" s="5">
        <v>988</v>
      </c>
      <c r="B990" s="6" t="str">
        <f>"孙华容"</f>
        <v>孙华容</v>
      </c>
      <c r="C990" s="6" t="str">
        <f>"230702110401"</f>
        <v>230702110401</v>
      </c>
      <c r="D990" s="5" t="s">
        <v>22</v>
      </c>
      <c r="E990" s="5" t="s">
        <v>9</v>
      </c>
      <c r="F990" s="5">
        <v>1</v>
      </c>
      <c r="G990" s="7"/>
    </row>
    <row r="991" spans="1:7" ht="27.75" customHeight="1">
      <c r="A991" s="5">
        <v>989</v>
      </c>
      <c r="B991" s="6" t="str">
        <f>"许玲梅"</f>
        <v>许玲梅</v>
      </c>
      <c r="C991" s="6" t="str">
        <f>"230702110920"</f>
        <v>230702110920</v>
      </c>
      <c r="D991" s="5" t="s">
        <v>22</v>
      </c>
      <c r="E991" s="5" t="s">
        <v>9</v>
      </c>
      <c r="F991" s="5">
        <v>2</v>
      </c>
      <c r="G991" s="7"/>
    </row>
    <row r="992" spans="1:7" ht="27.75" customHeight="1">
      <c r="A992" s="5">
        <v>990</v>
      </c>
      <c r="B992" s="6" t="str">
        <f>"李晓声"</f>
        <v>李晓声</v>
      </c>
      <c r="C992" s="6" t="str">
        <f>"230702110212"</f>
        <v>230702110212</v>
      </c>
      <c r="D992" s="5" t="s">
        <v>22</v>
      </c>
      <c r="E992" s="5" t="s">
        <v>9</v>
      </c>
      <c r="F992" s="5">
        <v>3</v>
      </c>
      <c r="G992" s="7"/>
    </row>
    <row r="993" spans="1:7" ht="27.75" customHeight="1">
      <c r="A993" s="5">
        <v>991</v>
      </c>
      <c r="B993" s="6" t="str">
        <f>"司琪"</f>
        <v>司琪</v>
      </c>
      <c r="C993" s="6" t="str">
        <f>"230702108826"</f>
        <v>230702108826</v>
      </c>
      <c r="D993" s="5" t="s">
        <v>22</v>
      </c>
      <c r="E993" s="5" t="s">
        <v>9</v>
      </c>
      <c r="F993" s="5">
        <v>4</v>
      </c>
      <c r="G993" s="7"/>
    </row>
    <row r="994" spans="1:7" ht="27.75" customHeight="1">
      <c r="A994" s="5">
        <v>992</v>
      </c>
      <c r="B994" s="6" t="str">
        <f>"王一舟"</f>
        <v>王一舟</v>
      </c>
      <c r="C994" s="6" t="str">
        <f>"230702110306"</f>
        <v>230702110306</v>
      </c>
      <c r="D994" s="5" t="s">
        <v>22</v>
      </c>
      <c r="E994" s="5" t="s">
        <v>9</v>
      </c>
      <c r="F994" s="5">
        <v>5</v>
      </c>
      <c r="G994" s="7"/>
    </row>
    <row r="995" spans="1:7" ht="27.75" customHeight="1">
      <c r="A995" s="5">
        <v>993</v>
      </c>
      <c r="B995" s="6" t="str">
        <f>"李月华"</f>
        <v>李月华</v>
      </c>
      <c r="C995" s="6" t="str">
        <f>"230702110910"</f>
        <v>230702110910</v>
      </c>
      <c r="D995" s="5" t="s">
        <v>22</v>
      </c>
      <c r="E995" s="5" t="s">
        <v>9</v>
      </c>
      <c r="F995" s="5">
        <v>6</v>
      </c>
      <c r="G995" s="7"/>
    </row>
    <row r="996" spans="1:7" ht="27.75" customHeight="1">
      <c r="A996" s="5">
        <v>994</v>
      </c>
      <c r="B996" s="6" t="str">
        <f>"陈佳佳"</f>
        <v>陈佳佳</v>
      </c>
      <c r="C996" s="6" t="str">
        <f>"230702110321"</f>
        <v>230702110321</v>
      </c>
      <c r="D996" s="5" t="s">
        <v>22</v>
      </c>
      <c r="E996" s="5" t="s">
        <v>9</v>
      </c>
      <c r="F996" s="5">
        <v>7</v>
      </c>
      <c r="G996" s="7"/>
    </row>
    <row r="997" spans="1:7" ht="27.75" customHeight="1">
      <c r="A997" s="5">
        <v>995</v>
      </c>
      <c r="B997" s="6" t="str">
        <f>"夏彩云"</f>
        <v>夏彩云</v>
      </c>
      <c r="C997" s="6" t="str">
        <f>"230702111007"</f>
        <v>230702111007</v>
      </c>
      <c r="D997" s="5" t="s">
        <v>22</v>
      </c>
      <c r="E997" s="5" t="s">
        <v>9</v>
      </c>
      <c r="F997" s="5">
        <v>8</v>
      </c>
      <c r="G997" s="7"/>
    </row>
    <row r="998" spans="1:7" ht="27.75" customHeight="1">
      <c r="A998" s="5">
        <v>996</v>
      </c>
      <c r="B998" s="6" t="str">
        <f>"罗丹"</f>
        <v>罗丹</v>
      </c>
      <c r="C998" s="6" t="str">
        <f>"230702108726"</f>
        <v>230702108726</v>
      </c>
      <c r="D998" s="5" t="s">
        <v>22</v>
      </c>
      <c r="E998" s="5" t="s">
        <v>9</v>
      </c>
      <c r="F998" s="5">
        <v>9</v>
      </c>
      <c r="G998" s="7"/>
    </row>
    <row r="999" spans="1:7" ht="27.75" customHeight="1">
      <c r="A999" s="5">
        <v>997</v>
      </c>
      <c r="B999" s="6" t="str">
        <f>"刘海池"</f>
        <v>刘海池</v>
      </c>
      <c r="C999" s="6" t="str">
        <f>"230702109510"</f>
        <v>230702109510</v>
      </c>
      <c r="D999" s="5" t="s">
        <v>22</v>
      </c>
      <c r="E999" s="5" t="s">
        <v>9</v>
      </c>
      <c r="F999" s="5">
        <v>10</v>
      </c>
      <c r="G999" s="7"/>
    </row>
    <row r="1000" spans="1:7" ht="27.75" customHeight="1">
      <c r="A1000" s="5">
        <v>998</v>
      </c>
      <c r="B1000" s="6" t="str">
        <f>"洪秀娟"</f>
        <v>洪秀娟</v>
      </c>
      <c r="C1000" s="6" t="str">
        <f>"230702110926"</f>
        <v>230702110926</v>
      </c>
      <c r="D1000" s="5" t="s">
        <v>22</v>
      </c>
      <c r="E1000" s="5" t="s">
        <v>9</v>
      </c>
      <c r="F1000" s="5">
        <v>11</v>
      </c>
      <c r="G1000" s="7"/>
    </row>
    <row r="1001" spans="1:7" ht="27.75" customHeight="1">
      <c r="A1001" s="5">
        <v>999</v>
      </c>
      <c r="B1001" s="6" t="str">
        <f>"温文婧"</f>
        <v>温文婧</v>
      </c>
      <c r="C1001" s="6" t="str">
        <f>"230702111801"</f>
        <v>230702111801</v>
      </c>
      <c r="D1001" s="5" t="s">
        <v>22</v>
      </c>
      <c r="E1001" s="5" t="s">
        <v>9</v>
      </c>
      <c r="F1001" s="5">
        <v>12</v>
      </c>
      <c r="G1001" s="7"/>
    </row>
    <row r="1002" spans="1:7" ht="27.75" customHeight="1">
      <c r="A1002" s="5">
        <v>1000</v>
      </c>
      <c r="B1002" s="6" t="str">
        <f>"李子薇"</f>
        <v>李子薇</v>
      </c>
      <c r="C1002" s="6" t="str">
        <f>"230702109815"</f>
        <v>230702109815</v>
      </c>
      <c r="D1002" s="5" t="s">
        <v>22</v>
      </c>
      <c r="E1002" s="5" t="s">
        <v>9</v>
      </c>
      <c r="F1002" s="5">
        <v>13</v>
      </c>
      <c r="G1002" s="7"/>
    </row>
    <row r="1003" spans="1:7" ht="27.75" customHeight="1">
      <c r="A1003" s="5">
        <v>1001</v>
      </c>
      <c r="B1003" s="6" t="str">
        <f>"张慧"</f>
        <v>张慧</v>
      </c>
      <c r="C1003" s="6" t="str">
        <f>"230702110405"</f>
        <v>230702110405</v>
      </c>
      <c r="D1003" s="5" t="s">
        <v>22</v>
      </c>
      <c r="E1003" s="5" t="s">
        <v>9</v>
      </c>
      <c r="F1003" s="5">
        <v>14</v>
      </c>
      <c r="G1003" s="7"/>
    </row>
    <row r="1004" spans="1:7" ht="27.75" customHeight="1">
      <c r="A1004" s="5">
        <v>1002</v>
      </c>
      <c r="B1004" s="6" t="str">
        <f>"纪明画"</f>
        <v>纪明画</v>
      </c>
      <c r="C1004" s="6" t="str">
        <f>"230702111714"</f>
        <v>230702111714</v>
      </c>
      <c r="D1004" s="5" t="s">
        <v>22</v>
      </c>
      <c r="E1004" s="5" t="s">
        <v>9</v>
      </c>
      <c r="F1004" s="5">
        <v>15</v>
      </c>
      <c r="G1004" s="7"/>
    </row>
    <row r="1005" spans="1:7" ht="27.75" customHeight="1">
      <c r="A1005" s="5">
        <v>1003</v>
      </c>
      <c r="B1005" s="6" t="str">
        <f>"陈冰"</f>
        <v>陈冰</v>
      </c>
      <c r="C1005" s="6" t="str">
        <f>"230702111910"</f>
        <v>230702111910</v>
      </c>
      <c r="D1005" s="5" t="s">
        <v>22</v>
      </c>
      <c r="E1005" s="5" t="s">
        <v>9</v>
      </c>
      <c r="F1005" s="5">
        <v>16</v>
      </c>
      <c r="G1005" s="7"/>
    </row>
    <row r="1006" spans="1:7" ht="27.75" customHeight="1">
      <c r="A1006" s="5">
        <v>1004</v>
      </c>
      <c r="B1006" s="6" t="str">
        <f>"叶帆"</f>
        <v>叶帆</v>
      </c>
      <c r="C1006" s="6" t="str">
        <f>"230702110220"</f>
        <v>230702110220</v>
      </c>
      <c r="D1006" s="5" t="s">
        <v>22</v>
      </c>
      <c r="E1006" s="5" t="s">
        <v>9</v>
      </c>
      <c r="F1006" s="5">
        <v>17</v>
      </c>
      <c r="G1006" s="7"/>
    </row>
    <row r="1007" spans="1:7" ht="27.75" customHeight="1">
      <c r="A1007" s="5">
        <v>1005</v>
      </c>
      <c r="B1007" s="6" t="str">
        <f>"陈泓遐"</f>
        <v>陈泓遐</v>
      </c>
      <c r="C1007" s="6" t="str">
        <f>"230702111005"</f>
        <v>230702111005</v>
      </c>
      <c r="D1007" s="5" t="s">
        <v>22</v>
      </c>
      <c r="E1007" s="5" t="s">
        <v>9</v>
      </c>
      <c r="F1007" s="5">
        <v>18</v>
      </c>
      <c r="G1007" s="7"/>
    </row>
    <row r="1008" spans="1:7" ht="27.75" customHeight="1">
      <c r="A1008" s="5">
        <v>1006</v>
      </c>
      <c r="B1008" s="6" t="str">
        <f>"邵婷婷"</f>
        <v>邵婷婷</v>
      </c>
      <c r="C1008" s="6" t="str">
        <f>"230702111824"</f>
        <v>230702111824</v>
      </c>
      <c r="D1008" s="5" t="s">
        <v>22</v>
      </c>
      <c r="E1008" s="5" t="s">
        <v>9</v>
      </c>
      <c r="F1008" s="5">
        <v>19</v>
      </c>
      <c r="G1008" s="7"/>
    </row>
    <row r="1009" spans="1:7" ht="27.75" customHeight="1">
      <c r="A1009" s="5">
        <v>1007</v>
      </c>
      <c r="B1009" s="6" t="str">
        <f>"陈媛媛"</f>
        <v>陈媛媛</v>
      </c>
      <c r="C1009" s="6" t="str">
        <f>"230702108626"</f>
        <v>230702108626</v>
      </c>
      <c r="D1009" s="5" t="s">
        <v>22</v>
      </c>
      <c r="E1009" s="5" t="s">
        <v>9</v>
      </c>
      <c r="F1009" s="5">
        <v>20</v>
      </c>
      <c r="G1009" s="7"/>
    </row>
    <row r="1010" spans="1:7" ht="27.75" customHeight="1">
      <c r="A1010" s="5">
        <v>1008</v>
      </c>
      <c r="B1010" s="6" t="str">
        <f>"符玉灵"</f>
        <v>符玉灵</v>
      </c>
      <c r="C1010" s="6" t="str">
        <f>"230702110521"</f>
        <v>230702110521</v>
      </c>
      <c r="D1010" s="5" t="s">
        <v>22</v>
      </c>
      <c r="E1010" s="5" t="s">
        <v>9</v>
      </c>
      <c r="F1010" s="5">
        <v>21</v>
      </c>
      <c r="G1010" s="7"/>
    </row>
    <row r="1011" spans="1:7" ht="27.75" customHeight="1">
      <c r="A1011" s="5">
        <v>1009</v>
      </c>
      <c r="B1011" s="6" t="str">
        <f>"李碧玉"</f>
        <v>李碧玉</v>
      </c>
      <c r="C1011" s="6" t="str">
        <f>"230702108608"</f>
        <v>230702108608</v>
      </c>
      <c r="D1011" s="5" t="s">
        <v>22</v>
      </c>
      <c r="E1011" s="5" t="s">
        <v>9</v>
      </c>
      <c r="F1011" s="5">
        <v>22</v>
      </c>
      <c r="G1011" s="7"/>
    </row>
    <row r="1012" spans="1:7" ht="27.75" customHeight="1">
      <c r="A1012" s="5">
        <v>1010</v>
      </c>
      <c r="B1012" s="6" t="str">
        <f>"刘晓薇"</f>
        <v>刘晓薇</v>
      </c>
      <c r="C1012" s="6" t="str">
        <f>"230702108916"</f>
        <v>230702108916</v>
      </c>
      <c r="D1012" s="5" t="s">
        <v>22</v>
      </c>
      <c r="E1012" s="5" t="s">
        <v>9</v>
      </c>
      <c r="F1012" s="5">
        <v>23</v>
      </c>
      <c r="G1012" s="7"/>
    </row>
    <row r="1013" spans="1:7" ht="27.75" customHeight="1">
      <c r="A1013" s="5">
        <v>1011</v>
      </c>
      <c r="B1013" s="6" t="str">
        <f>"曾雨沁"</f>
        <v>曾雨沁</v>
      </c>
      <c r="C1013" s="6" t="str">
        <f>"230702110328"</f>
        <v>230702110328</v>
      </c>
      <c r="D1013" s="5" t="s">
        <v>22</v>
      </c>
      <c r="E1013" s="5" t="s">
        <v>9</v>
      </c>
      <c r="F1013" s="5">
        <v>24</v>
      </c>
      <c r="G1013" s="7"/>
    </row>
    <row r="1014" spans="1:7" ht="27.75" customHeight="1">
      <c r="A1014" s="5">
        <v>1012</v>
      </c>
      <c r="B1014" s="6" t="str">
        <f>"吴海桐"</f>
        <v>吴海桐</v>
      </c>
      <c r="C1014" s="6" t="str">
        <f>"230702111723"</f>
        <v>230702111723</v>
      </c>
      <c r="D1014" s="5" t="s">
        <v>22</v>
      </c>
      <c r="E1014" s="5" t="s">
        <v>9</v>
      </c>
      <c r="F1014" s="5">
        <v>25</v>
      </c>
      <c r="G1014" s="7"/>
    </row>
    <row r="1015" spans="1:7" ht="27.75" customHeight="1">
      <c r="A1015" s="5">
        <v>1013</v>
      </c>
      <c r="B1015" s="6" t="str">
        <f>"何娇冰"</f>
        <v>何娇冰</v>
      </c>
      <c r="C1015" s="6" t="str">
        <f>"230702110327"</f>
        <v>230702110327</v>
      </c>
      <c r="D1015" s="5" t="s">
        <v>22</v>
      </c>
      <c r="E1015" s="5" t="s">
        <v>9</v>
      </c>
      <c r="F1015" s="5">
        <v>26</v>
      </c>
      <c r="G1015" s="7"/>
    </row>
    <row r="1016" spans="1:7" ht="27.75" customHeight="1">
      <c r="A1016" s="5">
        <v>1014</v>
      </c>
      <c r="B1016" s="6" t="str">
        <f>"覃慧"</f>
        <v>覃慧</v>
      </c>
      <c r="C1016" s="6" t="str">
        <f>"230702111623"</f>
        <v>230702111623</v>
      </c>
      <c r="D1016" s="5" t="s">
        <v>22</v>
      </c>
      <c r="E1016" s="5" t="s">
        <v>9</v>
      </c>
      <c r="F1016" s="5">
        <v>27</v>
      </c>
      <c r="G1016" s="7"/>
    </row>
    <row r="1017" spans="1:7" ht="27.75" customHeight="1">
      <c r="A1017" s="5">
        <v>1015</v>
      </c>
      <c r="B1017" s="6" t="str">
        <f>"蔡亲银"</f>
        <v>蔡亲银</v>
      </c>
      <c r="C1017" s="6" t="str">
        <f>"230702111625"</f>
        <v>230702111625</v>
      </c>
      <c r="D1017" s="5" t="s">
        <v>22</v>
      </c>
      <c r="E1017" s="5" t="s">
        <v>9</v>
      </c>
      <c r="F1017" s="5">
        <v>28</v>
      </c>
      <c r="G1017" s="7"/>
    </row>
    <row r="1018" spans="1:7" ht="27.75" customHeight="1">
      <c r="A1018" s="5">
        <v>1016</v>
      </c>
      <c r="B1018" s="6" t="str">
        <f>"陈雅雯"</f>
        <v>陈雅雯</v>
      </c>
      <c r="C1018" s="6" t="str">
        <f>"230702109026"</f>
        <v>230702109026</v>
      </c>
      <c r="D1018" s="5" t="s">
        <v>22</v>
      </c>
      <c r="E1018" s="5" t="s">
        <v>9</v>
      </c>
      <c r="F1018" s="5">
        <v>29</v>
      </c>
      <c r="G1018" s="7"/>
    </row>
    <row r="1019" spans="1:7" ht="27.75" customHeight="1">
      <c r="A1019" s="5">
        <v>1017</v>
      </c>
      <c r="B1019" s="6" t="str">
        <f>"黎子嘉"</f>
        <v>黎子嘉</v>
      </c>
      <c r="C1019" s="6" t="str">
        <f>"230702109220"</f>
        <v>230702109220</v>
      </c>
      <c r="D1019" s="5" t="s">
        <v>22</v>
      </c>
      <c r="E1019" s="5" t="s">
        <v>9</v>
      </c>
      <c r="F1019" s="5">
        <v>30</v>
      </c>
      <c r="G1019" s="7"/>
    </row>
    <row r="1020" spans="1:7" ht="27.75" customHeight="1">
      <c r="A1020" s="5">
        <v>1018</v>
      </c>
      <c r="B1020" s="6" t="str">
        <f>"吴桐林"</f>
        <v>吴桐林</v>
      </c>
      <c r="C1020" s="6" t="str">
        <f>"230702109413"</f>
        <v>230702109413</v>
      </c>
      <c r="D1020" s="5" t="s">
        <v>22</v>
      </c>
      <c r="E1020" s="5" t="s">
        <v>9</v>
      </c>
      <c r="F1020" s="5">
        <v>31</v>
      </c>
      <c r="G1020" s="7"/>
    </row>
    <row r="1021" spans="1:7" ht="27.75" customHeight="1">
      <c r="A1021" s="5">
        <v>1019</v>
      </c>
      <c r="B1021" s="6" t="str">
        <f>"李婷"</f>
        <v>李婷</v>
      </c>
      <c r="C1021" s="6" t="str">
        <f>"230702110315"</f>
        <v>230702110315</v>
      </c>
      <c r="D1021" s="5" t="s">
        <v>22</v>
      </c>
      <c r="E1021" s="5" t="s">
        <v>9</v>
      </c>
      <c r="F1021" s="5">
        <v>32</v>
      </c>
      <c r="G1021" s="7"/>
    </row>
    <row r="1022" spans="1:7" ht="27.75" customHeight="1">
      <c r="A1022" s="5">
        <v>1020</v>
      </c>
      <c r="B1022" s="6" t="str">
        <f>"翁榕"</f>
        <v>翁榕</v>
      </c>
      <c r="C1022" s="6" t="str">
        <f>"230702110501"</f>
        <v>230702110501</v>
      </c>
      <c r="D1022" s="5" t="s">
        <v>22</v>
      </c>
      <c r="E1022" s="5" t="s">
        <v>9</v>
      </c>
      <c r="F1022" s="5">
        <v>33</v>
      </c>
      <c r="G1022" s="7"/>
    </row>
    <row r="1023" spans="1:7" ht="27.75" customHeight="1">
      <c r="A1023" s="5">
        <v>1021</v>
      </c>
      <c r="B1023" s="6" t="str">
        <f>"陈丽玉"</f>
        <v>陈丽玉</v>
      </c>
      <c r="C1023" s="6" t="str">
        <f>"230702110808"</f>
        <v>230702110808</v>
      </c>
      <c r="D1023" s="5" t="s">
        <v>22</v>
      </c>
      <c r="E1023" s="5" t="s">
        <v>9</v>
      </c>
      <c r="F1023" s="5">
        <v>34</v>
      </c>
      <c r="G1023" s="7"/>
    </row>
    <row r="1024" spans="1:7" ht="27.75" customHeight="1">
      <c r="A1024" s="5">
        <v>1022</v>
      </c>
      <c r="B1024" s="6" t="str">
        <f>"邓佳慧"</f>
        <v>邓佳慧</v>
      </c>
      <c r="C1024" s="6" t="str">
        <f>"230702100718"</f>
        <v>230702100718</v>
      </c>
      <c r="D1024" s="5" t="s">
        <v>22</v>
      </c>
      <c r="E1024" s="5" t="s">
        <v>9</v>
      </c>
      <c r="F1024" s="5">
        <v>35</v>
      </c>
      <c r="G1024" s="7"/>
    </row>
    <row r="1025" spans="1:7" ht="27.75" customHeight="1">
      <c r="A1025" s="5">
        <v>1023</v>
      </c>
      <c r="B1025" s="6" t="str">
        <f>"陈慧敏"</f>
        <v>陈慧敏</v>
      </c>
      <c r="C1025" s="6" t="str">
        <f>"230702100719"</f>
        <v>230702100719</v>
      </c>
      <c r="D1025" s="5" t="s">
        <v>22</v>
      </c>
      <c r="E1025" s="5" t="s">
        <v>9</v>
      </c>
      <c r="F1025" s="5">
        <v>36</v>
      </c>
      <c r="G1025" s="7"/>
    </row>
    <row r="1026" spans="1:7" ht="27.75" customHeight="1">
      <c r="A1026" s="5">
        <v>1024</v>
      </c>
      <c r="B1026" s="6" t="str">
        <f>"李敏"</f>
        <v>李敏</v>
      </c>
      <c r="C1026" s="6" t="str">
        <f>"230702100714"</f>
        <v>230702100714</v>
      </c>
      <c r="D1026" s="5" t="s">
        <v>22</v>
      </c>
      <c r="E1026" s="5" t="s">
        <v>9</v>
      </c>
      <c r="F1026" s="5">
        <v>37</v>
      </c>
      <c r="G1026" s="7"/>
    </row>
    <row r="1027" spans="1:7" ht="27.75" customHeight="1">
      <c r="A1027" s="5">
        <v>1025</v>
      </c>
      <c r="B1027" s="6" t="str">
        <f>"熊婉婷"</f>
        <v>熊婉婷</v>
      </c>
      <c r="C1027" s="6" t="str">
        <f>"230702100712"</f>
        <v>230702100712</v>
      </c>
      <c r="D1027" s="5" t="s">
        <v>22</v>
      </c>
      <c r="E1027" s="5" t="s">
        <v>9</v>
      </c>
      <c r="F1027" s="5">
        <v>38</v>
      </c>
      <c r="G1027" s="7"/>
    </row>
    <row r="1028" spans="1:7" ht="27.75" customHeight="1">
      <c r="A1028" s="5">
        <v>1026</v>
      </c>
      <c r="B1028" s="6" t="str">
        <f>"王小丽"</f>
        <v>王小丽</v>
      </c>
      <c r="C1028" s="6" t="str">
        <f>"230702100720"</f>
        <v>230702100720</v>
      </c>
      <c r="D1028" s="5" t="s">
        <v>22</v>
      </c>
      <c r="E1028" s="5" t="s">
        <v>9</v>
      </c>
      <c r="F1028" s="5">
        <v>39</v>
      </c>
      <c r="G1028" s="7"/>
    </row>
    <row r="1029" spans="1:7" ht="27.75" customHeight="1">
      <c r="A1029" s="5">
        <v>1027</v>
      </c>
      <c r="B1029" s="6" t="str">
        <f>"黄小倍"</f>
        <v>黄小倍</v>
      </c>
      <c r="C1029" s="6" t="str">
        <f>"230702100715"</f>
        <v>230702100715</v>
      </c>
      <c r="D1029" s="5" t="s">
        <v>22</v>
      </c>
      <c r="E1029" s="5" t="s">
        <v>9</v>
      </c>
      <c r="F1029" s="5">
        <v>40</v>
      </c>
      <c r="G1029" s="7"/>
    </row>
    <row r="1030" spans="1:7" ht="27.75" customHeight="1">
      <c r="A1030" s="5">
        <v>1028</v>
      </c>
      <c r="B1030" s="6" t="str">
        <f>"傅碧夏"</f>
        <v>傅碧夏</v>
      </c>
      <c r="C1030" s="6" t="str">
        <f>"230702207904"</f>
        <v>230702207904</v>
      </c>
      <c r="D1030" s="5" t="s">
        <v>22</v>
      </c>
      <c r="E1030" s="5" t="s">
        <v>9</v>
      </c>
      <c r="F1030" s="5">
        <v>41</v>
      </c>
      <c r="G1030" s="7"/>
    </row>
    <row r="1031" spans="1:7" ht="27.75" customHeight="1">
      <c r="A1031" s="5">
        <v>1029</v>
      </c>
      <c r="B1031" s="6" t="str">
        <f>"梁金儿"</f>
        <v>梁金儿</v>
      </c>
      <c r="C1031" s="6" t="str">
        <f>"230702208026"</f>
        <v>230702208026</v>
      </c>
      <c r="D1031" s="5" t="s">
        <v>22</v>
      </c>
      <c r="E1031" s="5" t="s">
        <v>9</v>
      </c>
      <c r="F1031" s="5">
        <v>42</v>
      </c>
      <c r="G1031" s="7"/>
    </row>
    <row r="1032" spans="1:7" ht="27.75" customHeight="1">
      <c r="A1032" s="5">
        <v>1030</v>
      </c>
      <c r="B1032" s="6" t="str">
        <f>"寇明丽"</f>
        <v>寇明丽</v>
      </c>
      <c r="C1032" s="6" t="str">
        <f>"230702207722"</f>
        <v>230702207722</v>
      </c>
      <c r="D1032" s="5" t="s">
        <v>22</v>
      </c>
      <c r="E1032" s="5" t="s">
        <v>9</v>
      </c>
      <c r="F1032" s="5">
        <v>43</v>
      </c>
      <c r="G1032" s="7"/>
    </row>
    <row r="1033" spans="1:7" ht="27.75" customHeight="1">
      <c r="A1033" s="5">
        <v>1031</v>
      </c>
      <c r="B1033" s="6" t="str">
        <f>"王小玉"</f>
        <v>王小玉</v>
      </c>
      <c r="C1033" s="6" t="str">
        <f>"230702207916"</f>
        <v>230702207916</v>
      </c>
      <c r="D1033" s="5" t="s">
        <v>22</v>
      </c>
      <c r="E1033" s="5" t="s">
        <v>9</v>
      </c>
      <c r="F1033" s="5">
        <v>44</v>
      </c>
      <c r="G1033" s="7"/>
    </row>
    <row r="1034" spans="1:7" ht="27.75" customHeight="1">
      <c r="A1034" s="5">
        <v>1032</v>
      </c>
      <c r="B1034" s="6" t="str">
        <f>"秦人霞"</f>
        <v>秦人霞</v>
      </c>
      <c r="C1034" s="6" t="str">
        <f>"230702208027"</f>
        <v>230702208027</v>
      </c>
      <c r="D1034" s="5" t="s">
        <v>22</v>
      </c>
      <c r="E1034" s="5" t="s">
        <v>9</v>
      </c>
      <c r="F1034" s="5">
        <v>45</v>
      </c>
      <c r="G1034" s="7"/>
    </row>
    <row r="1035" spans="1:7" ht="27.75" customHeight="1">
      <c r="A1035" s="5">
        <v>1033</v>
      </c>
      <c r="B1035" s="6" t="str">
        <f>"林方芳 "</f>
        <v>林方芳 </v>
      </c>
      <c r="C1035" s="6" t="str">
        <f>"230702207828"</f>
        <v>230702207828</v>
      </c>
      <c r="D1035" s="5" t="s">
        <v>22</v>
      </c>
      <c r="E1035" s="5" t="s">
        <v>9</v>
      </c>
      <c r="F1035" s="5">
        <v>46</v>
      </c>
      <c r="G1035" s="7"/>
    </row>
    <row r="1036" spans="1:7" ht="27.75" customHeight="1">
      <c r="A1036" s="5">
        <v>1034</v>
      </c>
      <c r="B1036" s="6" t="str">
        <f>"袁君"</f>
        <v>袁君</v>
      </c>
      <c r="C1036" s="6" t="str">
        <f>"230702207914"</f>
        <v>230702207914</v>
      </c>
      <c r="D1036" s="5" t="s">
        <v>22</v>
      </c>
      <c r="E1036" s="5" t="s">
        <v>9</v>
      </c>
      <c r="F1036" s="5">
        <v>47</v>
      </c>
      <c r="G1036" s="7"/>
    </row>
    <row r="1037" spans="1:7" ht="27.75" customHeight="1">
      <c r="A1037" s="5">
        <v>1035</v>
      </c>
      <c r="B1037" s="6" t="str">
        <f>"王咏巧"</f>
        <v>王咏巧</v>
      </c>
      <c r="C1037" s="6" t="str">
        <f>"230702207720"</f>
        <v>230702207720</v>
      </c>
      <c r="D1037" s="5" t="s">
        <v>22</v>
      </c>
      <c r="E1037" s="5" t="s">
        <v>9</v>
      </c>
      <c r="F1037" s="5">
        <v>48</v>
      </c>
      <c r="G1037" s="7"/>
    </row>
    <row r="1038" spans="1:7" ht="27.75" customHeight="1">
      <c r="A1038" s="5">
        <v>1036</v>
      </c>
      <c r="B1038" s="6" t="str">
        <f>"杨冠美"</f>
        <v>杨冠美</v>
      </c>
      <c r="C1038" s="6" t="str">
        <f>"230702207930"</f>
        <v>230702207930</v>
      </c>
      <c r="D1038" s="5" t="s">
        <v>22</v>
      </c>
      <c r="E1038" s="5" t="s">
        <v>9</v>
      </c>
      <c r="F1038" s="5">
        <v>49</v>
      </c>
      <c r="G1038" s="7"/>
    </row>
    <row r="1039" spans="1:7" ht="27.75" customHeight="1">
      <c r="A1039" s="5">
        <v>1037</v>
      </c>
      <c r="B1039" s="6" t="str">
        <f>"王安琦"</f>
        <v>王安琦</v>
      </c>
      <c r="C1039" s="6" t="str">
        <f>"230702207819"</f>
        <v>230702207819</v>
      </c>
      <c r="D1039" s="5" t="s">
        <v>22</v>
      </c>
      <c r="E1039" s="5" t="s">
        <v>9</v>
      </c>
      <c r="F1039" s="5">
        <v>50</v>
      </c>
      <c r="G1039" s="7"/>
    </row>
    <row r="1040" spans="1:7" ht="27.75" customHeight="1">
      <c r="A1040" s="5">
        <v>1038</v>
      </c>
      <c r="B1040" s="6" t="str">
        <f>"黄宗悦"</f>
        <v>黄宗悦</v>
      </c>
      <c r="C1040" s="6" t="str">
        <f>"230702207917"</f>
        <v>230702207917</v>
      </c>
      <c r="D1040" s="5" t="s">
        <v>22</v>
      </c>
      <c r="E1040" s="5" t="s">
        <v>9</v>
      </c>
      <c r="F1040" s="5">
        <v>51</v>
      </c>
      <c r="G1040" s="7"/>
    </row>
    <row r="1041" spans="1:7" ht="27.75" customHeight="1">
      <c r="A1041" s="5">
        <v>1039</v>
      </c>
      <c r="B1041" s="6" t="str">
        <f>"邝俊杉"</f>
        <v>邝俊杉</v>
      </c>
      <c r="C1041" s="6" t="str">
        <f>"230702207817"</f>
        <v>230702207817</v>
      </c>
      <c r="D1041" s="5" t="s">
        <v>22</v>
      </c>
      <c r="E1041" s="5" t="s">
        <v>9</v>
      </c>
      <c r="F1041" s="5">
        <v>52</v>
      </c>
      <c r="G1041" s="7"/>
    </row>
    <row r="1042" spans="1:7" ht="27.75" customHeight="1">
      <c r="A1042" s="5">
        <v>1040</v>
      </c>
      <c r="B1042" s="6" t="str">
        <f>"林盈"</f>
        <v>林盈</v>
      </c>
      <c r="C1042" s="6" t="str">
        <f>"230702208010"</f>
        <v>230702208010</v>
      </c>
      <c r="D1042" s="5" t="s">
        <v>22</v>
      </c>
      <c r="E1042" s="5" t="s">
        <v>9</v>
      </c>
      <c r="F1042" s="5">
        <v>53</v>
      </c>
      <c r="G1042" s="7"/>
    </row>
    <row r="1043" spans="1:7" ht="27.75" customHeight="1">
      <c r="A1043" s="5">
        <v>1041</v>
      </c>
      <c r="B1043" s="6" t="str">
        <f>"陈星洋"</f>
        <v>陈星洋</v>
      </c>
      <c r="C1043" s="6" t="str">
        <f>"230702208001"</f>
        <v>230702208001</v>
      </c>
      <c r="D1043" s="5" t="s">
        <v>22</v>
      </c>
      <c r="E1043" s="5" t="s">
        <v>9</v>
      </c>
      <c r="F1043" s="5">
        <v>54</v>
      </c>
      <c r="G1043" s="7"/>
    </row>
    <row r="1044" spans="1:7" ht="27.75" customHeight="1">
      <c r="A1044" s="5">
        <v>1042</v>
      </c>
      <c r="B1044" s="6" t="str">
        <f>"陈家慧"</f>
        <v>陈家慧</v>
      </c>
      <c r="C1044" s="6" t="str">
        <f>"230702207901"</f>
        <v>230702207901</v>
      </c>
      <c r="D1044" s="5" t="s">
        <v>22</v>
      </c>
      <c r="E1044" s="5" t="s">
        <v>9</v>
      </c>
      <c r="F1044" s="5">
        <v>55</v>
      </c>
      <c r="G1044" s="7"/>
    </row>
    <row r="1045" spans="1:7" ht="27.75" customHeight="1">
      <c r="A1045" s="5">
        <v>1043</v>
      </c>
      <c r="B1045" s="6" t="str">
        <f>"张红卫"</f>
        <v>张红卫</v>
      </c>
      <c r="C1045" s="6" t="str">
        <f>"230702104607"</f>
        <v>230702104607</v>
      </c>
      <c r="D1045" s="5" t="s">
        <v>22</v>
      </c>
      <c r="E1045" s="5" t="s">
        <v>10</v>
      </c>
      <c r="F1045" s="5">
        <v>56</v>
      </c>
      <c r="G1045" s="7"/>
    </row>
    <row r="1046" spans="1:7" ht="27.75" customHeight="1">
      <c r="A1046" s="5">
        <v>1044</v>
      </c>
      <c r="B1046" s="6" t="str">
        <f>"李萍"</f>
        <v>李萍</v>
      </c>
      <c r="C1046" s="6" t="str">
        <f>"230702105211"</f>
        <v>230702105211</v>
      </c>
      <c r="D1046" s="5" t="s">
        <v>22</v>
      </c>
      <c r="E1046" s="5" t="s">
        <v>10</v>
      </c>
      <c r="F1046" s="5">
        <v>57</v>
      </c>
      <c r="G1046" s="7"/>
    </row>
    <row r="1047" spans="1:7" ht="27.75" customHeight="1">
      <c r="A1047" s="5">
        <v>1045</v>
      </c>
      <c r="B1047" s="6" t="str">
        <f>"洪玥莹"</f>
        <v>洪玥莹</v>
      </c>
      <c r="C1047" s="6" t="str">
        <f>"230702103611"</f>
        <v>230702103611</v>
      </c>
      <c r="D1047" s="5" t="s">
        <v>22</v>
      </c>
      <c r="E1047" s="5" t="s">
        <v>10</v>
      </c>
      <c r="F1047" s="5">
        <v>58</v>
      </c>
      <c r="G1047" s="7"/>
    </row>
    <row r="1048" spans="1:7" ht="27.75" customHeight="1">
      <c r="A1048" s="5">
        <v>1046</v>
      </c>
      <c r="B1048" s="6" t="str">
        <f>"吉盈"</f>
        <v>吉盈</v>
      </c>
      <c r="C1048" s="6" t="str">
        <f>"230702104213"</f>
        <v>230702104213</v>
      </c>
      <c r="D1048" s="5" t="s">
        <v>22</v>
      </c>
      <c r="E1048" s="5" t="s">
        <v>10</v>
      </c>
      <c r="F1048" s="5">
        <v>59</v>
      </c>
      <c r="G1048" s="7"/>
    </row>
    <row r="1049" spans="1:7" ht="27.75" customHeight="1">
      <c r="A1049" s="5">
        <v>1047</v>
      </c>
      <c r="B1049" s="6" t="str">
        <f>"许兰兰"</f>
        <v>许兰兰</v>
      </c>
      <c r="C1049" s="6" t="str">
        <f>"230702104728"</f>
        <v>230702104728</v>
      </c>
      <c r="D1049" s="5" t="s">
        <v>22</v>
      </c>
      <c r="E1049" s="5" t="s">
        <v>10</v>
      </c>
      <c r="F1049" s="5">
        <v>60</v>
      </c>
      <c r="G1049" s="7"/>
    </row>
    <row r="1050" spans="1:7" ht="27.75" customHeight="1">
      <c r="A1050" s="5">
        <v>1048</v>
      </c>
      <c r="B1050" s="6" t="str">
        <f>"吴秋娃"</f>
        <v>吴秋娃</v>
      </c>
      <c r="C1050" s="6" t="str">
        <f>"230702105709"</f>
        <v>230702105709</v>
      </c>
      <c r="D1050" s="5" t="s">
        <v>22</v>
      </c>
      <c r="E1050" s="5" t="s">
        <v>10</v>
      </c>
      <c r="F1050" s="5">
        <v>61</v>
      </c>
      <c r="G1050" s="7"/>
    </row>
    <row r="1051" spans="1:7" ht="27.75" customHeight="1">
      <c r="A1051" s="5">
        <v>1049</v>
      </c>
      <c r="B1051" s="6" t="str">
        <f>"丰慧霞"</f>
        <v>丰慧霞</v>
      </c>
      <c r="C1051" s="6" t="str">
        <f>"230702103701"</f>
        <v>230702103701</v>
      </c>
      <c r="D1051" s="5" t="s">
        <v>22</v>
      </c>
      <c r="E1051" s="5" t="s">
        <v>10</v>
      </c>
      <c r="F1051" s="5">
        <v>62</v>
      </c>
      <c r="G1051" s="7"/>
    </row>
    <row r="1052" spans="1:7" ht="27.75" customHeight="1">
      <c r="A1052" s="5">
        <v>1050</v>
      </c>
      <c r="B1052" s="6" t="str">
        <f>"陈旋"</f>
        <v>陈旋</v>
      </c>
      <c r="C1052" s="6" t="str">
        <f>"230702104209"</f>
        <v>230702104209</v>
      </c>
      <c r="D1052" s="5" t="s">
        <v>22</v>
      </c>
      <c r="E1052" s="5" t="s">
        <v>10</v>
      </c>
      <c r="F1052" s="5">
        <v>63</v>
      </c>
      <c r="G1052" s="7"/>
    </row>
    <row r="1053" spans="1:7" ht="27.75" customHeight="1">
      <c r="A1053" s="5">
        <v>1051</v>
      </c>
      <c r="B1053" s="6" t="str">
        <f>"王雪娜"</f>
        <v>王雪娜</v>
      </c>
      <c r="C1053" s="6" t="str">
        <f>"230702104524"</f>
        <v>230702104524</v>
      </c>
      <c r="D1053" s="5" t="s">
        <v>22</v>
      </c>
      <c r="E1053" s="5" t="s">
        <v>10</v>
      </c>
      <c r="F1053" s="5">
        <v>64</v>
      </c>
      <c r="G1053" s="7"/>
    </row>
    <row r="1054" spans="1:7" ht="27.75" customHeight="1">
      <c r="A1054" s="5">
        <v>1052</v>
      </c>
      <c r="B1054" s="6" t="str">
        <f>"黄国敏"</f>
        <v>黄国敏</v>
      </c>
      <c r="C1054" s="6" t="str">
        <f>"230702104417"</f>
        <v>230702104417</v>
      </c>
      <c r="D1054" s="5" t="s">
        <v>22</v>
      </c>
      <c r="E1054" s="5" t="s">
        <v>10</v>
      </c>
      <c r="F1054" s="5">
        <v>65</v>
      </c>
      <c r="G1054" s="7"/>
    </row>
    <row r="1055" spans="1:7" ht="27.75" customHeight="1">
      <c r="A1055" s="5">
        <v>1053</v>
      </c>
      <c r="B1055" s="6" t="str">
        <f>"赵开静"</f>
        <v>赵开静</v>
      </c>
      <c r="C1055" s="6" t="str">
        <f>"230702105615"</f>
        <v>230702105615</v>
      </c>
      <c r="D1055" s="5" t="s">
        <v>22</v>
      </c>
      <c r="E1055" s="5" t="s">
        <v>10</v>
      </c>
      <c r="F1055" s="5">
        <v>66</v>
      </c>
      <c r="G1055" s="7"/>
    </row>
    <row r="1056" spans="1:7" ht="27.75" customHeight="1">
      <c r="A1056" s="5">
        <v>1054</v>
      </c>
      <c r="B1056" s="6" t="str">
        <f>"刘慧敏"</f>
        <v>刘慧敏</v>
      </c>
      <c r="C1056" s="6" t="str">
        <f>"230702103622"</f>
        <v>230702103622</v>
      </c>
      <c r="D1056" s="5" t="s">
        <v>22</v>
      </c>
      <c r="E1056" s="5" t="s">
        <v>10</v>
      </c>
      <c r="F1056" s="5">
        <v>67</v>
      </c>
      <c r="G1056" s="7"/>
    </row>
    <row r="1057" spans="1:7" ht="27.75" customHeight="1">
      <c r="A1057" s="5">
        <v>1055</v>
      </c>
      <c r="B1057" s="6" t="str">
        <f>"李艳"</f>
        <v>李艳</v>
      </c>
      <c r="C1057" s="6" t="str">
        <f>"230702105616"</f>
        <v>230702105616</v>
      </c>
      <c r="D1057" s="5" t="s">
        <v>22</v>
      </c>
      <c r="E1057" s="5" t="s">
        <v>10</v>
      </c>
      <c r="F1057" s="5">
        <v>68</v>
      </c>
      <c r="G1057" s="7"/>
    </row>
    <row r="1058" spans="1:7" ht="27.75" customHeight="1">
      <c r="A1058" s="5">
        <v>1056</v>
      </c>
      <c r="B1058" s="6" t="str">
        <f>"曾琪"</f>
        <v>曾琪</v>
      </c>
      <c r="C1058" s="6" t="str">
        <f>"230702103913"</f>
        <v>230702103913</v>
      </c>
      <c r="D1058" s="5" t="s">
        <v>22</v>
      </c>
      <c r="E1058" s="5" t="s">
        <v>10</v>
      </c>
      <c r="F1058" s="5">
        <v>69</v>
      </c>
      <c r="G1058" s="7"/>
    </row>
    <row r="1059" spans="1:7" ht="27.75" customHeight="1">
      <c r="A1059" s="5">
        <v>1057</v>
      </c>
      <c r="B1059" s="6" t="str">
        <f>"梁惠贞"</f>
        <v>梁惠贞</v>
      </c>
      <c r="C1059" s="6" t="str">
        <f>"230702104605"</f>
        <v>230702104605</v>
      </c>
      <c r="D1059" s="5" t="s">
        <v>22</v>
      </c>
      <c r="E1059" s="5" t="s">
        <v>10</v>
      </c>
      <c r="F1059" s="5">
        <v>70</v>
      </c>
      <c r="G1059" s="7"/>
    </row>
    <row r="1060" spans="1:7" ht="27.75" customHeight="1">
      <c r="A1060" s="5">
        <v>1058</v>
      </c>
      <c r="B1060" s="6" t="str">
        <f>"洪家蔓"</f>
        <v>洪家蔓</v>
      </c>
      <c r="C1060" s="6" t="str">
        <f>"230702104617"</f>
        <v>230702104617</v>
      </c>
      <c r="D1060" s="5" t="s">
        <v>22</v>
      </c>
      <c r="E1060" s="5" t="s">
        <v>10</v>
      </c>
      <c r="F1060" s="5">
        <v>71</v>
      </c>
      <c r="G1060" s="7"/>
    </row>
    <row r="1061" spans="1:7" ht="27.75" customHeight="1">
      <c r="A1061" s="5">
        <v>1059</v>
      </c>
      <c r="B1061" s="6" t="str">
        <f>"梁青青"</f>
        <v>梁青青</v>
      </c>
      <c r="C1061" s="6" t="str">
        <f>"230702104819"</f>
        <v>230702104819</v>
      </c>
      <c r="D1061" s="5" t="s">
        <v>22</v>
      </c>
      <c r="E1061" s="5" t="s">
        <v>10</v>
      </c>
      <c r="F1061" s="5">
        <v>72</v>
      </c>
      <c r="G1061" s="7"/>
    </row>
    <row r="1062" spans="1:7" ht="27.75" customHeight="1">
      <c r="A1062" s="5">
        <v>1060</v>
      </c>
      <c r="B1062" s="6" t="str">
        <f>"吴婷"</f>
        <v>吴婷</v>
      </c>
      <c r="C1062" s="6" t="str">
        <f>"230702103715"</f>
        <v>230702103715</v>
      </c>
      <c r="D1062" s="5" t="s">
        <v>22</v>
      </c>
      <c r="E1062" s="5" t="s">
        <v>10</v>
      </c>
      <c r="F1062" s="5">
        <v>73</v>
      </c>
      <c r="G1062" s="7"/>
    </row>
    <row r="1063" spans="1:7" ht="27.75" customHeight="1">
      <c r="A1063" s="5">
        <v>1061</v>
      </c>
      <c r="B1063" s="6" t="str">
        <f>"云子倩"</f>
        <v>云子倩</v>
      </c>
      <c r="C1063" s="6" t="str">
        <f>"230702103814"</f>
        <v>230702103814</v>
      </c>
      <c r="D1063" s="5" t="s">
        <v>22</v>
      </c>
      <c r="E1063" s="5" t="s">
        <v>10</v>
      </c>
      <c r="F1063" s="5">
        <v>74</v>
      </c>
      <c r="G1063" s="7"/>
    </row>
    <row r="1064" spans="1:7" ht="27.75" customHeight="1">
      <c r="A1064" s="5">
        <v>1062</v>
      </c>
      <c r="B1064" s="6" t="str">
        <f>"林紫衣"</f>
        <v>林紫衣</v>
      </c>
      <c r="C1064" s="6" t="str">
        <f>"230702104520"</f>
        <v>230702104520</v>
      </c>
      <c r="D1064" s="5" t="s">
        <v>22</v>
      </c>
      <c r="E1064" s="5" t="s">
        <v>10</v>
      </c>
      <c r="F1064" s="5">
        <v>75</v>
      </c>
      <c r="G1064" s="7"/>
    </row>
    <row r="1065" spans="1:7" ht="27.75" customHeight="1">
      <c r="A1065" s="5">
        <v>1063</v>
      </c>
      <c r="B1065" s="6" t="str">
        <f>"沈甘爽"</f>
        <v>沈甘爽</v>
      </c>
      <c r="C1065" s="6" t="str">
        <f>"230702104928"</f>
        <v>230702104928</v>
      </c>
      <c r="D1065" s="5" t="s">
        <v>22</v>
      </c>
      <c r="E1065" s="5" t="s">
        <v>10</v>
      </c>
      <c r="F1065" s="5">
        <v>76</v>
      </c>
      <c r="G1065" s="7"/>
    </row>
    <row r="1066" spans="1:7" ht="27.75" customHeight="1">
      <c r="A1066" s="5">
        <v>1064</v>
      </c>
      <c r="B1066" s="6" t="str">
        <f>"胡倩楠"</f>
        <v>胡倩楠</v>
      </c>
      <c r="C1066" s="6" t="str">
        <f>"230702105416"</f>
        <v>230702105416</v>
      </c>
      <c r="D1066" s="5" t="s">
        <v>22</v>
      </c>
      <c r="E1066" s="5" t="s">
        <v>10</v>
      </c>
      <c r="F1066" s="5">
        <v>77</v>
      </c>
      <c r="G1066" s="7"/>
    </row>
    <row r="1067" spans="1:7" ht="27.75" customHeight="1">
      <c r="A1067" s="5">
        <v>1065</v>
      </c>
      <c r="B1067" s="6" t="str">
        <f>"林璐"</f>
        <v>林璐</v>
      </c>
      <c r="C1067" s="6" t="str">
        <f>"230702105325"</f>
        <v>230702105325</v>
      </c>
      <c r="D1067" s="5" t="s">
        <v>22</v>
      </c>
      <c r="E1067" s="5" t="s">
        <v>10</v>
      </c>
      <c r="F1067" s="5">
        <v>78</v>
      </c>
      <c r="G1067" s="7"/>
    </row>
    <row r="1068" spans="1:7" ht="27.75" customHeight="1">
      <c r="A1068" s="5">
        <v>1066</v>
      </c>
      <c r="B1068" s="6" t="str">
        <f>"李文静"</f>
        <v>李文静</v>
      </c>
      <c r="C1068" s="6" t="str">
        <f>"230702105627"</f>
        <v>230702105627</v>
      </c>
      <c r="D1068" s="5" t="s">
        <v>22</v>
      </c>
      <c r="E1068" s="5" t="s">
        <v>10</v>
      </c>
      <c r="F1068" s="5">
        <v>79</v>
      </c>
      <c r="G1068" s="7"/>
    </row>
    <row r="1069" spans="1:7" ht="27.75" customHeight="1">
      <c r="A1069" s="5">
        <v>1067</v>
      </c>
      <c r="B1069" s="6" t="str">
        <f>"黄诗勤"</f>
        <v>黄诗勤</v>
      </c>
      <c r="C1069" s="6" t="str">
        <f>"230702105629"</f>
        <v>230702105629</v>
      </c>
      <c r="D1069" s="5" t="s">
        <v>22</v>
      </c>
      <c r="E1069" s="5" t="s">
        <v>10</v>
      </c>
      <c r="F1069" s="5">
        <v>80</v>
      </c>
      <c r="G1069" s="7"/>
    </row>
    <row r="1070" spans="1:7" ht="27.75" customHeight="1">
      <c r="A1070" s="5">
        <v>1068</v>
      </c>
      <c r="B1070" s="6" t="str">
        <f>"林小婉"</f>
        <v>林小婉</v>
      </c>
      <c r="C1070" s="6" t="str">
        <f>"230702103710"</f>
        <v>230702103710</v>
      </c>
      <c r="D1070" s="5" t="s">
        <v>22</v>
      </c>
      <c r="E1070" s="5" t="s">
        <v>10</v>
      </c>
      <c r="F1070" s="5">
        <v>81</v>
      </c>
      <c r="G1070" s="7"/>
    </row>
    <row r="1071" spans="1:7" ht="27.75" customHeight="1">
      <c r="A1071" s="5">
        <v>1069</v>
      </c>
      <c r="B1071" s="6" t="str">
        <f>"符方怡"</f>
        <v>符方怡</v>
      </c>
      <c r="C1071" s="6" t="str">
        <f>"230702104422"</f>
        <v>230702104422</v>
      </c>
      <c r="D1071" s="5" t="s">
        <v>22</v>
      </c>
      <c r="E1071" s="5" t="s">
        <v>10</v>
      </c>
      <c r="F1071" s="5">
        <v>82</v>
      </c>
      <c r="G1071" s="7"/>
    </row>
    <row r="1072" spans="1:7" ht="27.75" customHeight="1">
      <c r="A1072" s="5">
        <v>1070</v>
      </c>
      <c r="B1072" s="6" t="str">
        <f>"胡婷"</f>
        <v>胡婷</v>
      </c>
      <c r="C1072" s="6" t="str">
        <f>"230702105705"</f>
        <v>230702105705</v>
      </c>
      <c r="D1072" s="5" t="s">
        <v>22</v>
      </c>
      <c r="E1072" s="5" t="s">
        <v>10</v>
      </c>
      <c r="F1072" s="5">
        <v>83</v>
      </c>
      <c r="G1072" s="7"/>
    </row>
    <row r="1073" spans="1:7" ht="27.75" customHeight="1">
      <c r="A1073" s="5">
        <v>1071</v>
      </c>
      <c r="B1073" s="6" t="str">
        <f>"高咏琦"</f>
        <v>高咏琦</v>
      </c>
      <c r="C1073" s="6" t="str">
        <f>"230702103602"</f>
        <v>230702103602</v>
      </c>
      <c r="D1073" s="5" t="s">
        <v>22</v>
      </c>
      <c r="E1073" s="5" t="s">
        <v>10</v>
      </c>
      <c r="F1073" s="5">
        <v>84</v>
      </c>
      <c r="G1073" s="7"/>
    </row>
    <row r="1074" spans="1:7" ht="27.75" customHeight="1">
      <c r="A1074" s="5">
        <v>1072</v>
      </c>
      <c r="B1074" s="6" t="str">
        <f>"陈秋杏"</f>
        <v>陈秋杏</v>
      </c>
      <c r="C1074" s="6" t="str">
        <f>"230702103730"</f>
        <v>230702103730</v>
      </c>
      <c r="D1074" s="5" t="s">
        <v>22</v>
      </c>
      <c r="E1074" s="5" t="s">
        <v>10</v>
      </c>
      <c r="F1074" s="5">
        <v>85</v>
      </c>
      <c r="G1074" s="7"/>
    </row>
    <row r="1075" spans="1:7" ht="27.75" customHeight="1">
      <c r="A1075" s="5">
        <v>1073</v>
      </c>
      <c r="B1075" s="6" t="str">
        <f>"李筱玲"</f>
        <v>李筱玲</v>
      </c>
      <c r="C1075" s="6" t="str">
        <f>"230702104316"</f>
        <v>230702104316</v>
      </c>
      <c r="D1075" s="5" t="s">
        <v>22</v>
      </c>
      <c r="E1075" s="5" t="s">
        <v>10</v>
      </c>
      <c r="F1075" s="5">
        <v>86</v>
      </c>
      <c r="G1075" s="7"/>
    </row>
    <row r="1076" spans="1:7" ht="27.75" customHeight="1">
      <c r="A1076" s="5">
        <v>1074</v>
      </c>
      <c r="B1076" s="6" t="str">
        <f>"王莉莎"</f>
        <v>王莉莎</v>
      </c>
      <c r="C1076" s="6" t="str">
        <f>"230702103807"</f>
        <v>230702103807</v>
      </c>
      <c r="D1076" s="5" t="s">
        <v>22</v>
      </c>
      <c r="E1076" s="5" t="s">
        <v>10</v>
      </c>
      <c r="F1076" s="5">
        <v>87</v>
      </c>
      <c r="G1076" s="7"/>
    </row>
    <row r="1077" spans="1:7" ht="27.75" customHeight="1">
      <c r="A1077" s="5">
        <v>1075</v>
      </c>
      <c r="B1077" s="6" t="str">
        <f>"董蕾"</f>
        <v>董蕾</v>
      </c>
      <c r="C1077" s="6" t="str">
        <f>"230702104020"</f>
        <v>230702104020</v>
      </c>
      <c r="D1077" s="5" t="s">
        <v>22</v>
      </c>
      <c r="E1077" s="5" t="s">
        <v>10</v>
      </c>
      <c r="F1077" s="5">
        <v>88</v>
      </c>
      <c r="G1077" s="7"/>
    </row>
    <row r="1078" spans="1:7" ht="27.75" customHeight="1">
      <c r="A1078" s="5">
        <v>1076</v>
      </c>
      <c r="B1078" s="6" t="str">
        <f>"王滢"</f>
        <v>王滢</v>
      </c>
      <c r="C1078" s="6" t="str">
        <f>"230702104113"</f>
        <v>230702104113</v>
      </c>
      <c r="D1078" s="5" t="s">
        <v>22</v>
      </c>
      <c r="E1078" s="5" t="s">
        <v>10</v>
      </c>
      <c r="F1078" s="5">
        <v>89</v>
      </c>
      <c r="G1078" s="7"/>
    </row>
    <row r="1079" spans="1:7" ht="27.75" customHeight="1">
      <c r="A1079" s="5">
        <v>1077</v>
      </c>
      <c r="B1079" s="6" t="str">
        <f>"黄巧儿"</f>
        <v>黄巧儿</v>
      </c>
      <c r="C1079" s="6" t="str">
        <f>"230702104206"</f>
        <v>230702104206</v>
      </c>
      <c r="D1079" s="5" t="s">
        <v>22</v>
      </c>
      <c r="E1079" s="5" t="s">
        <v>10</v>
      </c>
      <c r="F1079" s="5">
        <v>90</v>
      </c>
      <c r="G1079" s="7"/>
    </row>
    <row r="1080" spans="1:7" ht="27.75" customHeight="1">
      <c r="A1080" s="5">
        <v>1078</v>
      </c>
      <c r="B1080" s="6" t="str">
        <f>"符少丽"</f>
        <v>符少丽</v>
      </c>
      <c r="C1080" s="6" t="str">
        <f>"230702104502"</f>
        <v>230702104502</v>
      </c>
      <c r="D1080" s="5" t="s">
        <v>22</v>
      </c>
      <c r="E1080" s="5" t="s">
        <v>10</v>
      </c>
      <c r="F1080" s="5">
        <v>91</v>
      </c>
      <c r="G1080" s="7"/>
    </row>
    <row r="1081" spans="1:7" ht="27.75" customHeight="1">
      <c r="A1081" s="5">
        <v>1079</v>
      </c>
      <c r="B1081" s="6" t="str">
        <f>"陈琪芷"</f>
        <v>陈琪芷</v>
      </c>
      <c r="C1081" s="6" t="str">
        <f>"230702103619"</f>
        <v>230702103619</v>
      </c>
      <c r="D1081" s="5" t="s">
        <v>22</v>
      </c>
      <c r="E1081" s="5" t="s">
        <v>10</v>
      </c>
      <c r="F1081" s="5">
        <v>92</v>
      </c>
      <c r="G1081" s="7"/>
    </row>
    <row r="1082" spans="1:7" ht="27.75" customHeight="1">
      <c r="A1082" s="5">
        <v>1080</v>
      </c>
      <c r="B1082" s="6" t="str">
        <f>"王海育"</f>
        <v>王海育</v>
      </c>
      <c r="C1082" s="6" t="str">
        <f>"230702104314"</f>
        <v>230702104314</v>
      </c>
      <c r="D1082" s="5" t="s">
        <v>22</v>
      </c>
      <c r="E1082" s="5" t="s">
        <v>10</v>
      </c>
      <c r="F1082" s="5">
        <v>93</v>
      </c>
      <c r="G1082" s="7"/>
    </row>
    <row r="1083" spans="1:7" ht="27.75" customHeight="1">
      <c r="A1083" s="5">
        <v>1081</v>
      </c>
      <c r="B1083" s="6" t="str">
        <f>"宁慧婕"</f>
        <v>宁慧婕</v>
      </c>
      <c r="C1083" s="6" t="str">
        <f>"230702104424"</f>
        <v>230702104424</v>
      </c>
      <c r="D1083" s="5" t="s">
        <v>22</v>
      </c>
      <c r="E1083" s="5" t="s">
        <v>10</v>
      </c>
      <c r="F1083" s="5">
        <v>94</v>
      </c>
      <c r="G1083" s="7"/>
    </row>
    <row r="1084" spans="1:7" ht="27.75" customHeight="1">
      <c r="A1084" s="5">
        <v>1082</v>
      </c>
      <c r="B1084" s="6" t="str">
        <f>"庄海芳"</f>
        <v>庄海芳</v>
      </c>
      <c r="C1084" s="6" t="str">
        <f>"230702104517"</f>
        <v>230702104517</v>
      </c>
      <c r="D1084" s="5" t="s">
        <v>22</v>
      </c>
      <c r="E1084" s="5" t="s">
        <v>10</v>
      </c>
      <c r="F1084" s="5">
        <v>95</v>
      </c>
      <c r="G1084" s="7"/>
    </row>
    <row r="1085" spans="1:7" ht="27.75" customHeight="1">
      <c r="A1085" s="5">
        <v>1083</v>
      </c>
      <c r="B1085" s="6" t="str">
        <f>"黄东妹"</f>
        <v>黄东妹</v>
      </c>
      <c r="C1085" s="6" t="str">
        <f>"230702105209"</f>
        <v>230702105209</v>
      </c>
      <c r="D1085" s="5" t="s">
        <v>22</v>
      </c>
      <c r="E1085" s="5" t="s">
        <v>10</v>
      </c>
      <c r="F1085" s="5">
        <v>96</v>
      </c>
      <c r="G1085" s="7"/>
    </row>
    <row r="1086" spans="1:7" ht="27.75" customHeight="1">
      <c r="A1086" s="5">
        <v>1084</v>
      </c>
      <c r="B1086" s="6" t="str">
        <f>"符丽花"</f>
        <v>符丽花</v>
      </c>
      <c r="C1086" s="6" t="str">
        <f>"230702105302"</f>
        <v>230702105302</v>
      </c>
      <c r="D1086" s="5" t="s">
        <v>22</v>
      </c>
      <c r="E1086" s="5" t="s">
        <v>10</v>
      </c>
      <c r="F1086" s="5">
        <v>97</v>
      </c>
      <c r="G1086" s="7"/>
    </row>
    <row r="1087" spans="1:7" ht="27.75" customHeight="1">
      <c r="A1087" s="5">
        <v>1085</v>
      </c>
      <c r="B1087" s="6" t="str">
        <f>"符梦玉"</f>
        <v>符梦玉</v>
      </c>
      <c r="C1087" s="6" t="str">
        <f>"230702103615"</f>
        <v>230702103615</v>
      </c>
      <c r="D1087" s="5" t="s">
        <v>22</v>
      </c>
      <c r="E1087" s="5" t="s">
        <v>10</v>
      </c>
      <c r="F1087" s="5">
        <v>98</v>
      </c>
      <c r="G1087" s="7"/>
    </row>
    <row r="1088" spans="1:7" ht="27.75" customHeight="1">
      <c r="A1088" s="5">
        <v>1086</v>
      </c>
      <c r="B1088" s="6" t="str">
        <f>"吴可盈"</f>
        <v>吴可盈</v>
      </c>
      <c r="C1088" s="6" t="str">
        <f>"230702103812"</f>
        <v>230702103812</v>
      </c>
      <c r="D1088" s="5" t="s">
        <v>22</v>
      </c>
      <c r="E1088" s="5" t="s">
        <v>10</v>
      </c>
      <c r="F1088" s="5">
        <v>99</v>
      </c>
      <c r="G1088" s="7"/>
    </row>
    <row r="1089" spans="1:7" ht="27.75" customHeight="1">
      <c r="A1089" s="5">
        <v>1087</v>
      </c>
      <c r="B1089" s="6" t="str">
        <f>"严秋玉"</f>
        <v>严秋玉</v>
      </c>
      <c r="C1089" s="6" t="str">
        <f>"230702104722"</f>
        <v>230702104722</v>
      </c>
      <c r="D1089" s="5" t="s">
        <v>22</v>
      </c>
      <c r="E1089" s="5" t="s">
        <v>10</v>
      </c>
      <c r="F1089" s="5">
        <v>100</v>
      </c>
      <c r="G1089" s="7"/>
    </row>
    <row r="1090" spans="1:7" ht="27.75" customHeight="1">
      <c r="A1090" s="5">
        <v>1088</v>
      </c>
      <c r="B1090" s="6" t="str">
        <f>"何思衡"</f>
        <v>何思衡</v>
      </c>
      <c r="C1090" s="6" t="str">
        <f>"230702104816"</f>
        <v>230702104816</v>
      </c>
      <c r="D1090" s="5" t="s">
        <v>22</v>
      </c>
      <c r="E1090" s="5" t="s">
        <v>10</v>
      </c>
      <c r="F1090" s="5">
        <v>101</v>
      </c>
      <c r="G1090" s="7"/>
    </row>
    <row r="1091" spans="1:7" ht="27.75" customHeight="1">
      <c r="A1091" s="5">
        <v>1089</v>
      </c>
      <c r="B1091" s="6" t="str">
        <f>"陈华棉"</f>
        <v>陈华棉</v>
      </c>
      <c r="C1091" s="6" t="str">
        <f>"230702105206"</f>
        <v>230702105206</v>
      </c>
      <c r="D1091" s="5" t="s">
        <v>22</v>
      </c>
      <c r="E1091" s="5" t="s">
        <v>10</v>
      </c>
      <c r="F1091" s="5">
        <v>102</v>
      </c>
      <c r="G1091" s="7"/>
    </row>
    <row r="1092" spans="1:7" ht="27.75" customHeight="1">
      <c r="A1092" s="5">
        <v>1090</v>
      </c>
      <c r="B1092" s="6" t="str">
        <f>"邓宇庭"</f>
        <v>邓宇庭</v>
      </c>
      <c r="C1092" s="6" t="str">
        <f>"230702105303"</f>
        <v>230702105303</v>
      </c>
      <c r="D1092" s="5" t="s">
        <v>22</v>
      </c>
      <c r="E1092" s="5" t="s">
        <v>10</v>
      </c>
      <c r="F1092" s="5">
        <v>103</v>
      </c>
      <c r="G1092" s="7"/>
    </row>
    <row r="1093" spans="1:7" ht="27.75" customHeight="1">
      <c r="A1093" s="5">
        <v>1091</v>
      </c>
      <c r="B1093" s="6" t="str">
        <f>"庄贝贝"</f>
        <v>庄贝贝</v>
      </c>
      <c r="C1093" s="6" t="str">
        <f>"230702105306"</f>
        <v>230702105306</v>
      </c>
      <c r="D1093" s="5" t="s">
        <v>22</v>
      </c>
      <c r="E1093" s="5" t="s">
        <v>10</v>
      </c>
      <c r="F1093" s="5">
        <v>104</v>
      </c>
      <c r="G1093" s="7"/>
    </row>
    <row r="1094" spans="1:7" ht="27.75" customHeight="1">
      <c r="A1094" s="5">
        <v>1092</v>
      </c>
      <c r="B1094" s="6" t="str">
        <f>"林燕子"</f>
        <v>林燕子</v>
      </c>
      <c r="C1094" s="6" t="str">
        <f>"230702103825"</f>
        <v>230702103825</v>
      </c>
      <c r="D1094" s="5" t="s">
        <v>22</v>
      </c>
      <c r="E1094" s="5" t="s">
        <v>10</v>
      </c>
      <c r="F1094" s="5">
        <v>105</v>
      </c>
      <c r="G1094" s="7"/>
    </row>
    <row r="1095" spans="1:7" ht="27.75" customHeight="1">
      <c r="A1095" s="5">
        <v>1093</v>
      </c>
      <c r="B1095" s="6" t="str">
        <f>"何扶摇"</f>
        <v>何扶摇</v>
      </c>
      <c r="C1095" s="6" t="str">
        <f>"230702103916"</f>
        <v>230702103916</v>
      </c>
      <c r="D1095" s="5" t="s">
        <v>22</v>
      </c>
      <c r="E1095" s="5" t="s">
        <v>10</v>
      </c>
      <c r="F1095" s="5">
        <v>106</v>
      </c>
      <c r="G1095" s="7"/>
    </row>
    <row r="1096" spans="1:7" ht="27.75" customHeight="1">
      <c r="A1096" s="5">
        <v>1094</v>
      </c>
      <c r="B1096" s="6" t="str">
        <f>"高婷"</f>
        <v>高婷</v>
      </c>
      <c r="C1096" s="6" t="str">
        <f>"230702104021"</f>
        <v>230702104021</v>
      </c>
      <c r="D1096" s="5" t="s">
        <v>22</v>
      </c>
      <c r="E1096" s="5" t="s">
        <v>10</v>
      </c>
      <c r="F1096" s="5">
        <v>107</v>
      </c>
      <c r="G1096" s="7"/>
    </row>
    <row r="1097" spans="1:7" ht="27.75" customHeight="1">
      <c r="A1097" s="5">
        <v>1095</v>
      </c>
      <c r="B1097" s="6" t="str">
        <f>"赵迎"</f>
        <v>赵迎</v>
      </c>
      <c r="C1097" s="6" t="str">
        <f>"230702104319"</f>
        <v>230702104319</v>
      </c>
      <c r="D1097" s="5" t="s">
        <v>22</v>
      </c>
      <c r="E1097" s="5" t="s">
        <v>10</v>
      </c>
      <c r="F1097" s="5">
        <v>108</v>
      </c>
      <c r="G1097" s="7"/>
    </row>
    <row r="1098" spans="1:7" ht="27.75" customHeight="1">
      <c r="A1098" s="5">
        <v>1096</v>
      </c>
      <c r="B1098" s="6" t="str">
        <f>"张海虹"</f>
        <v>张海虹</v>
      </c>
      <c r="C1098" s="6" t="str">
        <f>"230702105029"</f>
        <v>230702105029</v>
      </c>
      <c r="D1098" s="5" t="s">
        <v>22</v>
      </c>
      <c r="E1098" s="5" t="s">
        <v>10</v>
      </c>
      <c r="F1098" s="5">
        <v>109</v>
      </c>
      <c r="G1098" s="7"/>
    </row>
    <row r="1099" spans="1:7" ht="27.75" customHeight="1">
      <c r="A1099" s="5">
        <v>1097</v>
      </c>
      <c r="B1099" s="6" t="str">
        <f>"王艳艳"</f>
        <v>王艳艳</v>
      </c>
      <c r="C1099" s="6" t="str">
        <f>"230702105408"</f>
        <v>230702105408</v>
      </c>
      <c r="D1099" s="5" t="s">
        <v>22</v>
      </c>
      <c r="E1099" s="5" t="s">
        <v>10</v>
      </c>
      <c r="F1099" s="5">
        <v>110</v>
      </c>
      <c r="G1099" s="7"/>
    </row>
    <row r="1100" spans="1:7" ht="27.75" customHeight="1">
      <c r="A1100" s="5">
        <v>1098</v>
      </c>
      <c r="B1100" s="6" t="str">
        <f>"陆晓雯"</f>
        <v>陆晓雯</v>
      </c>
      <c r="C1100" s="6" t="str">
        <f>"230702105624"</f>
        <v>230702105624</v>
      </c>
      <c r="D1100" s="5" t="s">
        <v>22</v>
      </c>
      <c r="E1100" s="5" t="s">
        <v>10</v>
      </c>
      <c r="F1100" s="5">
        <v>111</v>
      </c>
      <c r="G1100" s="7"/>
    </row>
    <row r="1101" spans="1:7" ht="27.75" customHeight="1">
      <c r="A1101" s="5">
        <v>1099</v>
      </c>
      <c r="B1101" s="6" t="str">
        <f>"刘引芝"</f>
        <v>刘引芝</v>
      </c>
      <c r="C1101" s="6" t="str">
        <f>"230702103705"</f>
        <v>230702103705</v>
      </c>
      <c r="D1101" s="5" t="s">
        <v>22</v>
      </c>
      <c r="E1101" s="5" t="s">
        <v>10</v>
      </c>
      <c r="F1101" s="5">
        <v>112</v>
      </c>
      <c r="G1101" s="7"/>
    </row>
    <row r="1102" spans="1:7" ht="27.75" customHeight="1">
      <c r="A1102" s="5">
        <v>1100</v>
      </c>
      <c r="B1102" s="6" t="str">
        <f>"林珠"</f>
        <v>林珠</v>
      </c>
      <c r="C1102" s="6" t="str">
        <f>"230702104805"</f>
        <v>230702104805</v>
      </c>
      <c r="D1102" s="5" t="s">
        <v>22</v>
      </c>
      <c r="E1102" s="5" t="s">
        <v>19</v>
      </c>
      <c r="F1102" s="5">
        <v>113</v>
      </c>
      <c r="G1102" s="7"/>
    </row>
    <row r="1103" spans="1:7" ht="27.75" customHeight="1">
      <c r="A1103" s="5">
        <v>1101</v>
      </c>
      <c r="B1103" s="6" t="str">
        <f>"陈素桦"</f>
        <v>陈素桦</v>
      </c>
      <c r="C1103" s="6" t="str">
        <f>"230702105106"</f>
        <v>230702105106</v>
      </c>
      <c r="D1103" s="5" t="s">
        <v>22</v>
      </c>
      <c r="E1103" s="5" t="s">
        <v>19</v>
      </c>
      <c r="F1103" s="5">
        <v>114</v>
      </c>
      <c r="G1103" s="7"/>
    </row>
    <row r="1104" spans="1:7" ht="27.75" customHeight="1">
      <c r="A1104" s="5">
        <v>1102</v>
      </c>
      <c r="B1104" s="6" t="str">
        <f>"覃秀巧"</f>
        <v>覃秀巧</v>
      </c>
      <c r="C1104" s="6" t="str">
        <f>"230702105515"</f>
        <v>230702105515</v>
      </c>
      <c r="D1104" s="5" t="s">
        <v>22</v>
      </c>
      <c r="E1104" s="5" t="s">
        <v>19</v>
      </c>
      <c r="F1104" s="5">
        <v>115</v>
      </c>
      <c r="G1104" s="7"/>
    </row>
    <row r="1105" spans="1:7" ht="27.75" customHeight="1">
      <c r="A1105" s="5">
        <v>1103</v>
      </c>
      <c r="B1105" s="6" t="str">
        <f>"杨惠琼"</f>
        <v>杨惠琼</v>
      </c>
      <c r="C1105" s="6" t="str">
        <f>"230702103704"</f>
        <v>230702103704</v>
      </c>
      <c r="D1105" s="5" t="s">
        <v>22</v>
      </c>
      <c r="E1105" s="5" t="s">
        <v>19</v>
      </c>
      <c r="F1105" s="5">
        <v>116</v>
      </c>
      <c r="G1105" s="7"/>
    </row>
    <row r="1106" spans="1:7" ht="27.75" customHeight="1">
      <c r="A1106" s="5">
        <v>1104</v>
      </c>
      <c r="B1106" s="6" t="str">
        <f>"王湘"</f>
        <v>王湘</v>
      </c>
      <c r="C1106" s="6" t="str">
        <f>"230702103927"</f>
        <v>230702103927</v>
      </c>
      <c r="D1106" s="5" t="s">
        <v>22</v>
      </c>
      <c r="E1106" s="5" t="s">
        <v>19</v>
      </c>
      <c r="F1106" s="5">
        <v>117</v>
      </c>
      <c r="G1106" s="7"/>
    </row>
    <row r="1107" spans="1:7" ht="27.75" customHeight="1">
      <c r="A1107" s="5">
        <v>1105</v>
      </c>
      <c r="B1107" s="6" t="str">
        <f>"王君儒"</f>
        <v>王君儒</v>
      </c>
      <c r="C1107" s="6" t="str">
        <f>"230702104305"</f>
        <v>230702104305</v>
      </c>
      <c r="D1107" s="5" t="s">
        <v>22</v>
      </c>
      <c r="E1107" s="5" t="s">
        <v>19</v>
      </c>
      <c r="F1107" s="5">
        <v>118</v>
      </c>
      <c r="G1107" s="7"/>
    </row>
    <row r="1108" spans="1:7" ht="27.75" customHeight="1">
      <c r="A1108" s="5">
        <v>1106</v>
      </c>
      <c r="B1108" s="6" t="str">
        <f>"邢荣蕊"</f>
        <v>邢荣蕊</v>
      </c>
      <c r="C1108" s="6" t="str">
        <f>"230702104318"</f>
        <v>230702104318</v>
      </c>
      <c r="D1108" s="5" t="s">
        <v>22</v>
      </c>
      <c r="E1108" s="5" t="s">
        <v>19</v>
      </c>
      <c r="F1108" s="5">
        <v>119</v>
      </c>
      <c r="G1108" s="7"/>
    </row>
    <row r="1109" spans="1:7" ht="27.75" customHeight="1">
      <c r="A1109" s="5">
        <v>1107</v>
      </c>
      <c r="B1109" s="6" t="str">
        <f>"肖雅蕾"</f>
        <v>肖雅蕾</v>
      </c>
      <c r="C1109" s="6" t="str">
        <f>"230702104614"</f>
        <v>230702104614</v>
      </c>
      <c r="D1109" s="5" t="s">
        <v>22</v>
      </c>
      <c r="E1109" s="5" t="s">
        <v>19</v>
      </c>
      <c r="F1109" s="5">
        <v>120</v>
      </c>
      <c r="G1109" s="7"/>
    </row>
    <row r="1110" spans="1:7" ht="27.75" customHeight="1">
      <c r="A1110" s="5">
        <v>1108</v>
      </c>
      <c r="B1110" s="6" t="str">
        <f>"李秀布"</f>
        <v>李秀布</v>
      </c>
      <c r="C1110" s="6" t="str">
        <f>"230702104716"</f>
        <v>230702104716</v>
      </c>
      <c r="D1110" s="5" t="s">
        <v>22</v>
      </c>
      <c r="E1110" s="5" t="s">
        <v>19</v>
      </c>
      <c r="F1110" s="5">
        <v>121</v>
      </c>
      <c r="G1110" s="7"/>
    </row>
    <row r="1111" spans="1:7" ht="27.75" customHeight="1">
      <c r="A1111" s="5">
        <v>1109</v>
      </c>
      <c r="B1111" s="6" t="str">
        <f>"卢薇"</f>
        <v>卢薇</v>
      </c>
      <c r="C1111" s="6" t="str">
        <f>"230702104909"</f>
        <v>230702104909</v>
      </c>
      <c r="D1111" s="5" t="s">
        <v>22</v>
      </c>
      <c r="E1111" s="5" t="s">
        <v>19</v>
      </c>
      <c r="F1111" s="5">
        <v>122</v>
      </c>
      <c r="G1111" s="7"/>
    </row>
    <row r="1112" spans="1:7" ht="27.75" customHeight="1">
      <c r="A1112" s="5">
        <v>1110</v>
      </c>
      <c r="B1112" s="6" t="str">
        <f>"刘仪"</f>
        <v>刘仪</v>
      </c>
      <c r="C1112" s="6" t="str">
        <f>"230702105522"</f>
        <v>230702105522</v>
      </c>
      <c r="D1112" s="5" t="s">
        <v>22</v>
      </c>
      <c r="E1112" s="5" t="s">
        <v>19</v>
      </c>
      <c r="F1112" s="5">
        <v>123</v>
      </c>
      <c r="G1112" s="7"/>
    </row>
    <row r="1113" spans="1:7" ht="27.75" customHeight="1">
      <c r="A1113" s="5">
        <v>1111</v>
      </c>
      <c r="B1113" s="6" t="str">
        <f>"张玉玲"</f>
        <v>张玉玲</v>
      </c>
      <c r="C1113" s="6" t="str">
        <f>"230702104123"</f>
        <v>230702104123</v>
      </c>
      <c r="D1113" s="5" t="s">
        <v>22</v>
      </c>
      <c r="E1113" s="5" t="s">
        <v>19</v>
      </c>
      <c r="F1113" s="5">
        <v>124</v>
      </c>
      <c r="G1113" s="7"/>
    </row>
    <row r="1114" spans="1:7" ht="27.75" customHeight="1">
      <c r="A1114" s="5">
        <v>1112</v>
      </c>
      <c r="B1114" s="6" t="str">
        <f>"符小娇"</f>
        <v>符小娇</v>
      </c>
      <c r="C1114" s="6" t="str">
        <f>"230702104302"</f>
        <v>230702104302</v>
      </c>
      <c r="D1114" s="5" t="s">
        <v>22</v>
      </c>
      <c r="E1114" s="5" t="s">
        <v>19</v>
      </c>
      <c r="F1114" s="5">
        <v>125</v>
      </c>
      <c r="G1114" s="7"/>
    </row>
    <row r="1115" spans="1:7" ht="27.75" customHeight="1">
      <c r="A1115" s="5">
        <v>1113</v>
      </c>
      <c r="B1115" s="6" t="str">
        <f>"甘小峥"</f>
        <v>甘小峥</v>
      </c>
      <c r="C1115" s="6" t="str">
        <f>"230702104629"</f>
        <v>230702104629</v>
      </c>
      <c r="D1115" s="5" t="s">
        <v>22</v>
      </c>
      <c r="E1115" s="5" t="s">
        <v>19</v>
      </c>
      <c r="F1115" s="5">
        <v>126</v>
      </c>
      <c r="G1115" s="7"/>
    </row>
    <row r="1116" spans="1:7" ht="27.75" customHeight="1">
      <c r="A1116" s="5">
        <v>1114</v>
      </c>
      <c r="B1116" s="6" t="str">
        <f>"郑元寅"</f>
        <v>郑元寅</v>
      </c>
      <c r="C1116" s="6" t="str">
        <f>"230702104801"</f>
        <v>230702104801</v>
      </c>
      <c r="D1116" s="5" t="s">
        <v>22</v>
      </c>
      <c r="E1116" s="5" t="s">
        <v>19</v>
      </c>
      <c r="F1116" s="5">
        <v>127</v>
      </c>
      <c r="G1116" s="7"/>
    </row>
    <row r="1117" spans="1:7" ht="27.75" customHeight="1">
      <c r="A1117" s="5">
        <v>1115</v>
      </c>
      <c r="B1117" s="6" t="str">
        <f>"叶咪咪"</f>
        <v>叶咪咪</v>
      </c>
      <c r="C1117" s="6" t="str">
        <f>"230702105221"</f>
        <v>230702105221</v>
      </c>
      <c r="D1117" s="5" t="s">
        <v>22</v>
      </c>
      <c r="E1117" s="5" t="s">
        <v>19</v>
      </c>
      <c r="F1117" s="5">
        <v>128</v>
      </c>
      <c r="G1117" s="7"/>
    </row>
    <row r="1118" spans="1:7" ht="27.75" customHeight="1">
      <c r="A1118" s="5">
        <v>1116</v>
      </c>
      <c r="B1118" s="6" t="str">
        <f>"黄晨"</f>
        <v>黄晨</v>
      </c>
      <c r="C1118" s="6" t="str">
        <f>"230702103603"</f>
        <v>230702103603</v>
      </c>
      <c r="D1118" s="5" t="s">
        <v>22</v>
      </c>
      <c r="E1118" s="5" t="s">
        <v>19</v>
      </c>
      <c r="F1118" s="5">
        <v>129</v>
      </c>
      <c r="G1118" s="7"/>
    </row>
    <row r="1119" spans="1:7" ht="27.75" customHeight="1">
      <c r="A1119" s="5">
        <v>1117</v>
      </c>
      <c r="B1119" s="6" t="str">
        <f>"王美金"</f>
        <v>王美金</v>
      </c>
      <c r="C1119" s="6" t="str">
        <f>"230702104120"</f>
        <v>230702104120</v>
      </c>
      <c r="D1119" s="5" t="s">
        <v>22</v>
      </c>
      <c r="E1119" s="5" t="s">
        <v>19</v>
      </c>
      <c r="F1119" s="5">
        <v>130</v>
      </c>
      <c r="G1119" s="7"/>
    </row>
    <row r="1120" spans="1:7" ht="27.75" customHeight="1">
      <c r="A1120" s="5">
        <v>1118</v>
      </c>
      <c r="B1120" s="6" t="str">
        <f>"徐嘉嘉"</f>
        <v>徐嘉嘉</v>
      </c>
      <c r="C1120" s="6" t="str">
        <f>"230702104306"</f>
        <v>230702104306</v>
      </c>
      <c r="D1120" s="5" t="s">
        <v>22</v>
      </c>
      <c r="E1120" s="5" t="s">
        <v>19</v>
      </c>
      <c r="F1120" s="5">
        <v>131</v>
      </c>
      <c r="G1120" s="7"/>
    </row>
    <row r="1121" spans="1:7" ht="27.75" customHeight="1">
      <c r="A1121" s="5">
        <v>1119</v>
      </c>
      <c r="B1121" s="6" t="str">
        <f>"张子贞"</f>
        <v>张子贞</v>
      </c>
      <c r="C1121" s="6" t="str">
        <f>"230702104712"</f>
        <v>230702104712</v>
      </c>
      <c r="D1121" s="5" t="s">
        <v>22</v>
      </c>
      <c r="E1121" s="5" t="s">
        <v>19</v>
      </c>
      <c r="F1121" s="5">
        <v>132</v>
      </c>
      <c r="G1121" s="7"/>
    </row>
    <row r="1122" spans="1:7" ht="27.75" customHeight="1">
      <c r="A1122" s="5">
        <v>1120</v>
      </c>
      <c r="B1122" s="6" t="str">
        <f>"符冠妃"</f>
        <v>符冠妃</v>
      </c>
      <c r="C1122" s="6" t="str">
        <f>"230702104730"</f>
        <v>230702104730</v>
      </c>
      <c r="D1122" s="5" t="s">
        <v>22</v>
      </c>
      <c r="E1122" s="5" t="s">
        <v>19</v>
      </c>
      <c r="F1122" s="5">
        <v>133</v>
      </c>
      <c r="G1122" s="7"/>
    </row>
    <row r="1123" spans="1:7" ht="27.75" customHeight="1">
      <c r="A1123" s="5">
        <v>1121</v>
      </c>
      <c r="B1123" s="6" t="str">
        <f>"时瑶"</f>
        <v>时瑶</v>
      </c>
      <c r="C1123" s="6" t="str">
        <f>"230702105128"</f>
        <v>230702105128</v>
      </c>
      <c r="D1123" s="5" t="s">
        <v>22</v>
      </c>
      <c r="E1123" s="5" t="s">
        <v>19</v>
      </c>
      <c r="F1123" s="5">
        <v>134</v>
      </c>
      <c r="G1123" s="7"/>
    </row>
    <row r="1124" spans="1:7" ht="27.75" customHeight="1">
      <c r="A1124" s="5">
        <v>1122</v>
      </c>
      <c r="B1124" s="6" t="str">
        <f>"符倩倩"</f>
        <v>符倩倩</v>
      </c>
      <c r="C1124" s="6" t="str">
        <f>"230702105307"</f>
        <v>230702105307</v>
      </c>
      <c r="D1124" s="5" t="s">
        <v>22</v>
      </c>
      <c r="E1124" s="5" t="s">
        <v>19</v>
      </c>
      <c r="F1124" s="5">
        <v>135</v>
      </c>
      <c r="G1124" s="7"/>
    </row>
    <row r="1125" spans="1:7" ht="27.75" customHeight="1">
      <c r="A1125" s="5">
        <v>1123</v>
      </c>
      <c r="B1125" s="6" t="str">
        <f>"曾霞"</f>
        <v>曾霞</v>
      </c>
      <c r="C1125" s="6" t="str">
        <f>"230702103707"</f>
        <v>230702103707</v>
      </c>
      <c r="D1125" s="5" t="s">
        <v>22</v>
      </c>
      <c r="E1125" s="5" t="s">
        <v>19</v>
      </c>
      <c r="F1125" s="5">
        <v>136</v>
      </c>
      <c r="G1125" s="7"/>
    </row>
    <row r="1126" spans="1:7" ht="27.75" customHeight="1">
      <c r="A1126" s="5">
        <v>1124</v>
      </c>
      <c r="B1126" s="6" t="str">
        <f>"张秀真"</f>
        <v>张秀真</v>
      </c>
      <c r="C1126" s="6" t="str">
        <f>"230702103712"</f>
        <v>230702103712</v>
      </c>
      <c r="D1126" s="5" t="s">
        <v>22</v>
      </c>
      <c r="E1126" s="5" t="s">
        <v>19</v>
      </c>
      <c r="F1126" s="5">
        <v>137</v>
      </c>
      <c r="G1126" s="7"/>
    </row>
    <row r="1127" spans="1:7" ht="27.75" customHeight="1">
      <c r="A1127" s="5">
        <v>1125</v>
      </c>
      <c r="B1127" s="6" t="str">
        <f>"刘雪芳"</f>
        <v>刘雪芳</v>
      </c>
      <c r="C1127" s="6" t="str">
        <f>"230702104029"</f>
        <v>230702104029</v>
      </c>
      <c r="D1127" s="5" t="s">
        <v>22</v>
      </c>
      <c r="E1127" s="5" t="s">
        <v>19</v>
      </c>
      <c r="F1127" s="5">
        <v>138</v>
      </c>
      <c r="G1127" s="7"/>
    </row>
    <row r="1128" spans="1:7" ht="27.75" customHeight="1">
      <c r="A1128" s="5">
        <v>1126</v>
      </c>
      <c r="B1128" s="6" t="str">
        <f>"王淑祯"</f>
        <v>王淑祯</v>
      </c>
      <c r="C1128" s="6" t="str">
        <f>"230702104413"</f>
        <v>230702104413</v>
      </c>
      <c r="D1128" s="5" t="s">
        <v>22</v>
      </c>
      <c r="E1128" s="5" t="s">
        <v>19</v>
      </c>
      <c r="F1128" s="5">
        <v>139</v>
      </c>
      <c r="G1128" s="7"/>
    </row>
    <row r="1129" spans="1:7" ht="27.75" customHeight="1">
      <c r="A1129" s="5">
        <v>1127</v>
      </c>
      <c r="B1129" s="6" t="str">
        <f>"裴文醒"</f>
        <v>裴文醒</v>
      </c>
      <c r="C1129" s="6" t="str">
        <f>"230702104710"</f>
        <v>230702104710</v>
      </c>
      <c r="D1129" s="5" t="s">
        <v>22</v>
      </c>
      <c r="E1129" s="5" t="s">
        <v>19</v>
      </c>
      <c r="F1129" s="5">
        <v>140</v>
      </c>
      <c r="G1129" s="7"/>
    </row>
    <row r="1130" spans="1:7" ht="27.75" customHeight="1">
      <c r="A1130" s="5">
        <v>1128</v>
      </c>
      <c r="B1130" s="6" t="str">
        <f>"李燕"</f>
        <v>李燕</v>
      </c>
      <c r="C1130" s="6" t="str">
        <f>"230702104715"</f>
        <v>230702104715</v>
      </c>
      <c r="D1130" s="5" t="s">
        <v>22</v>
      </c>
      <c r="E1130" s="5" t="s">
        <v>19</v>
      </c>
      <c r="F1130" s="5">
        <v>141</v>
      </c>
      <c r="G1130" s="7"/>
    </row>
    <row r="1131" spans="1:7" ht="27.75" customHeight="1">
      <c r="A1131" s="5">
        <v>1129</v>
      </c>
      <c r="B1131" s="6" t="str">
        <f>"黄秋蝶"</f>
        <v>黄秋蝶</v>
      </c>
      <c r="C1131" s="6" t="str">
        <f>"230702105310"</f>
        <v>230702105310</v>
      </c>
      <c r="D1131" s="5" t="s">
        <v>22</v>
      </c>
      <c r="E1131" s="5" t="s">
        <v>19</v>
      </c>
      <c r="F1131" s="5">
        <v>142</v>
      </c>
      <c r="G1131" s="7"/>
    </row>
    <row r="1132" spans="1:7" ht="27.75" customHeight="1">
      <c r="A1132" s="5">
        <v>1130</v>
      </c>
      <c r="B1132" s="6" t="str">
        <f>"符吉芳"</f>
        <v>符吉芳</v>
      </c>
      <c r="C1132" s="6" t="str">
        <f>"230702105410"</f>
        <v>230702105410</v>
      </c>
      <c r="D1132" s="5" t="s">
        <v>22</v>
      </c>
      <c r="E1132" s="5" t="s">
        <v>19</v>
      </c>
      <c r="F1132" s="5">
        <v>143</v>
      </c>
      <c r="G1132" s="7"/>
    </row>
    <row r="1133" spans="1:7" ht="27.75" customHeight="1">
      <c r="A1133" s="5">
        <v>1131</v>
      </c>
      <c r="B1133" s="6" t="str">
        <f>"何小琴"</f>
        <v>何小琴</v>
      </c>
      <c r="C1133" s="6" t="str">
        <f>"230702103616"</f>
        <v>230702103616</v>
      </c>
      <c r="D1133" s="5" t="s">
        <v>22</v>
      </c>
      <c r="E1133" s="5" t="s">
        <v>19</v>
      </c>
      <c r="F1133" s="5">
        <v>144</v>
      </c>
      <c r="G1133" s="7"/>
    </row>
    <row r="1134" spans="1:7" ht="27.75" customHeight="1">
      <c r="A1134" s="5">
        <v>1132</v>
      </c>
      <c r="B1134" s="6" t="str">
        <f>"黄琼娇"</f>
        <v>黄琼娇</v>
      </c>
      <c r="C1134" s="6" t="str">
        <f>"230702103805"</f>
        <v>230702103805</v>
      </c>
      <c r="D1134" s="5" t="s">
        <v>22</v>
      </c>
      <c r="E1134" s="5" t="s">
        <v>19</v>
      </c>
      <c r="F1134" s="5">
        <v>145</v>
      </c>
      <c r="G1134" s="7"/>
    </row>
    <row r="1135" spans="1:7" ht="27.75" customHeight="1">
      <c r="A1135" s="5">
        <v>1133</v>
      </c>
      <c r="B1135" s="6" t="str">
        <f>"唐凤英"</f>
        <v>唐凤英</v>
      </c>
      <c r="C1135" s="6" t="str">
        <f>"230702103901"</f>
        <v>230702103901</v>
      </c>
      <c r="D1135" s="5" t="s">
        <v>22</v>
      </c>
      <c r="E1135" s="5" t="s">
        <v>19</v>
      </c>
      <c r="F1135" s="5">
        <v>146</v>
      </c>
      <c r="G1135" s="7"/>
    </row>
    <row r="1136" spans="1:7" ht="27.75" customHeight="1">
      <c r="A1136" s="5">
        <v>1134</v>
      </c>
      <c r="B1136" s="6" t="str">
        <f>"莫新坚"</f>
        <v>莫新坚</v>
      </c>
      <c r="C1136" s="6" t="str">
        <f>"230702104002"</f>
        <v>230702104002</v>
      </c>
      <c r="D1136" s="5" t="s">
        <v>22</v>
      </c>
      <c r="E1136" s="5" t="s">
        <v>19</v>
      </c>
      <c r="F1136" s="5">
        <v>147</v>
      </c>
      <c r="G1136" s="7"/>
    </row>
    <row r="1137" spans="1:7" ht="27.75" customHeight="1">
      <c r="A1137" s="5">
        <v>1135</v>
      </c>
      <c r="B1137" s="6" t="str">
        <f>"符煜晗"</f>
        <v>符煜晗</v>
      </c>
      <c r="C1137" s="6" t="str">
        <f>"230702104325"</f>
        <v>230702104325</v>
      </c>
      <c r="D1137" s="5" t="s">
        <v>22</v>
      </c>
      <c r="E1137" s="5" t="s">
        <v>19</v>
      </c>
      <c r="F1137" s="5">
        <v>148</v>
      </c>
      <c r="G1137" s="7"/>
    </row>
    <row r="1138" spans="1:7" ht="27.75" customHeight="1">
      <c r="A1138" s="5">
        <v>1136</v>
      </c>
      <c r="B1138" s="6" t="str">
        <f>"王宝芯"</f>
        <v>王宝芯</v>
      </c>
      <c r="C1138" s="6" t="str">
        <f>"230702104419"</f>
        <v>230702104419</v>
      </c>
      <c r="D1138" s="5" t="s">
        <v>22</v>
      </c>
      <c r="E1138" s="5" t="s">
        <v>19</v>
      </c>
      <c r="F1138" s="5">
        <v>149</v>
      </c>
      <c r="G1138" s="7"/>
    </row>
    <row r="1139" spans="1:7" ht="27.75" customHeight="1">
      <c r="A1139" s="5">
        <v>1137</v>
      </c>
      <c r="B1139" s="6" t="str">
        <f>"刘玉菲"</f>
        <v>刘玉菲</v>
      </c>
      <c r="C1139" s="6" t="str">
        <f>"230702105229"</f>
        <v>230702105229</v>
      </c>
      <c r="D1139" s="5" t="s">
        <v>22</v>
      </c>
      <c r="E1139" s="5" t="s">
        <v>19</v>
      </c>
      <c r="F1139" s="5">
        <v>150</v>
      </c>
      <c r="G1139" s="7"/>
    </row>
    <row r="1140" spans="1:7" ht="27.75" customHeight="1">
      <c r="A1140" s="5">
        <v>1138</v>
      </c>
      <c r="B1140" s="6" t="str">
        <f>"符菊真"</f>
        <v>符菊真</v>
      </c>
      <c r="C1140" s="6" t="str">
        <f>"230702105528"</f>
        <v>230702105528</v>
      </c>
      <c r="D1140" s="5" t="s">
        <v>22</v>
      </c>
      <c r="E1140" s="5" t="s">
        <v>19</v>
      </c>
      <c r="F1140" s="5">
        <v>151</v>
      </c>
      <c r="G1140" s="7"/>
    </row>
    <row r="1141" spans="1:7" ht="27.75" customHeight="1">
      <c r="A1141" s="5">
        <v>1139</v>
      </c>
      <c r="B1141" s="6" t="str">
        <f>"刘子堰"</f>
        <v>刘子堰</v>
      </c>
      <c r="C1141" s="6" t="str">
        <f>"230702103813"</f>
        <v>230702103813</v>
      </c>
      <c r="D1141" s="5" t="s">
        <v>22</v>
      </c>
      <c r="E1141" s="5" t="s">
        <v>19</v>
      </c>
      <c r="F1141" s="5">
        <v>152</v>
      </c>
      <c r="G1141" s="7"/>
    </row>
    <row r="1142" spans="1:7" ht="27.75" customHeight="1">
      <c r="A1142" s="5">
        <v>1140</v>
      </c>
      <c r="B1142" s="6" t="str">
        <f>"陈良妹"</f>
        <v>陈良妹</v>
      </c>
      <c r="C1142" s="6" t="str">
        <f>"230702104015"</f>
        <v>230702104015</v>
      </c>
      <c r="D1142" s="5" t="s">
        <v>22</v>
      </c>
      <c r="E1142" s="5" t="s">
        <v>19</v>
      </c>
      <c r="F1142" s="5">
        <v>153</v>
      </c>
      <c r="G1142" s="7"/>
    </row>
    <row r="1143" spans="1:7" ht="27.75" customHeight="1">
      <c r="A1143" s="5">
        <v>1141</v>
      </c>
      <c r="B1143" s="6" t="str">
        <f>"吴文蕊"</f>
        <v>吴文蕊</v>
      </c>
      <c r="C1143" s="6" t="str">
        <f>"230702104410"</f>
        <v>230702104410</v>
      </c>
      <c r="D1143" s="5" t="s">
        <v>22</v>
      </c>
      <c r="E1143" s="5" t="s">
        <v>19</v>
      </c>
      <c r="F1143" s="5">
        <v>154</v>
      </c>
      <c r="G1143" s="7"/>
    </row>
    <row r="1144" spans="1:7" ht="27.75" customHeight="1">
      <c r="A1144" s="5">
        <v>1142</v>
      </c>
      <c r="B1144" s="6" t="str">
        <f>"麦苗菁"</f>
        <v>麦苗菁</v>
      </c>
      <c r="C1144" s="6" t="str">
        <f>"230702104620"</f>
        <v>230702104620</v>
      </c>
      <c r="D1144" s="5" t="s">
        <v>22</v>
      </c>
      <c r="E1144" s="5" t="s">
        <v>19</v>
      </c>
      <c r="F1144" s="5">
        <v>155</v>
      </c>
      <c r="G1144" s="7"/>
    </row>
    <row r="1145" spans="1:7" ht="27.75" customHeight="1">
      <c r="A1145" s="5">
        <v>1143</v>
      </c>
      <c r="B1145" s="6" t="str">
        <f>"周毓欣"</f>
        <v>周毓欣</v>
      </c>
      <c r="C1145" s="6" t="str">
        <f>"230702105321"</f>
        <v>230702105321</v>
      </c>
      <c r="D1145" s="5" t="s">
        <v>22</v>
      </c>
      <c r="E1145" s="5" t="s">
        <v>19</v>
      </c>
      <c r="F1145" s="5">
        <v>156</v>
      </c>
      <c r="G1145" s="7"/>
    </row>
    <row r="1146" spans="1:7" ht="27.75" customHeight="1">
      <c r="A1146" s="5">
        <v>1144</v>
      </c>
      <c r="B1146" s="6" t="str">
        <f>"王晶晶"</f>
        <v>王晶晶</v>
      </c>
      <c r="C1146" s="6" t="str">
        <f>"230702105510"</f>
        <v>230702105510</v>
      </c>
      <c r="D1146" s="5" t="s">
        <v>22</v>
      </c>
      <c r="E1146" s="5" t="s">
        <v>19</v>
      </c>
      <c r="F1146" s="5">
        <v>157</v>
      </c>
      <c r="G1146" s="7"/>
    </row>
    <row r="1147" spans="1:7" ht="27.75" customHeight="1">
      <c r="A1147" s="5">
        <v>1145</v>
      </c>
      <c r="B1147" s="6" t="str">
        <f>"刘星余"</f>
        <v>刘星余</v>
      </c>
      <c r="C1147" s="6" t="str">
        <f>"230702103609"</f>
        <v>230702103609</v>
      </c>
      <c r="D1147" s="5" t="s">
        <v>22</v>
      </c>
      <c r="E1147" s="5" t="s">
        <v>19</v>
      </c>
      <c r="F1147" s="5">
        <v>158</v>
      </c>
      <c r="G1147" s="7"/>
    </row>
    <row r="1148" spans="1:7" ht="27.75" customHeight="1">
      <c r="A1148" s="5">
        <v>1146</v>
      </c>
      <c r="B1148" s="6" t="str">
        <f>"许芝宁"</f>
        <v>许芝宁</v>
      </c>
      <c r="C1148" s="6" t="str">
        <f>"230702103822"</f>
        <v>230702103822</v>
      </c>
      <c r="D1148" s="5" t="s">
        <v>22</v>
      </c>
      <c r="E1148" s="5" t="s">
        <v>19</v>
      </c>
      <c r="F1148" s="5">
        <v>159</v>
      </c>
      <c r="G1148" s="7"/>
    </row>
    <row r="1149" spans="1:7" ht="27.75" customHeight="1">
      <c r="A1149" s="5">
        <v>1147</v>
      </c>
      <c r="B1149" s="6" t="str">
        <f>"刘凯佳"</f>
        <v>刘凯佳</v>
      </c>
      <c r="C1149" s="6" t="str">
        <f>"230702103826"</f>
        <v>230702103826</v>
      </c>
      <c r="D1149" s="5" t="s">
        <v>22</v>
      </c>
      <c r="E1149" s="5" t="s">
        <v>19</v>
      </c>
      <c r="F1149" s="5">
        <v>160</v>
      </c>
      <c r="G1149" s="7"/>
    </row>
    <row r="1150" spans="1:7" ht="27.75" customHeight="1">
      <c r="A1150" s="5">
        <v>1148</v>
      </c>
      <c r="B1150" s="6" t="str">
        <f>"林政云"</f>
        <v>林政云</v>
      </c>
      <c r="C1150" s="6" t="str">
        <f>"230702103830"</f>
        <v>230702103830</v>
      </c>
      <c r="D1150" s="5" t="s">
        <v>22</v>
      </c>
      <c r="E1150" s="5" t="s">
        <v>19</v>
      </c>
      <c r="F1150" s="5">
        <v>161</v>
      </c>
      <c r="G1150" s="7"/>
    </row>
    <row r="1151" spans="1:7" ht="27.75" customHeight="1">
      <c r="A1151" s="5">
        <v>1149</v>
      </c>
      <c r="B1151" s="6" t="str">
        <f>"王光钰"</f>
        <v>王光钰</v>
      </c>
      <c r="C1151" s="6" t="str">
        <f>"230702103920"</f>
        <v>230702103920</v>
      </c>
      <c r="D1151" s="5" t="s">
        <v>22</v>
      </c>
      <c r="E1151" s="5" t="s">
        <v>19</v>
      </c>
      <c r="F1151" s="5">
        <v>162</v>
      </c>
      <c r="G1151" s="7"/>
    </row>
    <row r="1152" spans="1:7" ht="27.75" customHeight="1">
      <c r="A1152" s="5">
        <v>1150</v>
      </c>
      <c r="B1152" s="6" t="str">
        <f>"李成凤"</f>
        <v>李成凤</v>
      </c>
      <c r="C1152" s="6" t="str">
        <f>"230702104116"</f>
        <v>230702104116</v>
      </c>
      <c r="D1152" s="5" t="s">
        <v>22</v>
      </c>
      <c r="E1152" s="5" t="s">
        <v>19</v>
      </c>
      <c r="F1152" s="5">
        <v>163</v>
      </c>
      <c r="G1152" s="7"/>
    </row>
    <row r="1153" spans="1:7" ht="27.75" customHeight="1">
      <c r="A1153" s="5">
        <v>1151</v>
      </c>
      <c r="B1153" s="6" t="str">
        <f>"韩旭"</f>
        <v>韩旭</v>
      </c>
      <c r="C1153" s="6" t="str">
        <f>"230702104225"</f>
        <v>230702104225</v>
      </c>
      <c r="D1153" s="5" t="s">
        <v>22</v>
      </c>
      <c r="E1153" s="5" t="s">
        <v>19</v>
      </c>
      <c r="F1153" s="5">
        <v>164</v>
      </c>
      <c r="G1153" s="7"/>
    </row>
    <row r="1154" spans="1:7" ht="27.75" customHeight="1">
      <c r="A1154" s="5">
        <v>1152</v>
      </c>
      <c r="B1154" s="6" t="str">
        <f>"陈文君"</f>
        <v>陈文君</v>
      </c>
      <c r="C1154" s="6" t="str">
        <f>"230702104612"</f>
        <v>230702104612</v>
      </c>
      <c r="D1154" s="5" t="s">
        <v>22</v>
      </c>
      <c r="E1154" s="5" t="s">
        <v>19</v>
      </c>
      <c r="F1154" s="5">
        <v>165</v>
      </c>
      <c r="G1154" s="7"/>
    </row>
    <row r="1155" spans="1:7" ht="27.75" customHeight="1">
      <c r="A1155" s="5">
        <v>1153</v>
      </c>
      <c r="B1155" s="6" t="str">
        <f>"邢芳芳"</f>
        <v>邢芳芳</v>
      </c>
      <c r="C1155" s="6" t="str">
        <f>"230702104814"</f>
        <v>230702104814</v>
      </c>
      <c r="D1155" s="5" t="s">
        <v>22</v>
      </c>
      <c r="E1155" s="5" t="s">
        <v>19</v>
      </c>
      <c r="F1155" s="5">
        <v>166</v>
      </c>
      <c r="G1155" s="7"/>
    </row>
    <row r="1156" spans="1:7" ht="27.75" customHeight="1">
      <c r="A1156" s="5">
        <v>1154</v>
      </c>
      <c r="B1156" s="6" t="str">
        <f>"郑奕颖"</f>
        <v>郑奕颖</v>
      </c>
      <c r="C1156" s="6" t="str">
        <f>"230702105519"</f>
        <v>230702105519</v>
      </c>
      <c r="D1156" s="5" t="s">
        <v>22</v>
      </c>
      <c r="E1156" s="5" t="s">
        <v>19</v>
      </c>
      <c r="F1156" s="5">
        <v>167</v>
      </c>
      <c r="G1156" s="7"/>
    </row>
    <row r="1157" spans="1:7" ht="27.75" customHeight="1">
      <c r="A1157" s="5">
        <v>1155</v>
      </c>
      <c r="B1157" s="6" t="str">
        <f>"王语"</f>
        <v>王语</v>
      </c>
      <c r="C1157" s="6" t="str">
        <f>"230702104227"</f>
        <v>230702104227</v>
      </c>
      <c r="D1157" s="5" t="s">
        <v>22</v>
      </c>
      <c r="E1157" s="5" t="s">
        <v>19</v>
      </c>
      <c r="F1157" s="5">
        <v>168</v>
      </c>
      <c r="G1157" s="7"/>
    </row>
    <row r="1158" spans="1:7" ht="27.75" customHeight="1">
      <c r="A1158" s="5">
        <v>1156</v>
      </c>
      <c r="B1158" s="6" t="str">
        <f>"唐春河"</f>
        <v>唐春河</v>
      </c>
      <c r="C1158" s="6" t="str">
        <f>"230702104421"</f>
        <v>230702104421</v>
      </c>
      <c r="D1158" s="5" t="s">
        <v>22</v>
      </c>
      <c r="E1158" s="5" t="s">
        <v>19</v>
      </c>
      <c r="F1158" s="5">
        <v>169</v>
      </c>
      <c r="G1158" s="7"/>
    </row>
    <row r="1159" spans="1:7" ht="27.75" customHeight="1">
      <c r="A1159" s="5">
        <v>1157</v>
      </c>
      <c r="B1159" s="6" t="str">
        <f>"许勤"</f>
        <v>许勤</v>
      </c>
      <c r="C1159" s="6" t="str">
        <f>"230702104519"</f>
        <v>230702104519</v>
      </c>
      <c r="D1159" s="5" t="s">
        <v>22</v>
      </c>
      <c r="E1159" s="5" t="s">
        <v>12</v>
      </c>
      <c r="F1159" s="5">
        <v>170</v>
      </c>
      <c r="G1159" s="7"/>
    </row>
    <row r="1160" spans="1:7" ht="27.75" customHeight="1">
      <c r="A1160" s="5">
        <v>1158</v>
      </c>
      <c r="B1160" s="6" t="str">
        <f>"张小丽"</f>
        <v>张小丽</v>
      </c>
      <c r="C1160" s="6" t="str">
        <f>"230702104825"</f>
        <v>230702104825</v>
      </c>
      <c r="D1160" s="5" t="s">
        <v>22</v>
      </c>
      <c r="E1160" s="5" t="s">
        <v>12</v>
      </c>
      <c r="F1160" s="5">
        <v>171</v>
      </c>
      <c r="G1160" s="7"/>
    </row>
    <row r="1161" spans="1:7" ht="27.75" customHeight="1">
      <c r="A1161" s="5">
        <v>1159</v>
      </c>
      <c r="B1161" s="6" t="str">
        <f>"叶启妹"</f>
        <v>叶启妹</v>
      </c>
      <c r="C1161" s="6" t="str">
        <f>"230702105312"</f>
        <v>230702105312</v>
      </c>
      <c r="D1161" s="5" t="s">
        <v>22</v>
      </c>
      <c r="E1161" s="5" t="s">
        <v>12</v>
      </c>
      <c r="F1161" s="5">
        <v>172</v>
      </c>
      <c r="G1161" s="7"/>
    </row>
    <row r="1162" spans="1:7" ht="27.75" customHeight="1">
      <c r="A1162" s="5">
        <v>1160</v>
      </c>
      <c r="B1162" s="6" t="str">
        <f>"王晶"</f>
        <v>王晶</v>
      </c>
      <c r="C1162" s="6" t="str">
        <f>"230702105422"</f>
        <v>230702105422</v>
      </c>
      <c r="D1162" s="5" t="s">
        <v>22</v>
      </c>
      <c r="E1162" s="5" t="s">
        <v>12</v>
      </c>
      <c r="F1162" s="5">
        <v>173</v>
      </c>
      <c r="G1162" s="7"/>
    </row>
    <row r="1163" spans="1:7" ht="27.75" customHeight="1">
      <c r="A1163" s="5">
        <v>1161</v>
      </c>
      <c r="B1163" s="6" t="str">
        <f>"吴淑柳"</f>
        <v>吴淑柳</v>
      </c>
      <c r="C1163" s="6" t="str">
        <f>"230702105513"</f>
        <v>230702105513</v>
      </c>
      <c r="D1163" s="5" t="s">
        <v>22</v>
      </c>
      <c r="E1163" s="5" t="s">
        <v>12</v>
      </c>
      <c r="F1163" s="5">
        <v>174</v>
      </c>
      <c r="G1163" s="7"/>
    </row>
    <row r="1164" spans="1:7" ht="27.75" customHeight="1">
      <c r="A1164" s="5">
        <v>1162</v>
      </c>
      <c r="B1164" s="6" t="str">
        <f>"刘永妹"</f>
        <v>刘永妹</v>
      </c>
      <c r="C1164" s="6" t="str">
        <f>"230702103626"</f>
        <v>230702103626</v>
      </c>
      <c r="D1164" s="5" t="s">
        <v>22</v>
      </c>
      <c r="E1164" s="5" t="s">
        <v>12</v>
      </c>
      <c r="F1164" s="5">
        <v>175</v>
      </c>
      <c r="G1164" s="7"/>
    </row>
    <row r="1165" spans="1:7" ht="27.75" customHeight="1">
      <c r="A1165" s="5">
        <v>1163</v>
      </c>
      <c r="B1165" s="6" t="str">
        <f>"张喜"</f>
        <v>张喜</v>
      </c>
      <c r="C1165" s="6" t="str">
        <f>"230702103717"</f>
        <v>230702103717</v>
      </c>
      <c r="D1165" s="5" t="s">
        <v>22</v>
      </c>
      <c r="E1165" s="5" t="s">
        <v>12</v>
      </c>
      <c r="F1165" s="5">
        <v>176</v>
      </c>
      <c r="G1165" s="7"/>
    </row>
    <row r="1166" spans="1:7" ht="27.75" customHeight="1">
      <c r="A1166" s="5">
        <v>1164</v>
      </c>
      <c r="B1166" s="6" t="str">
        <f>"郑雯"</f>
        <v>郑雯</v>
      </c>
      <c r="C1166" s="6" t="str">
        <f>"230702103906"</f>
        <v>230702103906</v>
      </c>
      <c r="D1166" s="5" t="s">
        <v>22</v>
      </c>
      <c r="E1166" s="5" t="s">
        <v>12</v>
      </c>
      <c r="F1166" s="5">
        <v>177</v>
      </c>
      <c r="G1166" s="7"/>
    </row>
    <row r="1167" spans="1:7" ht="27.75" customHeight="1">
      <c r="A1167" s="5">
        <v>1165</v>
      </c>
      <c r="B1167" s="6" t="str">
        <f>"黄亚妹"</f>
        <v>黄亚妹</v>
      </c>
      <c r="C1167" s="6" t="str">
        <f>"230702103912"</f>
        <v>230702103912</v>
      </c>
      <c r="D1167" s="5" t="s">
        <v>22</v>
      </c>
      <c r="E1167" s="5" t="s">
        <v>12</v>
      </c>
      <c r="F1167" s="5">
        <v>178</v>
      </c>
      <c r="G1167" s="7"/>
    </row>
    <row r="1168" spans="1:7" ht="27.75" customHeight="1">
      <c r="A1168" s="5">
        <v>1166</v>
      </c>
      <c r="B1168" s="6" t="str">
        <f>"彭倩"</f>
        <v>彭倩</v>
      </c>
      <c r="C1168" s="6" t="str">
        <f>"230702104014"</f>
        <v>230702104014</v>
      </c>
      <c r="D1168" s="5" t="s">
        <v>22</v>
      </c>
      <c r="E1168" s="5" t="s">
        <v>12</v>
      </c>
      <c r="F1168" s="5">
        <v>179</v>
      </c>
      <c r="G1168" s="7"/>
    </row>
    <row r="1169" spans="1:7" ht="27.75" customHeight="1">
      <c r="A1169" s="5">
        <v>1167</v>
      </c>
      <c r="B1169" s="6" t="str">
        <f>"刘双双"</f>
        <v>刘双双</v>
      </c>
      <c r="C1169" s="6" t="str">
        <f>"230702104024"</f>
        <v>230702104024</v>
      </c>
      <c r="D1169" s="5" t="s">
        <v>22</v>
      </c>
      <c r="E1169" s="5" t="s">
        <v>12</v>
      </c>
      <c r="F1169" s="5">
        <v>180</v>
      </c>
      <c r="G1169" s="7"/>
    </row>
    <row r="1170" spans="1:7" ht="27.75" customHeight="1">
      <c r="A1170" s="5">
        <v>1168</v>
      </c>
      <c r="B1170" s="6" t="str">
        <f>"洪曼玉"</f>
        <v>洪曼玉</v>
      </c>
      <c r="C1170" s="6" t="str">
        <f>"230702104220"</f>
        <v>230702104220</v>
      </c>
      <c r="D1170" s="5" t="s">
        <v>22</v>
      </c>
      <c r="E1170" s="5" t="s">
        <v>12</v>
      </c>
      <c r="F1170" s="5">
        <v>181</v>
      </c>
      <c r="G1170" s="7"/>
    </row>
    <row r="1171" spans="1:7" ht="27.75" customHeight="1">
      <c r="A1171" s="5">
        <v>1169</v>
      </c>
      <c r="B1171" s="6" t="str">
        <f>"冯赛凤"</f>
        <v>冯赛凤</v>
      </c>
      <c r="C1171" s="6" t="str">
        <f>"230702104418"</f>
        <v>230702104418</v>
      </c>
      <c r="D1171" s="5" t="s">
        <v>22</v>
      </c>
      <c r="E1171" s="5" t="s">
        <v>12</v>
      </c>
      <c r="F1171" s="5">
        <v>182</v>
      </c>
      <c r="G1171" s="7"/>
    </row>
    <row r="1172" spans="1:7" ht="27.75" customHeight="1">
      <c r="A1172" s="5">
        <v>1170</v>
      </c>
      <c r="B1172" s="6" t="str">
        <f>"吴海星"</f>
        <v>吴海星</v>
      </c>
      <c r="C1172" s="6" t="str">
        <f>"230702104916"</f>
        <v>230702104916</v>
      </c>
      <c r="D1172" s="5" t="s">
        <v>22</v>
      </c>
      <c r="E1172" s="5" t="s">
        <v>12</v>
      </c>
      <c r="F1172" s="5">
        <v>183</v>
      </c>
      <c r="G1172" s="7"/>
    </row>
    <row r="1173" spans="1:7" ht="27.75" customHeight="1">
      <c r="A1173" s="5">
        <v>1171</v>
      </c>
      <c r="B1173" s="6" t="str">
        <f>"陈雅婷"</f>
        <v>陈雅婷</v>
      </c>
      <c r="C1173" s="6" t="str">
        <f>"230702105204"</f>
        <v>230702105204</v>
      </c>
      <c r="D1173" s="5" t="s">
        <v>22</v>
      </c>
      <c r="E1173" s="5" t="s">
        <v>12</v>
      </c>
      <c r="F1173" s="5">
        <v>184</v>
      </c>
      <c r="G1173" s="7"/>
    </row>
    <row r="1174" spans="1:7" ht="27.75" customHeight="1">
      <c r="A1174" s="5">
        <v>1172</v>
      </c>
      <c r="B1174" s="6" t="str">
        <f>"洪天华"</f>
        <v>洪天华</v>
      </c>
      <c r="C1174" s="6" t="str">
        <f>"230702105316"</f>
        <v>230702105316</v>
      </c>
      <c r="D1174" s="5" t="s">
        <v>22</v>
      </c>
      <c r="E1174" s="5" t="s">
        <v>12</v>
      </c>
      <c r="F1174" s="5">
        <v>185</v>
      </c>
      <c r="G1174" s="7"/>
    </row>
    <row r="1175" spans="1:7" ht="27.75" customHeight="1">
      <c r="A1175" s="5">
        <v>1173</v>
      </c>
      <c r="B1175" s="6" t="str">
        <f>"王雯雯"</f>
        <v>王雯雯</v>
      </c>
      <c r="C1175" s="6" t="str">
        <f>"230702105329"</f>
        <v>230702105329</v>
      </c>
      <c r="D1175" s="5" t="s">
        <v>22</v>
      </c>
      <c r="E1175" s="5" t="s">
        <v>12</v>
      </c>
      <c r="F1175" s="5">
        <v>186</v>
      </c>
      <c r="G1175" s="7"/>
    </row>
    <row r="1176" spans="1:7" ht="27.75" customHeight="1">
      <c r="A1176" s="5">
        <v>1174</v>
      </c>
      <c r="B1176" s="6" t="str">
        <f>"王丽霞"</f>
        <v>王丽霞</v>
      </c>
      <c r="C1176" s="6" t="str">
        <f>"230702105406"</f>
        <v>230702105406</v>
      </c>
      <c r="D1176" s="5" t="s">
        <v>22</v>
      </c>
      <c r="E1176" s="5" t="s">
        <v>12</v>
      </c>
      <c r="F1176" s="5">
        <v>187</v>
      </c>
      <c r="G1176" s="7"/>
    </row>
    <row r="1177" spans="1:7" ht="27.75" customHeight="1">
      <c r="A1177" s="5">
        <v>1175</v>
      </c>
      <c r="B1177" s="6" t="str">
        <f>"符荣"</f>
        <v>符荣</v>
      </c>
      <c r="C1177" s="6" t="str">
        <f>"230702105601"</f>
        <v>230702105601</v>
      </c>
      <c r="D1177" s="5" t="s">
        <v>22</v>
      </c>
      <c r="E1177" s="5" t="s">
        <v>12</v>
      </c>
      <c r="F1177" s="5">
        <v>188</v>
      </c>
      <c r="G1177" s="7"/>
    </row>
    <row r="1178" spans="1:7" ht="27.75" customHeight="1">
      <c r="A1178" s="5">
        <v>1176</v>
      </c>
      <c r="B1178" s="6" t="str">
        <f>"左静"</f>
        <v>左静</v>
      </c>
      <c r="C1178" s="6" t="str">
        <f>"230702104201"</f>
        <v>230702104201</v>
      </c>
      <c r="D1178" s="5" t="s">
        <v>22</v>
      </c>
      <c r="E1178" s="5" t="s">
        <v>12</v>
      </c>
      <c r="F1178" s="5">
        <v>189</v>
      </c>
      <c r="G1178" s="7"/>
    </row>
    <row r="1179" spans="1:7" ht="27.75" customHeight="1">
      <c r="A1179" s="5">
        <v>1177</v>
      </c>
      <c r="B1179" s="6" t="str">
        <f>"陈小茜"</f>
        <v>陈小茜</v>
      </c>
      <c r="C1179" s="6" t="str">
        <f>"230702104212"</f>
        <v>230702104212</v>
      </c>
      <c r="D1179" s="5" t="s">
        <v>22</v>
      </c>
      <c r="E1179" s="5" t="s">
        <v>12</v>
      </c>
      <c r="F1179" s="5">
        <v>190</v>
      </c>
      <c r="G1179" s="7"/>
    </row>
    <row r="1180" spans="1:7" ht="27.75" customHeight="1">
      <c r="A1180" s="5">
        <v>1178</v>
      </c>
      <c r="B1180" s="6" t="str">
        <f>"李昕"</f>
        <v>李昕</v>
      </c>
      <c r="C1180" s="6" t="str">
        <f>"230702104301"</f>
        <v>230702104301</v>
      </c>
      <c r="D1180" s="5" t="s">
        <v>22</v>
      </c>
      <c r="E1180" s="5" t="s">
        <v>12</v>
      </c>
      <c r="F1180" s="5">
        <v>191</v>
      </c>
      <c r="G1180" s="7"/>
    </row>
    <row r="1181" spans="1:7" ht="27.75" customHeight="1">
      <c r="A1181" s="5">
        <v>1179</v>
      </c>
      <c r="B1181" s="6" t="str">
        <f>"黄雨晴"</f>
        <v>黄雨晴</v>
      </c>
      <c r="C1181" s="6" t="str">
        <f>"230702104912"</f>
        <v>230702104912</v>
      </c>
      <c r="D1181" s="5" t="s">
        <v>22</v>
      </c>
      <c r="E1181" s="5" t="s">
        <v>12</v>
      </c>
      <c r="F1181" s="5">
        <v>192</v>
      </c>
      <c r="G1181" s="7"/>
    </row>
    <row r="1182" spans="1:7" ht="27.75" customHeight="1">
      <c r="A1182" s="5">
        <v>1180</v>
      </c>
      <c r="B1182" s="6" t="str">
        <f>"翁晓蝶"</f>
        <v>翁晓蝶</v>
      </c>
      <c r="C1182" s="6" t="str">
        <f>"230702105512"</f>
        <v>230702105512</v>
      </c>
      <c r="D1182" s="5" t="s">
        <v>22</v>
      </c>
      <c r="E1182" s="5" t="s">
        <v>12</v>
      </c>
      <c r="F1182" s="5">
        <v>193</v>
      </c>
      <c r="G1182" s="7"/>
    </row>
    <row r="1183" spans="1:7" ht="27.75" customHeight="1">
      <c r="A1183" s="5">
        <v>1181</v>
      </c>
      <c r="B1183" s="6" t="str">
        <f>"王慧华"</f>
        <v>王慧华</v>
      </c>
      <c r="C1183" s="6" t="str">
        <f>"230702103625"</f>
        <v>230702103625</v>
      </c>
      <c r="D1183" s="5" t="s">
        <v>22</v>
      </c>
      <c r="E1183" s="5" t="s">
        <v>12</v>
      </c>
      <c r="F1183" s="5">
        <v>194</v>
      </c>
      <c r="G1183" s="7"/>
    </row>
    <row r="1184" spans="1:7" ht="27.75" customHeight="1">
      <c r="A1184" s="5">
        <v>1182</v>
      </c>
      <c r="B1184" s="6" t="str">
        <f>"蔡鑫丹"</f>
        <v>蔡鑫丹</v>
      </c>
      <c r="C1184" s="6" t="str">
        <f>"230702103905"</f>
        <v>230702103905</v>
      </c>
      <c r="D1184" s="5" t="s">
        <v>22</v>
      </c>
      <c r="E1184" s="5" t="s">
        <v>12</v>
      </c>
      <c r="F1184" s="5">
        <v>195</v>
      </c>
      <c r="G1184" s="7"/>
    </row>
    <row r="1185" spans="1:7" ht="27.75" customHeight="1">
      <c r="A1185" s="5">
        <v>1183</v>
      </c>
      <c r="B1185" s="6" t="str">
        <f>"李小云"</f>
        <v>李小云</v>
      </c>
      <c r="C1185" s="6" t="str">
        <f>"230702104004"</f>
        <v>230702104004</v>
      </c>
      <c r="D1185" s="5" t="s">
        <v>22</v>
      </c>
      <c r="E1185" s="5" t="s">
        <v>12</v>
      </c>
      <c r="F1185" s="5">
        <v>196</v>
      </c>
      <c r="G1185" s="7"/>
    </row>
    <row r="1186" spans="1:7" ht="27.75" customHeight="1">
      <c r="A1186" s="5">
        <v>1184</v>
      </c>
      <c r="B1186" s="6" t="str">
        <f>"王井爱"</f>
        <v>王井爱</v>
      </c>
      <c r="C1186" s="6" t="str">
        <f>"230702104017"</f>
        <v>230702104017</v>
      </c>
      <c r="D1186" s="5" t="s">
        <v>22</v>
      </c>
      <c r="E1186" s="5" t="s">
        <v>12</v>
      </c>
      <c r="F1186" s="5">
        <v>197</v>
      </c>
      <c r="G1186" s="7"/>
    </row>
    <row r="1187" spans="1:7" ht="27.75" customHeight="1">
      <c r="A1187" s="5">
        <v>1185</v>
      </c>
      <c r="B1187" s="6" t="str">
        <f>"钟雪静"</f>
        <v>钟雪静</v>
      </c>
      <c r="C1187" s="6" t="str">
        <f>"230702104114"</f>
        <v>230702104114</v>
      </c>
      <c r="D1187" s="5" t="s">
        <v>22</v>
      </c>
      <c r="E1187" s="5" t="s">
        <v>12</v>
      </c>
      <c r="F1187" s="5">
        <v>198</v>
      </c>
      <c r="G1187" s="7"/>
    </row>
    <row r="1188" spans="1:7" ht="27.75" customHeight="1">
      <c r="A1188" s="5">
        <v>1186</v>
      </c>
      <c r="B1188" s="6" t="str">
        <f>"林江月"</f>
        <v>林江月</v>
      </c>
      <c r="C1188" s="6" t="str">
        <f>"230702104527"</f>
        <v>230702104527</v>
      </c>
      <c r="D1188" s="5" t="s">
        <v>22</v>
      </c>
      <c r="E1188" s="5" t="s">
        <v>12</v>
      </c>
      <c r="F1188" s="5">
        <v>199</v>
      </c>
      <c r="G1188" s="7"/>
    </row>
    <row r="1189" spans="1:7" ht="27.75" customHeight="1">
      <c r="A1189" s="5">
        <v>1187</v>
      </c>
      <c r="B1189" s="6" t="str">
        <f>"陈泽小"</f>
        <v>陈泽小</v>
      </c>
      <c r="C1189" s="6" t="str">
        <f>"230702104703"</f>
        <v>230702104703</v>
      </c>
      <c r="D1189" s="5" t="s">
        <v>22</v>
      </c>
      <c r="E1189" s="5" t="s">
        <v>12</v>
      </c>
      <c r="F1189" s="5">
        <v>200</v>
      </c>
      <c r="G1189" s="7"/>
    </row>
    <row r="1190" spans="1:7" ht="27.75" customHeight="1">
      <c r="A1190" s="5">
        <v>1188</v>
      </c>
      <c r="B1190" s="6" t="str">
        <f>"陈芳蓝"</f>
        <v>陈芳蓝</v>
      </c>
      <c r="C1190" s="6" t="str">
        <f>"230702104820"</f>
        <v>230702104820</v>
      </c>
      <c r="D1190" s="5" t="s">
        <v>22</v>
      </c>
      <c r="E1190" s="5" t="s">
        <v>12</v>
      </c>
      <c r="F1190" s="5">
        <v>201</v>
      </c>
      <c r="G1190" s="7"/>
    </row>
    <row r="1191" spans="1:7" ht="27.75" customHeight="1">
      <c r="A1191" s="5">
        <v>1189</v>
      </c>
      <c r="B1191" s="6" t="str">
        <f>"羊嬉秋"</f>
        <v>羊嬉秋</v>
      </c>
      <c r="C1191" s="6" t="str">
        <f>"230702105411"</f>
        <v>230702105411</v>
      </c>
      <c r="D1191" s="5" t="s">
        <v>22</v>
      </c>
      <c r="E1191" s="5" t="s">
        <v>12</v>
      </c>
      <c r="F1191" s="5">
        <v>202</v>
      </c>
      <c r="G1191" s="7"/>
    </row>
    <row r="1192" spans="1:7" ht="27.75" customHeight="1">
      <c r="A1192" s="5">
        <v>1190</v>
      </c>
      <c r="B1192" s="6" t="str">
        <f>"黎青青"</f>
        <v>黎青青</v>
      </c>
      <c r="C1192" s="6" t="str">
        <f>"230702105508"</f>
        <v>230702105508</v>
      </c>
      <c r="D1192" s="5" t="s">
        <v>22</v>
      </c>
      <c r="E1192" s="5" t="s">
        <v>12</v>
      </c>
      <c r="F1192" s="5">
        <v>203</v>
      </c>
      <c r="G1192" s="7"/>
    </row>
    <row r="1193" spans="1:7" ht="27.75" customHeight="1">
      <c r="A1193" s="5">
        <v>1191</v>
      </c>
      <c r="B1193" s="6" t="str">
        <f>"林艳"</f>
        <v>林艳</v>
      </c>
      <c r="C1193" s="6" t="str">
        <f>"230702105622"</f>
        <v>230702105622</v>
      </c>
      <c r="D1193" s="5" t="s">
        <v>22</v>
      </c>
      <c r="E1193" s="5" t="s">
        <v>12</v>
      </c>
      <c r="F1193" s="5">
        <v>204</v>
      </c>
      <c r="G1193" s="7"/>
    </row>
    <row r="1194" spans="1:7" ht="27.75" customHeight="1">
      <c r="A1194" s="5">
        <v>1192</v>
      </c>
      <c r="B1194" s="6" t="str">
        <f>"黄雁"</f>
        <v>黄雁</v>
      </c>
      <c r="C1194" s="6" t="str">
        <f>"230702103804"</f>
        <v>230702103804</v>
      </c>
      <c r="D1194" s="5" t="s">
        <v>22</v>
      </c>
      <c r="E1194" s="5" t="s">
        <v>12</v>
      </c>
      <c r="F1194" s="5">
        <v>205</v>
      </c>
      <c r="G1194" s="7"/>
    </row>
    <row r="1195" spans="1:7" ht="27.75" customHeight="1">
      <c r="A1195" s="5">
        <v>1193</v>
      </c>
      <c r="B1195" s="6" t="str">
        <f>"程源"</f>
        <v>程源</v>
      </c>
      <c r="C1195" s="6" t="str">
        <f>"230702103821"</f>
        <v>230702103821</v>
      </c>
      <c r="D1195" s="5" t="s">
        <v>22</v>
      </c>
      <c r="E1195" s="5" t="s">
        <v>12</v>
      </c>
      <c r="F1195" s="5">
        <v>206</v>
      </c>
      <c r="G1195" s="7"/>
    </row>
    <row r="1196" spans="1:7" ht="27.75" customHeight="1">
      <c r="A1196" s="5">
        <v>1194</v>
      </c>
      <c r="B1196" s="6" t="str">
        <f>"杨娇"</f>
        <v>杨娇</v>
      </c>
      <c r="C1196" s="6" t="str">
        <f>"230702104023"</f>
        <v>230702104023</v>
      </c>
      <c r="D1196" s="5" t="s">
        <v>22</v>
      </c>
      <c r="E1196" s="5" t="s">
        <v>12</v>
      </c>
      <c r="F1196" s="5">
        <v>207</v>
      </c>
      <c r="G1196" s="7"/>
    </row>
    <row r="1197" spans="1:7" ht="27.75" customHeight="1">
      <c r="A1197" s="5">
        <v>1195</v>
      </c>
      <c r="B1197" s="6" t="str">
        <f>"黄盈盈"</f>
        <v>黄盈盈</v>
      </c>
      <c r="C1197" s="6" t="str">
        <f>"230702104609"</f>
        <v>230702104609</v>
      </c>
      <c r="D1197" s="5" t="s">
        <v>22</v>
      </c>
      <c r="E1197" s="5" t="s">
        <v>12</v>
      </c>
      <c r="F1197" s="5">
        <v>208</v>
      </c>
      <c r="G1197" s="7"/>
    </row>
    <row r="1198" spans="1:7" ht="27.75" customHeight="1">
      <c r="A1198" s="5">
        <v>1196</v>
      </c>
      <c r="B1198" s="6" t="str">
        <f>"王雪"</f>
        <v>王雪</v>
      </c>
      <c r="C1198" s="6" t="str">
        <f>"230702105115"</f>
        <v>230702105115</v>
      </c>
      <c r="D1198" s="5" t="s">
        <v>22</v>
      </c>
      <c r="E1198" s="5" t="s">
        <v>12</v>
      </c>
      <c r="F1198" s="5">
        <v>209</v>
      </c>
      <c r="G1198" s="7"/>
    </row>
    <row r="1199" spans="1:7" ht="27.75" customHeight="1">
      <c r="A1199" s="5">
        <v>1197</v>
      </c>
      <c r="B1199" s="6" t="str">
        <f>"王城萍"</f>
        <v>王城萍</v>
      </c>
      <c r="C1199" s="6" t="str">
        <f>"230702105412"</f>
        <v>230702105412</v>
      </c>
      <c r="D1199" s="5" t="s">
        <v>22</v>
      </c>
      <c r="E1199" s="5" t="s">
        <v>12</v>
      </c>
      <c r="F1199" s="5">
        <v>210</v>
      </c>
      <c r="G1199" s="7"/>
    </row>
    <row r="1200" spans="1:7" ht="27.75" customHeight="1">
      <c r="A1200" s="5">
        <v>1198</v>
      </c>
      <c r="B1200" s="6" t="str">
        <f>"曾敏"</f>
        <v>曾敏</v>
      </c>
      <c r="C1200" s="6" t="str">
        <f>"230702105424"</f>
        <v>230702105424</v>
      </c>
      <c r="D1200" s="5" t="s">
        <v>22</v>
      </c>
      <c r="E1200" s="5" t="s">
        <v>12</v>
      </c>
      <c r="F1200" s="5">
        <v>211</v>
      </c>
      <c r="G1200" s="7"/>
    </row>
    <row r="1201" spans="1:7" ht="27.75" customHeight="1">
      <c r="A1201" s="5">
        <v>1199</v>
      </c>
      <c r="B1201" s="6" t="str">
        <f>"张小芳"</f>
        <v>张小芳</v>
      </c>
      <c r="C1201" s="6" t="str">
        <f>"230702105505"</f>
        <v>230702105505</v>
      </c>
      <c r="D1201" s="5" t="s">
        <v>22</v>
      </c>
      <c r="E1201" s="5" t="s">
        <v>12</v>
      </c>
      <c r="F1201" s="5">
        <v>212</v>
      </c>
      <c r="G1201" s="7"/>
    </row>
    <row r="1202" spans="1:7" ht="27.75" customHeight="1">
      <c r="A1202" s="5">
        <v>1200</v>
      </c>
      <c r="B1202" s="6" t="str">
        <f>"韩思敏"</f>
        <v>韩思敏</v>
      </c>
      <c r="C1202" s="6" t="str">
        <f>"230702105704"</f>
        <v>230702105704</v>
      </c>
      <c r="D1202" s="5" t="s">
        <v>22</v>
      </c>
      <c r="E1202" s="5" t="s">
        <v>12</v>
      </c>
      <c r="F1202" s="5">
        <v>213</v>
      </c>
      <c r="G1202" s="7"/>
    </row>
    <row r="1203" spans="1:7" ht="27.75" customHeight="1">
      <c r="A1203" s="5">
        <v>1201</v>
      </c>
      <c r="B1203" s="6" t="str">
        <f>"符小茉"</f>
        <v>符小茉</v>
      </c>
      <c r="C1203" s="6" t="str">
        <f>"230702103722"</f>
        <v>230702103722</v>
      </c>
      <c r="D1203" s="5" t="s">
        <v>22</v>
      </c>
      <c r="E1203" s="5" t="s">
        <v>12</v>
      </c>
      <c r="F1203" s="5">
        <v>214</v>
      </c>
      <c r="G1203" s="7"/>
    </row>
    <row r="1204" spans="1:7" ht="27.75" customHeight="1">
      <c r="A1204" s="5">
        <v>1202</v>
      </c>
      <c r="B1204" s="6" t="str">
        <f>"王晓翎"</f>
        <v>王晓翎</v>
      </c>
      <c r="C1204" s="6" t="str">
        <f>"230702103728"</f>
        <v>230702103728</v>
      </c>
      <c r="D1204" s="5" t="s">
        <v>22</v>
      </c>
      <c r="E1204" s="5" t="s">
        <v>12</v>
      </c>
      <c r="F1204" s="5">
        <v>215</v>
      </c>
      <c r="G1204" s="7"/>
    </row>
    <row r="1205" spans="1:7" ht="27.75" customHeight="1">
      <c r="A1205" s="5">
        <v>1203</v>
      </c>
      <c r="B1205" s="6" t="str">
        <f>"董珊珊"</f>
        <v>董珊珊</v>
      </c>
      <c r="C1205" s="6" t="str">
        <f>"230702103802"</f>
        <v>230702103802</v>
      </c>
      <c r="D1205" s="5" t="s">
        <v>22</v>
      </c>
      <c r="E1205" s="5" t="s">
        <v>12</v>
      </c>
      <c r="F1205" s="5">
        <v>216</v>
      </c>
      <c r="G1205" s="7"/>
    </row>
    <row r="1206" spans="1:7" ht="27.75" customHeight="1">
      <c r="A1206" s="5">
        <v>1204</v>
      </c>
      <c r="B1206" s="6" t="str">
        <f>"王航丽"</f>
        <v>王航丽</v>
      </c>
      <c r="C1206" s="6" t="str">
        <f>"230702103808"</f>
        <v>230702103808</v>
      </c>
      <c r="D1206" s="5" t="s">
        <v>22</v>
      </c>
      <c r="E1206" s="5" t="s">
        <v>12</v>
      </c>
      <c r="F1206" s="5">
        <v>217</v>
      </c>
      <c r="G1206" s="7"/>
    </row>
    <row r="1207" spans="1:7" ht="27.75" customHeight="1">
      <c r="A1207" s="5">
        <v>1205</v>
      </c>
      <c r="B1207" s="6" t="str">
        <f>"戴慧敏"</f>
        <v>戴慧敏</v>
      </c>
      <c r="C1207" s="6" t="str">
        <f>"230702103818"</f>
        <v>230702103818</v>
      </c>
      <c r="D1207" s="5" t="s">
        <v>22</v>
      </c>
      <c r="E1207" s="5" t="s">
        <v>12</v>
      </c>
      <c r="F1207" s="5">
        <v>218</v>
      </c>
      <c r="G1207" s="7"/>
    </row>
    <row r="1208" spans="1:7" ht="27.75" customHeight="1">
      <c r="A1208" s="5">
        <v>1206</v>
      </c>
      <c r="B1208" s="6" t="str">
        <f>"韦嗣扬"</f>
        <v>韦嗣扬</v>
      </c>
      <c r="C1208" s="6" t="str">
        <f>"230702103930"</f>
        <v>230702103930</v>
      </c>
      <c r="D1208" s="5" t="s">
        <v>22</v>
      </c>
      <c r="E1208" s="5" t="s">
        <v>12</v>
      </c>
      <c r="F1208" s="5">
        <v>219</v>
      </c>
      <c r="G1208" s="7"/>
    </row>
    <row r="1209" spans="1:7" ht="27.75" customHeight="1">
      <c r="A1209" s="5">
        <v>1207</v>
      </c>
      <c r="B1209" s="6" t="str">
        <f>"曾怡萍"</f>
        <v>曾怡萍</v>
      </c>
      <c r="C1209" s="6" t="str">
        <f>"230702104012"</f>
        <v>230702104012</v>
      </c>
      <c r="D1209" s="5" t="s">
        <v>22</v>
      </c>
      <c r="E1209" s="5" t="s">
        <v>12</v>
      </c>
      <c r="F1209" s="5">
        <v>220</v>
      </c>
      <c r="G1209" s="7"/>
    </row>
    <row r="1210" spans="1:7" ht="27.75" customHeight="1">
      <c r="A1210" s="5">
        <v>1208</v>
      </c>
      <c r="B1210" s="6" t="str">
        <f>"吴莲"</f>
        <v>吴莲</v>
      </c>
      <c r="C1210" s="6" t="str">
        <f>"230702104115"</f>
        <v>230702104115</v>
      </c>
      <c r="D1210" s="5" t="s">
        <v>22</v>
      </c>
      <c r="E1210" s="5" t="s">
        <v>12</v>
      </c>
      <c r="F1210" s="5">
        <v>221</v>
      </c>
      <c r="G1210" s="7"/>
    </row>
    <row r="1211" spans="1:7" ht="27.75" customHeight="1">
      <c r="A1211" s="5">
        <v>1209</v>
      </c>
      <c r="B1211" s="6" t="str">
        <f>"唐媛春"</f>
        <v>唐媛春</v>
      </c>
      <c r="C1211" s="6" t="str">
        <f>"230702104425"</f>
        <v>230702104425</v>
      </c>
      <c r="D1211" s="5" t="s">
        <v>22</v>
      </c>
      <c r="E1211" s="5" t="s">
        <v>12</v>
      </c>
      <c r="F1211" s="5">
        <v>222</v>
      </c>
      <c r="G1211" s="7"/>
    </row>
    <row r="1212" spans="1:7" ht="27.75" customHeight="1">
      <c r="A1212" s="5">
        <v>1210</v>
      </c>
      <c r="B1212" s="6" t="str">
        <f>"简赖圆"</f>
        <v>简赖圆</v>
      </c>
      <c r="C1212" s="6" t="str">
        <f>"230702104603"</f>
        <v>230702104603</v>
      </c>
      <c r="D1212" s="5" t="s">
        <v>22</v>
      </c>
      <c r="E1212" s="5" t="s">
        <v>12</v>
      </c>
      <c r="F1212" s="5">
        <v>223</v>
      </c>
      <c r="G1212" s="7"/>
    </row>
    <row r="1213" spans="1:7" ht="27.75" customHeight="1">
      <c r="A1213" s="5">
        <v>1211</v>
      </c>
      <c r="B1213" s="6" t="str">
        <f>"吴月"</f>
        <v>吴月</v>
      </c>
      <c r="C1213" s="6" t="str">
        <f>"230702104619"</f>
        <v>230702104619</v>
      </c>
      <c r="D1213" s="5" t="s">
        <v>22</v>
      </c>
      <c r="E1213" s="5" t="s">
        <v>12</v>
      </c>
      <c r="F1213" s="5">
        <v>224</v>
      </c>
      <c r="G1213" s="7"/>
    </row>
    <row r="1214" spans="1:7" ht="27.75" customHeight="1">
      <c r="A1214" s="5">
        <v>1212</v>
      </c>
      <c r="B1214" s="6" t="str">
        <f>"吴丽萍"</f>
        <v>吴丽萍</v>
      </c>
      <c r="C1214" s="6" t="str">
        <f>"230702104623"</f>
        <v>230702104623</v>
      </c>
      <c r="D1214" s="5" t="s">
        <v>22</v>
      </c>
      <c r="E1214" s="5" t="s">
        <v>12</v>
      </c>
      <c r="F1214" s="5">
        <v>225</v>
      </c>
      <c r="G1214" s="7"/>
    </row>
    <row r="1215" spans="1:7" ht="27.75" customHeight="1">
      <c r="A1215" s="5">
        <v>1213</v>
      </c>
      <c r="B1215" s="6" t="str">
        <f>"黄雅"</f>
        <v>黄雅</v>
      </c>
      <c r="C1215" s="6" t="str">
        <f>"230702104902"</f>
        <v>230702104902</v>
      </c>
      <c r="D1215" s="5" t="s">
        <v>22</v>
      </c>
      <c r="E1215" s="5" t="s">
        <v>12</v>
      </c>
      <c r="F1215" s="5">
        <v>226</v>
      </c>
      <c r="G1215" s="7"/>
    </row>
    <row r="1216" spans="1:7" ht="27.75" customHeight="1">
      <c r="A1216" s="5">
        <v>1214</v>
      </c>
      <c r="B1216" s="6" t="str">
        <f>"王晓婧"</f>
        <v>王晓婧</v>
      </c>
      <c r="C1216" s="6" t="str">
        <f>"230702105007"</f>
        <v>230702105007</v>
      </c>
      <c r="D1216" s="5" t="s">
        <v>22</v>
      </c>
      <c r="E1216" s="5" t="s">
        <v>13</v>
      </c>
      <c r="F1216" s="5">
        <v>227</v>
      </c>
      <c r="G1216" s="7"/>
    </row>
    <row r="1217" spans="1:7" ht="27.75" customHeight="1">
      <c r="A1217" s="5">
        <v>1215</v>
      </c>
      <c r="B1217" s="6" t="str">
        <f>"谢镇蔚"</f>
        <v>谢镇蔚</v>
      </c>
      <c r="C1217" s="6" t="str">
        <f>"230702105402"</f>
        <v>230702105402</v>
      </c>
      <c r="D1217" s="5" t="s">
        <v>22</v>
      </c>
      <c r="E1217" s="5" t="s">
        <v>13</v>
      </c>
      <c r="F1217" s="5">
        <v>228</v>
      </c>
      <c r="G1217" s="7"/>
    </row>
    <row r="1218" spans="1:7" ht="27.75" customHeight="1">
      <c r="A1218" s="5">
        <v>1216</v>
      </c>
      <c r="B1218" s="6" t="str">
        <f>"黄江娜"</f>
        <v>黄江娜</v>
      </c>
      <c r="C1218" s="6" t="str">
        <f>"230702105619"</f>
        <v>230702105619</v>
      </c>
      <c r="D1218" s="5" t="s">
        <v>22</v>
      </c>
      <c r="E1218" s="5" t="s">
        <v>13</v>
      </c>
      <c r="F1218" s="5">
        <v>229</v>
      </c>
      <c r="G1218" s="7"/>
    </row>
    <row r="1219" spans="1:7" ht="27.75" customHeight="1">
      <c r="A1219" s="5">
        <v>1217</v>
      </c>
      <c r="B1219" s="6" t="str">
        <f>"符传惠"</f>
        <v>符传惠</v>
      </c>
      <c r="C1219" s="6" t="str">
        <f>"230702105021"</f>
        <v>230702105021</v>
      </c>
      <c r="D1219" s="5" t="s">
        <v>22</v>
      </c>
      <c r="E1219" s="5" t="s">
        <v>13</v>
      </c>
      <c r="F1219" s="5">
        <v>230</v>
      </c>
      <c r="G1219" s="7"/>
    </row>
    <row r="1220" spans="1:7" ht="27.75" customHeight="1">
      <c r="A1220" s="5">
        <v>1218</v>
      </c>
      <c r="B1220" s="6" t="str">
        <f>"陈海玲"</f>
        <v>陈海玲</v>
      </c>
      <c r="C1220" s="6" t="str">
        <f>"230702105028"</f>
        <v>230702105028</v>
      </c>
      <c r="D1220" s="5" t="s">
        <v>22</v>
      </c>
      <c r="E1220" s="5" t="s">
        <v>13</v>
      </c>
      <c r="F1220" s="5">
        <v>231</v>
      </c>
      <c r="G1220" s="7"/>
    </row>
    <row r="1221" spans="1:7" ht="27.75" customHeight="1">
      <c r="A1221" s="5">
        <v>1219</v>
      </c>
      <c r="B1221" s="6" t="str">
        <f>"林锦倩"</f>
        <v>林锦倩</v>
      </c>
      <c r="C1221" s="6" t="str">
        <f>"230702105617"</f>
        <v>230702105617</v>
      </c>
      <c r="D1221" s="5" t="s">
        <v>22</v>
      </c>
      <c r="E1221" s="5" t="s">
        <v>13</v>
      </c>
      <c r="F1221" s="5">
        <v>232</v>
      </c>
      <c r="G1221" s="7"/>
    </row>
    <row r="1222" spans="1:7" ht="27.75" customHeight="1">
      <c r="A1222" s="5">
        <v>1220</v>
      </c>
      <c r="B1222" s="6" t="str">
        <f>"林妹"</f>
        <v>林妹</v>
      </c>
      <c r="C1222" s="6" t="str">
        <f>"230702105713"</f>
        <v>230702105713</v>
      </c>
      <c r="D1222" s="5" t="s">
        <v>22</v>
      </c>
      <c r="E1222" s="5" t="s">
        <v>13</v>
      </c>
      <c r="F1222" s="5">
        <v>233</v>
      </c>
      <c r="G1222" s="7"/>
    </row>
    <row r="1223" spans="1:7" ht="27.75" customHeight="1">
      <c r="A1223" s="5">
        <v>1221</v>
      </c>
      <c r="B1223" s="6" t="str">
        <f>"林思思"</f>
        <v>林思思</v>
      </c>
      <c r="C1223" s="6" t="str">
        <f>"230702103725"</f>
        <v>230702103725</v>
      </c>
      <c r="D1223" s="5" t="s">
        <v>22</v>
      </c>
      <c r="E1223" s="5" t="s">
        <v>13</v>
      </c>
      <c r="F1223" s="5">
        <v>234</v>
      </c>
      <c r="G1223" s="7"/>
    </row>
    <row r="1224" spans="1:7" ht="27.75" customHeight="1">
      <c r="A1224" s="5">
        <v>1222</v>
      </c>
      <c r="B1224" s="6" t="str">
        <f>"符丽芳"</f>
        <v>符丽芳</v>
      </c>
      <c r="C1224" s="6" t="str">
        <f>"230702103909"</f>
        <v>230702103909</v>
      </c>
      <c r="D1224" s="5" t="s">
        <v>22</v>
      </c>
      <c r="E1224" s="5" t="s">
        <v>13</v>
      </c>
      <c r="F1224" s="5">
        <v>235</v>
      </c>
      <c r="G1224" s="7"/>
    </row>
    <row r="1225" spans="1:7" ht="27.75" customHeight="1">
      <c r="A1225" s="5">
        <v>1223</v>
      </c>
      <c r="B1225" s="6" t="str">
        <f>"银雪骄"</f>
        <v>银雪骄</v>
      </c>
      <c r="C1225" s="6" t="str">
        <f>"230702103915"</f>
        <v>230702103915</v>
      </c>
      <c r="D1225" s="5" t="s">
        <v>22</v>
      </c>
      <c r="E1225" s="5" t="s">
        <v>13</v>
      </c>
      <c r="F1225" s="5">
        <v>236</v>
      </c>
      <c r="G1225" s="7"/>
    </row>
    <row r="1226" spans="1:7" ht="27.75" customHeight="1">
      <c r="A1226" s="5">
        <v>1224</v>
      </c>
      <c r="B1226" s="6" t="str">
        <f>"周柳妹"</f>
        <v>周柳妹</v>
      </c>
      <c r="C1226" s="6" t="str">
        <f>"230702104018"</f>
        <v>230702104018</v>
      </c>
      <c r="D1226" s="5" t="s">
        <v>22</v>
      </c>
      <c r="E1226" s="5" t="s">
        <v>13</v>
      </c>
      <c r="F1226" s="5">
        <v>237</v>
      </c>
      <c r="G1226" s="7"/>
    </row>
    <row r="1227" spans="1:7" ht="27.75" customHeight="1">
      <c r="A1227" s="5">
        <v>1225</v>
      </c>
      <c r="B1227" s="6" t="str">
        <f>"赵仪"</f>
        <v>赵仪</v>
      </c>
      <c r="C1227" s="6" t="str">
        <f>"230702104104"</f>
        <v>230702104104</v>
      </c>
      <c r="D1227" s="5" t="s">
        <v>22</v>
      </c>
      <c r="E1227" s="5" t="s">
        <v>13</v>
      </c>
      <c r="F1227" s="5">
        <v>238</v>
      </c>
      <c r="G1227" s="7"/>
    </row>
    <row r="1228" spans="1:7" ht="27.75" customHeight="1">
      <c r="A1228" s="5">
        <v>1226</v>
      </c>
      <c r="B1228" s="6" t="str">
        <f>"石小彤"</f>
        <v>石小彤</v>
      </c>
      <c r="C1228" s="6" t="str">
        <f>"230702104117"</f>
        <v>230702104117</v>
      </c>
      <c r="D1228" s="5" t="s">
        <v>22</v>
      </c>
      <c r="E1228" s="5" t="s">
        <v>13</v>
      </c>
      <c r="F1228" s="5">
        <v>239</v>
      </c>
      <c r="G1228" s="7"/>
    </row>
    <row r="1229" spans="1:7" ht="27.75" customHeight="1">
      <c r="A1229" s="5">
        <v>1227</v>
      </c>
      <c r="B1229" s="6" t="str">
        <f>"于文平"</f>
        <v>于文平</v>
      </c>
      <c r="C1229" s="6" t="str">
        <f>"230702104122"</f>
        <v>230702104122</v>
      </c>
      <c r="D1229" s="5" t="s">
        <v>22</v>
      </c>
      <c r="E1229" s="5" t="s">
        <v>13</v>
      </c>
      <c r="F1229" s="5">
        <v>240</v>
      </c>
      <c r="G1229" s="7"/>
    </row>
    <row r="1230" spans="1:7" ht="27.75" customHeight="1">
      <c r="A1230" s="5">
        <v>1228</v>
      </c>
      <c r="B1230" s="6" t="str">
        <f>"符怡怡"</f>
        <v>符怡怡</v>
      </c>
      <c r="C1230" s="6" t="str">
        <f>"230702104128"</f>
        <v>230702104128</v>
      </c>
      <c r="D1230" s="5" t="s">
        <v>22</v>
      </c>
      <c r="E1230" s="5" t="s">
        <v>13</v>
      </c>
      <c r="F1230" s="5">
        <v>241</v>
      </c>
      <c r="G1230" s="7"/>
    </row>
    <row r="1231" spans="1:7" ht="27.75" customHeight="1">
      <c r="A1231" s="5">
        <v>1229</v>
      </c>
      <c r="B1231" s="6" t="str">
        <f>"杜小玲"</f>
        <v>杜小玲</v>
      </c>
      <c r="C1231" s="6" t="str">
        <f>"230702104202"</f>
        <v>230702104202</v>
      </c>
      <c r="D1231" s="5" t="s">
        <v>22</v>
      </c>
      <c r="E1231" s="5" t="s">
        <v>13</v>
      </c>
      <c r="F1231" s="5">
        <v>242</v>
      </c>
      <c r="G1231" s="7"/>
    </row>
    <row r="1232" spans="1:7" ht="27.75" customHeight="1">
      <c r="A1232" s="5">
        <v>1230</v>
      </c>
      <c r="B1232" s="6" t="str">
        <f>"王月花"</f>
        <v>王月花</v>
      </c>
      <c r="C1232" s="6" t="str">
        <f>"230702104720"</f>
        <v>230702104720</v>
      </c>
      <c r="D1232" s="5" t="s">
        <v>22</v>
      </c>
      <c r="E1232" s="5" t="s">
        <v>13</v>
      </c>
      <c r="F1232" s="5">
        <v>243</v>
      </c>
      <c r="G1232" s="7"/>
    </row>
    <row r="1233" spans="1:7" ht="27.75" customHeight="1">
      <c r="A1233" s="5">
        <v>1231</v>
      </c>
      <c r="B1233" s="6" t="str">
        <f>"邢增榆"</f>
        <v>邢增榆</v>
      </c>
      <c r="C1233" s="6" t="str">
        <f>"230702104807"</f>
        <v>230702104807</v>
      </c>
      <c r="D1233" s="5" t="s">
        <v>22</v>
      </c>
      <c r="E1233" s="5" t="s">
        <v>13</v>
      </c>
      <c r="F1233" s="5">
        <v>244</v>
      </c>
      <c r="G1233" s="7"/>
    </row>
    <row r="1234" spans="1:7" ht="27.75" customHeight="1">
      <c r="A1234" s="5">
        <v>1232</v>
      </c>
      <c r="B1234" s="6" t="str">
        <f>"梁怡菲"</f>
        <v>梁怡菲</v>
      </c>
      <c r="C1234" s="6" t="str">
        <f>"230702104828"</f>
        <v>230702104828</v>
      </c>
      <c r="D1234" s="5" t="s">
        <v>22</v>
      </c>
      <c r="E1234" s="5" t="s">
        <v>13</v>
      </c>
      <c r="F1234" s="5">
        <v>245</v>
      </c>
      <c r="G1234" s="7"/>
    </row>
    <row r="1235" spans="1:7" ht="27.75" customHeight="1">
      <c r="A1235" s="5">
        <v>1233</v>
      </c>
      <c r="B1235" s="6" t="str">
        <f>"张姗姗"</f>
        <v>张姗姗</v>
      </c>
      <c r="C1235" s="6" t="str">
        <f>"230702104919"</f>
        <v>230702104919</v>
      </c>
      <c r="D1235" s="5" t="s">
        <v>22</v>
      </c>
      <c r="E1235" s="5" t="s">
        <v>13</v>
      </c>
      <c r="F1235" s="5">
        <v>246</v>
      </c>
      <c r="G1235" s="7"/>
    </row>
    <row r="1236" spans="1:7" ht="27.75" customHeight="1">
      <c r="A1236" s="5">
        <v>1234</v>
      </c>
      <c r="B1236" s="6" t="str">
        <f>"吴子涵"</f>
        <v>吴子涵</v>
      </c>
      <c r="C1236" s="6" t="str">
        <f>"230702104926"</f>
        <v>230702104926</v>
      </c>
      <c r="D1236" s="5" t="s">
        <v>22</v>
      </c>
      <c r="E1236" s="5" t="s">
        <v>13</v>
      </c>
      <c r="F1236" s="5">
        <v>247</v>
      </c>
      <c r="G1236" s="7"/>
    </row>
    <row r="1237" spans="1:7" ht="27.75" customHeight="1">
      <c r="A1237" s="5">
        <v>1235</v>
      </c>
      <c r="B1237" s="6" t="str">
        <f>"宋燕"</f>
        <v>宋燕</v>
      </c>
      <c r="C1237" s="6" t="str">
        <f>"230702105011"</f>
        <v>230702105011</v>
      </c>
      <c r="D1237" s="5" t="s">
        <v>22</v>
      </c>
      <c r="E1237" s="5" t="s">
        <v>13</v>
      </c>
      <c r="F1237" s="5">
        <v>248</v>
      </c>
      <c r="G1237" s="7"/>
    </row>
    <row r="1238" spans="1:7" ht="27.75" customHeight="1">
      <c r="A1238" s="5">
        <v>1236</v>
      </c>
      <c r="B1238" s="6" t="str">
        <f>"关蓉蓉"</f>
        <v>关蓉蓉</v>
      </c>
      <c r="C1238" s="6" t="str">
        <f>"230702105701"</f>
        <v>230702105701</v>
      </c>
      <c r="D1238" s="5" t="s">
        <v>22</v>
      </c>
      <c r="E1238" s="5" t="s">
        <v>13</v>
      </c>
      <c r="F1238" s="5">
        <v>249</v>
      </c>
      <c r="G1238" s="7"/>
    </row>
    <row r="1239" spans="1:7" ht="27.75" customHeight="1">
      <c r="A1239" s="5">
        <v>1237</v>
      </c>
      <c r="B1239" s="6" t="str">
        <f>"卢喜凤"</f>
        <v>卢喜凤</v>
      </c>
      <c r="C1239" s="6" t="str">
        <f>"230702105720"</f>
        <v>230702105720</v>
      </c>
      <c r="D1239" s="5" t="s">
        <v>22</v>
      </c>
      <c r="E1239" s="5" t="s">
        <v>13</v>
      </c>
      <c r="F1239" s="5">
        <v>250</v>
      </c>
      <c r="G1239" s="7"/>
    </row>
    <row r="1240" spans="1:7" ht="27.75" customHeight="1">
      <c r="A1240" s="5">
        <v>1238</v>
      </c>
      <c r="B1240" s="6" t="str">
        <f>"吴叶凤"</f>
        <v>吴叶凤</v>
      </c>
      <c r="C1240" s="6" t="str">
        <f>"230702103702"</f>
        <v>230702103702</v>
      </c>
      <c r="D1240" s="5" t="s">
        <v>22</v>
      </c>
      <c r="E1240" s="5" t="s">
        <v>13</v>
      </c>
      <c r="F1240" s="5">
        <v>251</v>
      </c>
      <c r="G1240" s="7"/>
    </row>
    <row r="1241" spans="1:7" ht="27.75" customHeight="1">
      <c r="A1241" s="5">
        <v>1239</v>
      </c>
      <c r="B1241" s="6" t="str">
        <f>"符传玉"</f>
        <v>符传玉</v>
      </c>
      <c r="C1241" s="6" t="str">
        <f>"230702104019"</f>
        <v>230702104019</v>
      </c>
      <c r="D1241" s="5" t="s">
        <v>22</v>
      </c>
      <c r="E1241" s="5" t="s">
        <v>13</v>
      </c>
      <c r="F1241" s="5">
        <v>252</v>
      </c>
      <c r="G1241" s="7"/>
    </row>
    <row r="1242" spans="1:7" ht="27.75" customHeight="1">
      <c r="A1242" s="5">
        <v>1240</v>
      </c>
      <c r="B1242" s="6" t="str">
        <f>"张紫玲"</f>
        <v>张紫玲</v>
      </c>
      <c r="C1242" s="6" t="str">
        <f>"230702104109"</f>
        <v>230702104109</v>
      </c>
      <c r="D1242" s="5" t="s">
        <v>22</v>
      </c>
      <c r="E1242" s="5" t="s">
        <v>13</v>
      </c>
      <c r="F1242" s="5">
        <v>253</v>
      </c>
      <c r="G1242" s="7"/>
    </row>
    <row r="1243" spans="1:7" ht="27.75" customHeight="1">
      <c r="A1243" s="5">
        <v>1241</v>
      </c>
      <c r="B1243" s="6" t="str">
        <f>"秦济妹"</f>
        <v>秦济妹</v>
      </c>
      <c r="C1243" s="6" t="str">
        <f>"230702104308"</f>
        <v>230702104308</v>
      </c>
      <c r="D1243" s="5" t="s">
        <v>22</v>
      </c>
      <c r="E1243" s="5" t="s">
        <v>13</v>
      </c>
      <c r="F1243" s="5">
        <v>254</v>
      </c>
      <c r="G1243" s="7"/>
    </row>
    <row r="1244" spans="1:7" ht="27.75" customHeight="1">
      <c r="A1244" s="5">
        <v>1242</v>
      </c>
      <c r="B1244" s="6" t="str">
        <f>"黄媛媛"</f>
        <v>黄媛媛</v>
      </c>
      <c r="C1244" s="6" t="str">
        <f>"230702104326"</f>
        <v>230702104326</v>
      </c>
      <c r="D1244" s="5" t="s">
        <v>22</v>
      </c>
      <c r="E1244" s="5" t="s">
        <v>13</v>
      </c>
      <c r="F1244" s="5">
        <v>255</v>
      </c>
      <c r="G1244" s="7"/>
    </row>
    <row r="1245" spans="1:7" ht="27.75" customHeight="1">
      <c r="A1245" s="5">
        <v>1243</v>
      </c>
      <c r="B1245" s="6" t="str">
        <f>"韦少妹"</f>
        <v>韦少妹</v>
      </c>
      <c r="C1245" s="6" t="str">
        <f>"230702104408"</f>
        <v>230702104408</v>
      </c>
      <c r="D1245" s="5" t="s">
        <v>22</v>
      </c>
      <c r="E1245" s="5" t="s">
        <v>13</v>
      </c>
      <c r="F1245" s="5">
        <v>256</v>
      </c>
      <c r="G1245" s="7"/>
    </row>
    <row r="1246" spans="1:7" ht="27.75" customHeight="1">
      <c r="A1246" s="5">
        <v>1244</v>
      </c>
      <c r="B1246" s="6" t="str">
        <f>"李海梅"</f>
        <v>李海梅</v>
      </c>
      <c r="C1246" s="6" t="str">
        <f>"230702104506"</f>
        <v>230702104506</v>
      </c>
      <c r="D1246" s="5" t="s">
        <v>22</v>
      </c>
      <c r="E1246" s="5" t="s">
        <v>13</v>
      </c>
      <c r="F1246" s="5">
        <v>257</v>
      </c>
      <c r="G1246" s="7"/>
    </row>
    <row r="1247" spans="1:7" ht="27.75" customHeight="1">
      <c r="A1247" s="5">
        <v>1245</v>
      </c>
      <c r="B1247" s="6" t="str">
        <f>"陈日昱"</f>
        <v>陈日昱</v>
      </c>
      <c r="C1247" s="6" t="str">
        <f>"230702104601"</f>
        <v>230702104601</v>
      </c>
      <c r="D1247" s="5" t="s">
        <v>22</v>
      </c>
      <c r="E1247" s="5" t="s">
        <v>13</v>
      </c>
      <c r="F1247" s="5">
        <v>258</v>
      </c>
      <c r="G1247" s="7"/>
    </row>
    <row r="1248" spans="1:7" ht="27.75" customHeight="1">
      <c r="A1248" s="5">
        <v>1246</v>
      </c>
      <c r="B1248" s="6" t="str">
        <f>"韦百美"</f>
        <v>韦百美</v>
      </c>
      <c r="C1248" s="6" t="str">
        <f>"230702104611"</f>
        <v>230702104611</v>
      </c>
      <c r="D1248" s="5" t="s">
        <v>22</v>
      </c>
      <c r="E1248" s="5" t="s">
        <v>13</v>
      </c>
      <c r="F1248" s="5">
        <v>259</v>
      </c>
      <c r="G1248" s="7"/>
    </row>
    <row r="1249" spans="1:7" ht="27.75" customHeight="1">
      <c r="A1249" s="5">
        <v>1247</v>
      </c>
      <c r="B1249" s="6" t="str">
        <f>"王美丹"</f>
        <v>王美丹</v>
      </c>
      <c r="C1249" s="6" t="str">
        <f>"230702104616"</f>
        <v>230702104616</v>
      </c>
      <c r="D1249" s="5" t="s">
        <v>22</v>
      </c>
      <c r="E1249" s="5" t="s">
        <v>13</v>
      </c>
      <c r="F1249" s="5">
        <v>260</v>
      </c>
      <c r="G1249" s="7"/>
    </row>
    <row r="1250" spans="1:7" ht="27.75" customHeight="1">
      <c r="A1250" s="5">
        <v>1248</v>
      </c>
      <c r="B1250" s="6" t="str">
        <f>"王锡霞"</f>
        <v>王锡霞</v>
      </c>
      <c r="C1250" s="6" t="str">
        <f>"230702104813"</f>
        <v>230702104813</v>
      </c>
      <c r="D1250" s="5" t="s">
        <v>22</v>
      </c>
      <c r="E1250" s="5" t="s">
        <v>13</v>
      </c>
      <c r="F1250" s="5">
        <v>261</v>
      </c>
      <c r="G1250" s="7"/>
    </row>
    <row r="1251" spans="1:7" ht="27.75" customHeight="1">
      <c r="A1251" s="5">
        <v>1249</v>
      </c>
      <c r="B1251" s="6" t="str">
        <f>"陈婆妍"</f>
        <v>陈婆妍</v>
      </c>
      <c r="C1251" s="6" t="str">
        <f>"230702104913"</f>
        <v>230702104913</v>
      </c>
      <c r="D1251" s="5" t="s">
        <v>22</v>
      </c>
      <c r="E1251" s="5" t="s">
        <v>13</v>
      </c>
      <c r="F1251" s="5">
        <v>262</v>
      </c>
      <c r="G1251" s="7"/>
    </row>
    <row r="1252" spans="1:7" ht="27.75" customHeight="1">
      <c r="A1252" s="5">
        <v>1250</v>
      </c>
      <c r="B1252" s="6" t="str">
        <f>"王夏新"</f>
        <v>王夏新</v>
      </c>
      <c r="C1252" s="6" t="str">
        <f>"230702105119"</f>
        <v>230702105119</v>
      </c>
      <c r="D1252" s="5" t="s">
        <v>22</v>
      </c>
      <c r="E1252" s="5" t="s">
        <v>13</v>
      </c>
      <c r="F1252" s="5">
        <v>263</v>
      </c>
      <c r="G1252" s="7"/>
    </row>
    <row r="1253" spans="1:7" ht="27.75" customHeight="1">
      <c r="A1253" s="5">
        <v>1251</v>
      </c>
      <c r="B1253" s="6" t="str">
        <f>"梁予"</f>
        <v>梁予</v>
      </c>
      <c r="C1253" s="6" t="str">
        <f>"230702105217"</f>
        <v>230702105217</v>
      </c>
      <c r="D1253" s="5" t="s">
        <v>22</v>
      </c>
      <c r="E1253" s="5" t="s">
        <v>13</v>
      </c>
      <c r="F1253" s="5">
        <v>264</v>
      </c>
      <c r="G1253" s="7"/>
    </row>
    <row r="1254" spans="1:7" ht="27.75" customHeight="1">
      <c r="A1254" s="5">
        <v>1252</v>
      </c>
      <c r="B1254" s="6" t="str">
        <f>"林慧"</f>
        <v>林慧</v>
      </c>
      <c r="C1254" s="6" t="str">
        <f>"230702105220"</f>
        <v>230702105220</v>
      </c>
      <c r="D1254" s="5" t="s">
        <v>22</v>
      </c>
      <c r="E1254" s="5" t="s">
        <v>13</v>
      </c>
      <c r="F1254" s="5">
        <v>265</v>
      </c>
      <c r="G1254" s="7"/>
    </row>
    <row r="1255" spans="1:7" ht="27.75" customHeight="1">
      <c r="A1255" s="5">
        <v>1253</v>
      </c>
      <c r="B1255" s="6" t="str">
        <f>"潘春雅"</f>
        <v>潘春雅</v>
      </c>
      <c r="C1255" s="6" t="str">
        <f>"230702105719"</f>
        <v>230702105719</v>
      </c>
      <c r="D1255" s="5" t="s">
        <v>22</v>
      </c>
      <c r="E1255" s="5" t="s">
        <v>13</v>
      </c>
      <c r="F1255" s="5">
        <v>266</v>
      </c>
      <c r="G1255" s="7"/>
    </row>
    <row r="1256" spans="1:7" ht="27.75" customHeight="1">
      <c r="A1256" s="5">
        <v>1254</v>
      </c>
      <c r="B1256" s="6" t="str">
        <f>"邢孔喜"</f>
        <v>邢孔喜</v>
      </c>
      <c r="C1256" s="6" t="str">
        <f>"230702103724"</f>
        <v>230702103724</v>
      </c>
      <c r="D1256" s="5" t="s">
        <v>22</v>
      </c>
      <c r="E1256" s="5" t="s">
        <v>13</v>
      </c>
      <c r="F1256" s="5">
        <v>267</v>
      </c>
      <c r="G1256" s="7"/>
    </row>
    <row r="1257" spans="1:7" ht="27.75" customHeight="1">
      <c r="A1257" s="5">
        <v>1255</v>
      </c>
      <c r="B1257" s="6" t="str">
        <f>"唐雯婞"</f>
        <v>唐雯婞</v>
      </c>
      <c r="C1257" s="6" t="str">
        <f>"230702103828"</f>
        <v>230702103828</v>
      </c>
      <c r="D1257" s="5" t="s">
        <v>22</v>
      </c>
      <c r="E1257" s="5" t="s">
        <v>13</v>
      </c>
      <c r="F1257" s="5">
        <v>268</v>
      </c>
      <c r="G1257" s="7"/>
    </row>
    <row r="1258" spans="1:7" ht="27.75" customHeight="1">
      <c r="A1258" s="5">
        <v>1256</v>
      </c>
      <c r="B1258" s="6" t="str">
        <f>"符小淑"</f>
        <v>符小淑</v>
      </c>
      <c r="C1258" s="6" t="str">
        <f>"230702103910"</f>
        <v>230702103910</v>
      </c>
      <c r="D1258" s="5" t="s">
        <v>22</v>
      </c>
      <c r="E1258" s="5" t="s">
        <v>13</v>
      </c>
      <c r="F1258" s="5">
        <v>269</v>
      </c>
      <c r="G1258" s="7"/>
    </row>
    <row r="1259" spans="1:7" ht="27.75" customHeight="1">
      <c r="A1259" s="5">
        <v>1257</v>
      </c>
      <c r="B1259" s="6" t="str">
        <f>"郑荷蕾"</f>
        <v>郑荷蕾</v>
      </c>
      <c r="C1259" s="6" t="str">
        <f>"230702104320"</f>
        <v>230702104320</v>
      </c>
      <c r="D1259" s="5" t="s">
        <v>22</v>
      </c>
      <c r="E1259" s="5" t="s">
        <v>13</v>
      </c>
      <c r="F1259" s="5">
        <v>270</v>
      </c>
      <c r="G1259" s="7"/>
    </row>
    <row r="1260" spans="1:7" ht="27.75" customHeight="1">
      <c r="A1260" s="5">
        <v>1258</v>
      </c>
      <c r="B1260" s="6" t="str">
        <f>"李月桃"</f>
        <v>李月桃</v>
      </c>
      <c r="C1260" s="6" t="str">
        <f>"230702104525"</f>
        <v>230702104525</v>
      </c>
      <c r="D1260" s="5" t="s">
        <v>22</v>
      </c>
      <c r="E1260" s="5" t="s">
        <v>13</v>
      </c>
      <c r="F1260" s="5">
        <v>271</v>
      </c>
      <c r="G1260" s="7"/>
    </row>
    <row r="1261" spans="1:7" ht="27.75" customHeight="1">
      <c r="A1261" s="5">
        <v>1259</v>
      </c>
      <c r="B1261" s="6" t="str">
        <f>"王小南"</f>
        <v>王小南</v>
      </c>
      <c r="C1261" s="6" t="str">
        <f>"230702104705"</f>
        <v>230702104705</v>
      </c>
      <c r="D1261" s="5" t="s">
        <v>22</v>
      </c>
      <c r="E1261" s="5" t="s">
        <v>13</v>
      </c>
      <c r="F1261" s="5">
        <v>272</v>
      </c>
      <c r="G1261" s="7"/>
    </row>
    <row r="1262" spans="1:7" ht="27.75" customHeight="1">
      <c r="A1262" s="5">
        <v>1260</v>
      </c>
      <c r="B1262" s="6" t="str">
        <f>"符丽兵"</f>
        <v>符丽兵</v>
      </c>
      <c r="C1262" s="6" t="str">
        <f>"230702104717"</f>
        <v>230702104717</v>
      </c>
      <c r="D1262" s="5" t="s">
        <v>22</v>
      </c>
      <c r="E1262" s="5" t="s">
        <v>13</v>
      </c>
      <c r="F1262" s="5">
        <v>273</v>
      </c>
      <c r="G1262" s="7"/>
    </row>
    <row r="1263" spans="1:7" ht="27.75" customHeight="1">
      <c r="A1263" s="5">
        <v>1261</v>
      </c>
      <c r="B1263" s="6" t="str">
        <f>"王飘"</f>
        <v>王飘</v>
      </c>
      <c r="C1263" s="6" t="str">
        <f>"230702104918"</f>
        <v>230702104918</v>
      </c>
      <c r="D1263" s="5" t="s">
        <v>22</v>
      </c>
      <c r="E1263" s="5" t="s">
        <v>13</v>
      </c>
      <c r="F1263" s="5">
        <v>274</v>
      </c>
      <c r="G1263" s="7"/>
    </row>
    <row r="1264" spans="1:7" ht="27.75" customHeight="1">
      <c r="A1264" s="5">
        <v>1262</v>
      </c>
      <c r="B1264" s="6" t="str">
        <f>"胡娇莹"</f>
        <v>胡娇莹</v>
      </c>
      <c r="C1264" s="6" t="str">
        <f>"230702104927"</f>
        <v>230702104927</v>
      </c>
      <c r="D1264" s="5" t="s">
        <v>22</v>
      </c>
      <c r="E1264" s="5" t="s">
        <v>13</v>
      </c>
      <c r="F1264" s="5">
        <v>275</v>
      </c>
      <c r="G1264" s="7"/>
    </row>
    <row r="1265" spans="1:7" ht="27.75" customHeight="1">
      <c r="A1265" s="5">
        <v>1263</v>
      </c>
      <c r="B1265" s="6" t="str">
        <f>"王南阶"</f>
        <v>王南阶</v>
      </c>
      <c r="C1265" s="6" t="str">
        <f>"230702105116"</f>
        <v>230702105116</v>
      </c>
      <c r="D1265" s="5" t="s">
        <v>22</v>
      </c>
      <c r="E1265" s="5" t="s">
        <v>13</v>
      </c>
      <c r="F1265" s="5">
        <v>276</v>
      </c>
      <c r="G1265" s="7"/>
    </row>
    <row r="1266" spans="1:7" ht="27.75" customHeight="1">
      <c r="A1266" s="5">
        <v>1264</v>
      </c>
      <c r="B1266" s="6" t="str">
        <f>"吴娇莲"</f>
        <v>吴娇莲</v>
      </c>
      <c r="C1266" s="6" t="str">
        <f>"230702105210"</f>
        <v>230702105210</v>
      </c>
      <c r="D1266" s="5" t="s">
        <v>22</v>
      </c>
      <c r="E1266" s="5" t="s">
        <v>13</v>
      </c>
      <c r="F1266" s="5">
        <v>277</v>
      </c>
      <c r="G1266" s="7"/>
    </row>
    <row r="1267" spans="1:7" ht="27.75" customHeight="1">
      <c r="A1267" s="5">
        <v>1265</v>
      </c>
      <c r="B1267" s="6" t="str">
        <f>"梁丽云"</f>
        <v>梁丽云</v>
      </c>
      <c r="C1267" s="6" t="str">
        <f>"230702105213"</f>
        <v>230702105213</v>
      </c>
      <c r="D1267" s="5" t="s">
        <v>22</v>
      </c>
      <c r="E1267" s="5" t="s">
        <v>13</v>
      </c>
      <c r="F1267" s="5">
        <v>278</v>
      </c>
      <c r="G1267" s="7"/>
    </row>
    <row r="1268" spans="1:7" ht="27.75" customHeight="1">
      <c r="A1268" s="5">
        <v>1266</v>
      </c>
      <c r="B1268" s="6" t="str">
        <f>"黄婧"</f>
        <v>黄婧</v>
      </c>
      <c r="C1268" s="6" t="str">
        <f>"230702105320"</f>
        <v>230702105320</v>
      </c>
      <c r="D1268" s="5" t="s">
        <v>22</v>
      </c>
      <c r="E1268" s="5" t="s">
        <v>13</v>
      </c>
      <c r="F1268" s="5">
        <v>279</v>
      </c>
      <c r="G1268" s="7"/>
    </row>
    <row r="1269" spans="1:7" ht="27.75" customHeight="1">
      <c r="A1269" s="5">
        <v>1267</v>
      </c>
      <c r="B1269" s="6" t="str">
        <f>"梁议云"</f>
        <v>梁议云</v>
      </c>
      <c r="C1269" s="6" t="str">
        <f>"230702105501"</f>
        <v>230702105501</v>
      </c>
      <c r="D1269" s="5" t="s">
        <v>22</v>
      </c>
      <c r="E1269" s="5" t="s">
        <v>13</v>
      </c>
      <c r="F1269" s="5">
        <v>280</v>
      </c>
      <c r="G1269" s="7"/>
    </row>
    <row r="1270" spans="1:7" ht="27.75" customHeight="1">
      <c r="A1270" s="5">
        <v>1268</v>
      </c>
      <c r="B1270" s="6" t="str">
        <f>"李冬兰"</f>
        <v>李冬兰</v>
      </c>
      <c r="C1270" s="6" t="str">
        <f>"230702105518"</f>
        <v>230702105518</v>
      </c>
      <c r="D1270" s="5" t="s">
        <v>22</v>
      </c>
      <c r="E1270" s="5" t="s">
        <v>13</v>
      </c>
      <c r="F1270" s="5">
        <v>281</v>
      </c>
      <c r="G1270" s="7"/>
    </row>
    <row r="1271" spans="1:7" ht="27.75" customHeight="1">
      <c r="A1271" s="5">
        <v>1269</v>
      </c>
      <c r="B1271" s="6" t="str">
        <f>"王洪景"</f>
        <v>王洪景</v>
      </c>
      <c r="C1271" s="6" t="str">
        <f>"230702105606"</f>
        <v>230702105606</v>
      </c>
      <c r="D1271" s="5" t="s">
        <v>22</v>
      </c>
      <c r="E1271" s="5" t="s">
        <v>13</v>
      </c>
      <c r="F1271" s="5">
        <v>282</v>
      </c>
      <c r="G1271" s="7"/>
    </row>
    <row r="1272" spans="1:7" ht="27.75" customHeight="1">
      <c r="A1272" s="5">
        <v>1270</v>
      </c>
      <c r="B1272" s="6" t="str">
        <f>"韩丽霞"</f>
        <v>韩丽霞</v>
      </c>
      <c r="C1272" s="6" t="str">
        <f>"230702105618"</f>
        <v>230702105618</v>
      </c>
      <c r="D1272" s="5" t="s">
        <v>22</v>
      </c>
      <c r="E1272" s="5" t="s">
        <v>13</v>
      </c>
      <c r="F1272" s="5">
        <v>283</v>
      </c>
      <c r="G1272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2022-11-12T12:16:14Z</dcterms:created>
  <dcterms:modified xsi:type="dcterms:W3CDTF">2023-07-05T00:59:06Z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8E9F2A388E954B05AC13372030054B74_12</vt:lpwstr>
  </property>
</Properties>
</file>