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通过资格初审进入笔试人员名单" sheetId="1" r:id="rId1"/>
  </sheets>
  <definedNames/>
  <calcPr fullCalcOnLoad="1"/>
</workbook>
</file>

<file path=xl/sharedStrings.xml><?xml version="1.0" encoding="utf-8"?>
<sst xmlns="http://schemas.openxmlformats.org/spreadsheetml/2006/main" count="3201" uniqueCount="34">
  <si>
    <t>附件：儋州市2023年公开招聘中学教师通过资格初审进入笔试人员名单</t>
  </si>
  <si>
    <t>序号</t>
  </si>
  <si>
    <t>报考号</t>
  </si>
  <si>
    <t>岗位代码</t>
  </si>
  <si>
    <t>岗位名称</t>
  </si>
  <si>
    <t>姓名</t>
  </si>
  <si>
    <t>性别</t>
  </si>
  <si>
    <t>高中语文</t>
  </si>
  <si>
    <t>高中数学</t>
  </si>
  <si>
    <t>高中英语</t>
  </si>
  <si>
    <t>高中物理</t>
  </si>
  <si>
    <t>高中化学</t>
  </si>
  <si>
    <t>高中生物</t>
  </si>
  <si>
    <t>高中政治</t>
  </si>
  <si>
    <t>高中历史</t>
  </si>
  <si>
    <t>高中地理</t>
  </si>
  <si>
    <t>53002023052910591191110</t>
  </si>
  <si>
    <t>罗富强</t>
  </si>
  <si>
    <t>男</t>
  </si>
  <si>
    <t>高中心理</t>
  </si>
  <si>
    <t>初中语文</t>
  </si>
  <si>
    <t>初中数学</t>
  </si>
  <si>
    <t>初中英语</t>
  </si>
  <si>
    <t>朱琳</t>
  </si>
  <si>
    <t>初中物理</t>
  </si>
  <si>
    <t>初中化学</t>
  </si>
  <si>
    <t>初中生物</t>
  </si>
  <si>
    <t>初中政治</t>
  </si>
  <si>
    <t>初中历史</t>
  </si>
  <si>
    <t>初中地理</t>
  </si>
  <si>
    <t>初中体育</t>
  </si>
  <si>
    <t>初中音乐</t>
  </si>
  <si>
    <t>初中美术</t>
  </si>
  <si>
    <t>初中心理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</si>
</sst>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92"/>
  <sheetViews>
    <sheetView tabSelected="1" workbookViewId="0" topLeftCell="A1">
      <selection activeCell="J8" sqref="J8"/>
    </sheetView>
  </sheetViews>
  <sheetFormatPr defaultColWidth="9.00390625" defaultRowHeight="30" customHeight="1"/>
  <cols>
    <col min="1" max="1" width="8.00390625" style="2" customWidth="1"/>
    <col min="2" max="2" width="26.8515625" style="2" customWidth="1"/>
    <col min="3" max="3" width="13.00390625" style="2" customWidth="1"/>
    <col min="4" max="4" width="16.421875" style="2" customWidth="1"/>
    <col min="5" max="5" width="12.7109375" style="2" customWidth="1"/>
    <col min="6" max="6" width="12.57421875" style="2" customWidth="1"/>
    <col min="7" max="16384" width="9.00390625" style="2" customWidth="1"/>
  </cols>
  <sheetData>
    <row r="1" spans="1:6" ht="57" customHeight="1">
      <c r="A1" s="3" t="s">
        <v>0</v>
      </c>
      <c r="B1" s="4"/>
      <c r="C1" s="4"/>
      <c r="D1" s="4"/>
      <c r="E1" s="4"/>
      <c r="F1" s="4"/>
    </row>
    <row r="2" spans="1:6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30" customHeight="1">
      <c r="A3" s="6">
        <v>1</v>
      </c>
      <c r="B3" s="6" t="str">
        <f>"53002023052709081683685"</f>
        <v>53002023052709081683685</v>
      </c>
      <c r="C3" s="6" t="str">
        <f aca="true" t="shared" si="0" ref="C3:C66">"0101"</f>
        <v>0101</v>
      </c>
      <c r="D3" s="6" t="s">
        <v>7</v>
      </c>
      <c r="E3" s="6" t="str">
        <f>"王颖"</f>
        <v>王颖</v>
      </c>
      <c r="F3" s="6" t="str">
        <f>"女"</f>
        <v>女</v>
      </c>
    </row>
    <row r="4" spans="1:6" ht="30" customHeight="1">
      <c r="A4" s="6">
        <v>2</v>
      </c>
      <c r="B4" s="6" t="str">
        <f>"53002023052710085283929"</f>
        <v>53002023052710085283929</v>
      </c>
      <c r="C4" s="6" t="str">
        <f t="shared" si="0"/>
        <v>0101</v>
      </c>
      <c r="D4" s="6" t="s">
        <v>7</v>
      </c>
      <c r="E4" s="6" t="str">
        <f>"谢观福"</f>
        <v>谢观福</v>
      </c>
      <c r="F4" s="6" t="str">
        <f>"男"</f>
        <v>男</v>
      </c>
    </row>
    <row r="5" spans="1:6" ht="30" customHeight="1">
      <c r="A5" s="6">
        <v>3</v>
      </c>
      <c r="B5" s="6" t="str">
        <f>"53002023052716502785388"</f>
        <v>53002023052716502785388</v>
      </c>
      <c r="C5" s="6" t="str">
        <f t="shared" si="0"/>
        <v>0101</v>
      </c>
      <c r="D5" s="6" t="s">
        <v>7</v>
      </c>
      <c r="E5" s="6" t="str">
        <f>"吴琼华"</f>
        <v>吴琼华</v>
      </c>
      <c r="F5" s="6" t="str">
        <f>"女"</f>
        <v>女</v>
      </c>
    </row>
    <row r="6" spans="1:6" ht="30" customHeight="1">
      <c r="A6" s="6">
        <v>4</v>
      </c>
      <c r="B6" s="6" t="str">
        <f>"53002023052807533886746"</f>
        <v>53002023052807533886746</v>
      </c>
      <c r="C6" s="6" t="str">
        <f t="shared" si="0"/>
        <v>0101</v>
      </c>
      <c r="D6" s="6" t="s">
        <v>7</v>
      </c>
      <c r="E6" s="6" t="str">
        <f>"林小凤"</f>
        <v>林小凤</v>
      </c>
      <c r="F6" s="6" t="str">
        <f>"女"</f>
        <v>女</v>
      </c>
    </row>
    <row r="7" spans="1:6" ht="30" customHeight="1">
      <c r="A7" s="6">
        <v>5</v>
      </c>
      <c r="B7" s="6" t="str">
        <f>"53002023052813313187486"</f>
        <v>53002023052813313187486</v>
      </c>
      <c r="C7" s="6" t="str">
        <f t="shared" si="0"/>
        <v>0101</v>
      </c>
      <c r="D7" s="6" t="s">
        <v>7</v>
      </c>
      <c r="E7" s="6" t="str">
        <f>"邓奇英"</f>
        <v>邓奇英</v>
      </c>
      <c r="F7" s="6" t="str">
        <f>"女"</f>
        <v>女</v>
      </c>
    </row>
    <row r="8" spans="1:6" ht="30" customHeight="1">
      <c r="A8" s="6">
        <v>6</v>
      </c>
      <c r="B8" s="6" t="str">
        <f>"53002023052822452689148"</f>
        <v>53002023052822452689148</v>
      </c>
      <c r="C8" s="6" t="str">
        <f t="shared" si="0"/>
        <v>0101</v>
      </c>
      <c r="D8" s="6" t="s">
        <v>7</v>
      </c>
      <c r="E8" s="6" t="str">
        <f>"郑帝娥"</f>
        <v>郑帝娥</v>
      </c>
      <c r="F8" s="6" t="str">
        <f>"女"</f>
        <v>女</v>
      </c>
    </row>
    <row r="9" spans="1:6" ht="30" customHeight="1">
      <c r="A9" s="6">
        <v>7</v>
      </c>
      <c r="B9" s="6" t="str">
        <f>"53002023052907330189430"</f>
        <v>53002023052907330189430</v>
      </c>
      <c r="C9" s="6" t="str">
        <f t="shared" si="0"/>
        <v>0101</v>
      </c>
      <c r="D9" s="6" t="s">
        <v>7</v>
      </c>
      <c r="E9" s="6" t="str">
        <f>"符武婷"</f>
        <v>符武婷</v>
      </c>
      <c r="F9" s="6" t="str">
        <f>"女"</f>
        <v>女</v>
      </c>
    </row>
    <row r="10" spans="1:6" ht="30" customHeight="1">
      <c r="A10" s="6">
        <v>8</v>
      </c>
      <c r="B10" s="6" t="str">
        <f>"53002023052909233690016"</f>
        <v>53002023052909233690016</v>
      </c>
      <c r="C10" s="6" t="str">
        <f t="shared" si="0"/>
        <v>0101</v>
      </c>
      <c r="D10" s="6" t="s">
        <v>7</v>
      </c>
      <c r="E10" s="6" t="str">
        <f>"符运松"</f>
        <v>符运松</v>
      </c>
      <c r="F10" s="6" t="str">
        <f>"男"</f>
        <v>男</v>
      </c>
    </row>
    <row r="11" spans="1:6" ht="30" customHeight="1">
      <c r="A11" s="6">
        <v>9</v>
      </c>
      <c r="B11" s="6" t="str">
        <f>"53002023052908093689496"</f>
        <v>53002023052908093689496</v>
      </c>
      <c r="C11" s="6" t="str">
        <f t="shared" si="0"/>
        <v>0101</v>
      </c>
      <c r="D11" s="6" t="s">
        <v>7</v>
      </c>
      <c r="E11" s="6" t="str">
        <f>"黄朝华"</f>
        <v>黄朝华</v>
      </c>
      <c r="F11" s="6" t="str">
        <f aca="true" t="shared" si="1" ref="F11:F23">"女"</f>
        <v>女</v>
      </c>
    </row>
    <row r="12" spans="1:6" ht="30" customHeight="1">
      <c r="A12" s="6">
        <v>10</v>
      </c>
      <c r="B12" s="6" t="str">
        <f>"53002023052911070491189"</f>
        <v>53002023052911070491189</v>
      </c>
      <c r="C12" s="6" t="str">
        <f t="shared" si="0"/>
        <v>0101</v>
      </c>
      <c r="D12" s="6" t="s">
        <v>7</v>
      </c>
      <c r="E12" s="6" t="str">
        <f>"董玉妍"</f>
        <v>董玉妍</v>
      </c>
      <c r="F12" s="6" t="str">
        <f t="shared" si="1"/>
        <v>女</v>
      </c>
    </row>
    <row r="13" spans="1:6" ht="30" customHeight="1">
      <c r="A13" s="6">
        <v>11</v>
      </c>
      <c r="B13" s="6" t="str">
        <f>"53002023052913280392192"</f>
        <v>53002023052913280392192</v>
      </c>
      <c r="C13" s="6" t="str">
        <f t="shared" si="0"/>
        <v>0101</v>
      </c>
      <c r="D13" s="6" t="s">
        <v>7</v>
      </c>
      <c r="E13" s="6" t="str">
        <f>"陆小云"</f>
        <v>陆小云</v>
      </c>
      <c r="F13" s="6" t="str">
        <f t="shared" si="1"/>
        <v>女</v>
      </c>
    </row>
    <row r="14" spans="1:6" ht="30" customHeight="1">
      <c r="A14" s="6">
        <v>12</v>
      </c>
      <c r="B14" s="6" t="str">
        <f>"53002023052914132192398"</f>
        <v>53002023052914132192398</v>
      </c>
      <c r="C14" s="6" t="str">
        <f t="shared" si="0"/>
        <v>0101</v>
      </c>
      <c r="D14" s="6" t="s">
        <v>7</v>
      </c>
      <c r="E14" s="6" t="str">
        <f>"苏滢源"</f>
        <v>苏滢源</v>
      </c>
      <c r="F14" s="6" t="str">
        <f t="shared" si="1"/>
        <v>女</v>
      </c>
    </row>
    <row r="15" spans="1:6" ht="30" customHeight="1">
      <c r="A15" s="6">
        <v>13</v>
      </c>
      <c r="B15" s="6" t="str">
        <f>"53002023052915151792764"</f>
        <v>53002023052915151792764</v>
      </c>
      <c r="C15" s="6" t="str">
        <f t="shared" si="0"/>
        <v>0101</v>
      </c>
      <c r="D15" s="6" t="s">
        <v>7</v>
      </c>
      <c r="E15" s="6" t="str">
        <f>"李杰逢"</f>
        <v>李杰逢</v>
      </c>
      <c r="F15" s="6" t="str">
        <f t="shared" si="1"/>
        <v>女</v>
      </c>
    </row>
    <row r="16" spans="1:6" ht="30" customHeight="1">
      <c r="A16" s="6">
        <v>14</v>
      </c>
      <c r="B16" s="6" t="str">
        <f>"53002023052916205393283"</f>
        <v>53002023052916205393283</v>
      </c>
      <c r="C16" s="6" t="str">
        <f t="shared" si="0"/>
        <v>0101</v>
      </c>
      <c r="D16" s="6" t="s">
        <v>7</v>
      </c>
      <c r="E16" s="6" t="str">
        <f>"陈裕娴"</f>
        <v>陈裕娴</v>
      </c>
      <c r="F16" s="6" t="str">
        <f t="shared" si="1"/>
        <v>女</v>
      </c>
    </row>
    <row r="17" spans="1:6" ht="30" customHeight="1">
      <c r="A17" s="6">
        <v>15</v>
      </c>
      <c r="B17" s="6" t="str">
        <f>"53002023052916581093556"</f>
        <v>53002023052916581093556</v>
      </c>
      <c r="C17" s="6" t="str">
        <f t="shared" si="0"/>
        <v>0101</v>
      </c>
      <c r="D17" s="6" t="s">
        <v>7</v>
      </c>
      <c r="E17" s="6" t="str">
        <f>"张小倩"</f>
        <v>张小倩</v>
      </c>
      <c r="F17" s="6" t="str">
        <f t="shared" si="1"/>
        <v>女</v>
      </c>
    </row>
    <row r="18" spans="1:6" ht="30" customHeight="1">
      <c r="A18" s="6">
        <v>16</v>
      </c>
      <c r="B18" s="6" t="str">
        <f>"53002023052912114791726"</f>
        <v>53002023052912114791726</v>
      </c>
      <c r="C18" s="6" t="str">
        <f t="shared" si="0"/>
        <v>0101</v>
      </c>
      <c r="D18" s="6" t="s">
        <v>7</v>
      </c>
      <c r="E18" s="6" t="str">
        <f>"王榆景"</f>
        <v>王榆景</v>
      </c>
      <c r="F18" s="6" t="str">
        <f t="shared" si="1"/>
        <v>女</v>
      </c>
    </row>
    <row r="19" spans="1:6" ht="30" customHeight="1">
      <c r="A19" s="6">
        <v>17</v>
      </c>
      <c r="B19" s="6" t="str">
        <f>"53002023052915314492891"</f>
        <v>53002023052915314492891</v>
      </c>
      <c r="C19" s="6" t="str">
        <f t="shared" si="0"/>
        <v>0101</v>
      </c>
      <c r="D19" s="6" t="s">
        <v>7</v>
      </c>
      <c r="E19" s="6" t="str">
        <f>"王小雪"</f>
        <v>王小雪</v>
      </c>
      <c r="F19" s="6" t="str">
        <f t="shared" si="1"/>
        <v>女</v>
      </c>
    </row>
    <row r="20" spans="1:6" ht="30" customHeight="1">
      <c r="A20" s="6">
        <v>18</v>
      </c>
      <c r="B20" s="6" t="str">
        <f>"53002023052917061793602"</f>
        <v>53002023052917061793602</v>
      </c>
      <c r="C20" s="6" t="str">
        <f t="shared" si="0"/>
        <v>0101</v>
      </c>
      <c r="D20" s="6" t="s">
        <v>7</v>
      </c>
      <c r="E20" s="6" t="str">
        <f>"朱丽娜"</f>
        <v>朱丽娜</v>
      </c>
      <c r="F20" s="6" t="str">
        <f t="shared" si="1"/>
        <v>女</v>
      </c>
    </row>
    <row r="21" spans="1:6" ht="30" customHeight="1">
      <c r="A21" s="6">
        <v>19</v>
      </c>
      <c r="B21" s="6" t="str">
        <f>"53002023052917361793765"</f>
        <v>53002023052917361793765</v>
      </c>
      <c r="C21" s="6" t="str">
        <f t="shared" si="0"/>
        <v>0101</v>
      </c>
      <c r="D21" s="6" t="s">
        <v>7</v>
      </c>
      <c r="E21" s="6" t="str">
        <f>"涂雪颖"</f>
        <v>涂雪颖</v>
      </c>
      <c r="F21" s="6" t="str">
        <f t="shared" si="1"/>
        <v>女</v>
      </c>
    </row>
    <row r="22" spans="1:6" ht="30" customHeight="1">
      <c r="A22" s="6">
        <v>20</v>
      </c>
      <c r="B22" s="6" t="str">
        <f>"53002023052920161094481"</f>
        <v>53002023052920161094481</v>
      </c>
      <c r="C22" s="6" t="str">
        <f t="shared" si="0"/>
        <v>0101</v>
      </c>
      <c r="D22" s="6" t="s">
        <v>7</v>
      </c>
      <c r="E22" s="6" t="str">
        <f>"王梅灵"</f>
        <v>王梅灵</v>
      </c>
      <c r="F22" s="6" t="str">
        <f t="shared" si="1"/>
        <v>女</v>
      </c>
    </row>
    <row r="23" spans="1:6" ht="30" customHeight="1">
      <c r="A23" s="6">
        <v>21</v>
      </c>
      <c r="B23" s="6" t="str">
        <f>"53002023052920231094515"</f>
        <v>53002023052920231094515</v>
      </c>
      <c r="C23" s="6" t="str">
        <f t="shared" si="0"/>
        <v>0101</v>
      </c>
      <c r="D23" s="6" t="s">
        <v>7</v>
      </c>
      <c r="E23" s="6" t="str">
        <f>"吴紫红"</f>
        <v>吴紫红</v>
      </c>
      <c r="F23" s="6" t="str">
        <f t="shared" si="1"/>
        <v>女</v>
      </c>
    </row>
    <row r="24" spans="1:6" ht="30" customHeight="1">
      <c r="A24" s="6">
        <v>22</v>
      </c>
      <c r="B24" s="6" t="str">
        <f>"53002023052920034794430"</f>
        <v>53002023052920034794430</v>
      </c>
      <c r="C24" s="6" t="str">
        <f t="shared" si="0"/>
        <v>0101</v>
      </c>
      <c r="D24" s="6" t="s">
        <v>7</v>
      </c>
      <c r="E24" s="6" t="str">
        <f>"羊逸春"</f>
        <v>羊逸春</v>
      </c>
      <c r="F24" s="6" t="str">
        <f>"男"</f>
        <v>男</v>
      </c>
    </row>
    <row r="25" spans="1:6" ht="30" customHeight="1">
      <c r="A25" s="6">
        <v>23</v>
      </c>
      <c r="B25" s="6" t="str">
        <f>"53002023052916422393448"</f>
        <v>53002023052916422393448</v>
      </c>
      <c r="C25" s="6" t="str">
        <f t="shared" si="0"/>
        <v>0101</v>
      </c>
      <c r="D25" s="6" t="s">
        <v>7</v>
      </c>
      <c r="E25" s="6" t="str">
        <f>"李双灼"</f>
        <v>李双灼</v>
      </c>
      <c r="F25" s="6" t="str">
        <f>"男"</f>
        <v>男</v>
      </c>
    </row>
    <row r="26" spans="1:6" ht="30" customHeight="1">
      <c r="A26" s="6">
        <v>24</v>
      </c>
      <c r="B26" s="6" t="str">
        <f>"53002023052920120094460"</f>
        <v>53002023052920120094460</v>
      </c>
      <c r="C26" s="6" t="str">
        <f t="shared" si="0"/>
        <v>0101</v>
      </c>
      <c r="D26" s="6" t="s">
        <v>7</v>
      </c>
      <c r="E26" s="6" t="str">
        <f>"董朝燕"</f>
        <v>董朝燕</v>
      </c>
      <c r="F26" s="6" t="str">
        <f aca="true" t="shared" si="2" ref="F26:F40">"女"</f>
        <v>女</v>
      </c>
    </row>
    <row r="27" spans="1:6" ht="30" customHeight="1">
      <c r="A27" s="6">
        <v>25</v>
      </c>
      <c r="B27" s="6" t="str">
        <f>"53002023052717563485598"</f>
        <v>53002023052717563485598</v>
      </c>
      <c r="C27" s="6" t="str">
        <f t="shared" si="0"/>
        <v>0101</v>
      </c>
      <c r="D27" s="6" t="s">
        <v>7</v>
      </c>
      <c r="E27" s="6" t="str">
        <f>"崔可人"</f>
        <v>崔可人</v>
      </c>
      <c r="F27" s="6" t="str">
        <f t="shared" si="2"/>
        <v>女</v>
      </c>
    </row>
    <row r="28" spans="1:6" ht="30" customHeight="1">
      <c r="A28" s="6">
        <v>26</v>
      </c>
      <c r="B28" s="6" t="str">
        <f>"53002023052918091193926"</f>
        <v>53002023052918091193926</v>
      </c>
      <c r="C28" s="6" t="str">
        <f t="shared" si="0"/>
        <v>0101</v>
      </c>
      <c r="D28" s="6" t="s">
        <v>7</v>
      </c>
      <c r="E28" s="6" t="str">
        <f>"何秀莉"</f>
        <v>何秀莉</v>
      </c>
      <c r="F28" s="6" t="str">
        <f t="shared" si="2"/>
        <v>女</v>
      </c>
    </row>
    <row r="29" spans="1:6" ht="30" customHeight="1">
      <c r="A29" s="6">
        <v>27</v>
      </c>
      <c r="B29" s="6" t="str">
        <f>"53002023052922554895381"</f>
        <v>53002023052922554895381</v>
      </c>
      <c r="C29" s="6" t="str">
        <f t="shared" si="0"/>
        <v>0101</v>
      </c>
      <c r="D29" s="6" t="s">
        <v>7</v>
      </c>
      <c r="E29" s="6" t="str">
        <f>"钟秋慧"</f>
        <v>钟秋慧</v>
      </c>
      <c r="F29" s="6" t="str">
        <f t="shared" si="2"/>
        <v>女</v>
      </c>
    </row>
    <row r="30" spans="1:6" ht="30" customHeight="1">
      <c r="A30" s="6">
        <v>28</v>
      </c>
      <c r="B30" s="6" t="str">
        <f>"53002023052910410490923"</f>
        <v>53002023052910410490923</v>
      </c>
      <c r="C30" s="6" t="str">
        <f t="shared" si="0"/>
        <v>0101</v>
      </c>
      <c r="D30" s="6" t="s">
        <v>7</v>
      </c>
      <c r="E30" s="6" t="str">
        <f>"卢家仪"</f>
        <v>卢家仪</v>
      </c>
      <c r="F30" s="6" t="str">
        <f t="shared" si="2"/>
        <v>女</v>
      </c>
    </row>
    <row r="31" spans="1:6" ht="30" customHeight="1">
      <c r="A31" s="6">
        <v>29</v>
      </c>
      <c r="B31" s="6" t="str">
        <f>"53002023053011070397009"</f>
        <v>53002023053011070397009</v>
      </c>
      <c r="C31" s="6" t="str">
        <f t="shared" si="0"/>
        <v>0101</v>
      </c>
      <c r="D31" s="6" t="s">
        <v>7</v>
      </c>
      <c r="E31" s="6" t="str">
        <f>"王芯颖"</f>
        <v>王芯颖</v>
      </c>
      <c r="F31" s="6" t="str">
        <f t="shared" si="2"/>
        <v>女</v>
      </c>
    </row>
    <row r="32" spans="1:6" ht="30" customHeight="1">
      <c r="A32" s="6">
        <v>30</v>
      </c>
      <c r="B32" s="6" t="str">
        <f>"53002023052908520389646"</f>
        <v>53002023052908520389646</v>
      </c>
      <c r="C32" s="6" t="str">
        <f t="shared" si="0"/>
        <v>0101</v>
      </c>
      <c r="D32" s="6" t="s">
        <v>7</v>
      </c>
      <c r="E32" s="6" t="str">
        <f>"温芳艳"</f>
        <v>温芳艳</v>
      </c>
      <c r="F32" s="6" t="str">
        <f t="shared" si="2"/>
        <v>女</v>
      </c>
    </row>
    <row r="33" spans="1:6" ht="30" customHeight="1">
      <c r="A33" s="6">
        <v>31</v>
      </c>
      <c r="B33" s="6" t="str">
        <f>"53002023053015363198519"</f>
        <v>53002023053015363198519</v>
      </c>
      <c r="C33" s="6" t="str">
        <f t="shared" si="0"/>
        <v>0101</v>
      </c>
      <c r="D33" s="6" t="s">
        <v>7</v>
      </c>
      <c r="E33" s="6" t="str">
        <f>"王丽金"</f>
        <v>王丽金</v>
      </c>
      <c r="F33" s="6" t="str">
        <f t="shared" si="2"/>
        <v>女</v>
      </c>
    </row>
    <row r="34" spans="1:6" ht="30" customHeight="1">
      <c r="A34" s="6">
        <v>32</v>
      </c>
      <c r="B34" s="6" t="str">
        <f>"53002023052909334190138"</f>
        <v>53002023052909334190138</v>
      </c>
      <c r="C34" s="6" t="str">
        <f t="shared" si="0"/>
        <v>0101</v>
      </c>
      <c r="D34" s="6" t="s">
        <v>7</v>
      </c>
      <c r="E34" s="6" t="str">
        <f>"羊春丽"</f>
        <v>羊春丽</v>
      </c>
      <c r="F34" s="6" t="str">
        <f t="shared" si="2"/>
        <v>女</v>
      </c>
    </row>
    <row r="35" spans="1:6" ht="30" customHeight="1">
      <c r="A35" s="6">
        <v>33</v>
      </c>
      <c r="B35" s="6" t="str">
        <f>"53002023053018545399600"</f>
        <v>53002023053018545399600</v>
      </c>
      <c r="C35" s="6" t="str">
        <f t="shared" si="0"/>
        <v>0101</v>
      </c>
      <c r="D35" s="6" t="s">
        <v>7</v>
      </c>
      <c r="E35" s="6" t="str">
        <f>"王凡"</f>
        <v>王凡</v>
      </c>
      <c r="F35" s="6" t="str">
        <f t="shared" si="2"/>
        <v>女</v>
      </c>
    </row>
    <row r="36" spans="1:6" ht="30" customHeight="1">
      <c r="A36" s="6">
        <v>34</v>
      </c>
      <c r="B36" s="6" t="str">
        <f>"53002023053013064897772"</f>
        <v>53002023053013064897772</v>
      </c>
      <c r="C36" s="6" t="str">
        <f t="shared" si="0"/>
        <v>0101</v>
      </c>
      <c r="D36" s="6" t="s">
        <v>7</v>
      </c>
      <c r="E36" s="6" t="str">
        <f>"云艳苗"</f>
        <v>云艳苗</v>
      </c>
      <c r="F36" s="6" t="str">
        <f t="shared" si="2"/>
        <v>女</v>
      </c>
    </row>
    <row r="37" spans="1:6" ht="30" customHeight="1">
      <c r="A37" s="6">
        <v>35</v>
      </c>
      <c r="B37" s="6" t="str">
        <f>"53002023052919430294325"</f>
        <v>53002023052919430294325</v>
      </c>
      <c r="C37" s="6" t="str">
        <f t="shared" si="0"/>
        <v>0101</v>
      </c>
      <c r="D37" s="6" t="s">
        <v>7</v>
      </c>
      <c r="E37" s="6" t="str">
        <f>"张美玲"</f>
        <v>张美玲</v>
      </c>
      <c r="F37" s="6" t="str">
        <f t="shared" si="2"/>
        <v>女</v>
      </c>
    </row>
    <row r="38" spans="1:6" ht="30" customHeight="1">
      <c r="A38" s="6">
        <v>36</v>
      </c>
      <c r="B38" s="6" t="str">
        <f>"530020230530224650100685"</f>
        <v>530020230530224650100685</v>
      </c>
      <c r="C38" s="6" t="str">
        <f t="shared" si="0"/>
        <v>0101</v>
      </c>
      <c r="D38" s="6" t="s">
        <v>7</v>
      </c>
      <c r="E38" s="6" t="str">
        <f>"夏李慧"</f>
        <v>夏李慧</v>
      </c>
      <c r="F38" s="6" t="str">
        <f t="shared" si="2"/>
        <v>女</v>
      </c>
    </row>
    <row r="39" spans="1:6" ht="30" customHeight="1">
      <c r="A39" s="6">
        <v>37</v>
      </c>
      <c r="B39" s="6" t="str">
        <f>"530020230530224107100655"</f>
        <v>530020230530224107100655</v>
      </c>
      <c r="C39" s="6" t="str">
        <f t="shared" si="0"/>
        <v>0101</v>
      </c>
      <c r="D39" s="6" t="s">
        <v>7</v>
      </c>
      <c r="E39" s="6" t="str">
        <f>"赵瑾"</f>
        <v>赵瑾</v>
      </c>
      <c r="F39" s="6" t="str">
        <f t="shared" si="2"/>
        <v>女</v>
      </c>
    </row>
    <row r="40" spans="1:6" ht="30" customHeight="1">
      <c r="A40" s="6">
        <v>38</v>
      </c>
      <c r="B40" s="6" t="str">
        <f>"53002023052920582894707"</f>
        <v>53002023052920582894707</v>
      </c>
      <c r="C40" s="6" t="str">
        <f t="shared" si="0"/>
        <v>0101</v>
      </c>
      <c r="D40" s="6" t="s">
        <v>7</v>
      </c>
      <c r="E40" s="6" t="str">
        <f>"吉英"</f>
        <v>吉英</v>
      </c>
      <c r="F40" s="6" t="str">
        <f t="shared" si="2"/>
        <v>女</v>
      </c>
    </row>
    <row r="41" spans="1:6" ht="30" customHeight="1">
      <c r="A41" s="6">
        <v>39</v>
      </c>
      <c r="B41" s="6" t="str">
        <f>"530020230531085933101313"</f>
        <v>530020230531085933101313</v>
      </c>
      <c r="C41" s="6" t="str">
        <f t="shared" si="0"/>
        <v>0101</v>
      </c>
      <c r="D41" s="6" t="s">
        <v>7</v>
      </c>
      <c r="E41" s="6" t="str">
        <f>"符金标"</f>
        <v>符金标</v>
      </c>
      <c r="F41" s="6" t="str">
        <f>"男"</f>
        <v>男</v>
      </c>
    </row>
    <row r="42" spans="1:6" ht="30" customHeight="1">
      <c r="A42" s="6">
        <v>40</v>
      </c>
      <c r="B42" s="6" t="str">
        <f>"530020230531100337101804"</f>
        <v>530020230531100337101804</v>
      </c>
      <c r="C42" s="6" t="str">
        <f t="shared" si="0"/>
        <v>0101</v>
      </c>
      <c r="D42" s="6" t="s">
        <v>7</v>
      </c>
      <c r="E42" s="6" t="str">
        <f>"苏寒"</f>
        <v>苏寒</v>
      </c>
      <c r="F42" s="6" t="str">
        <f>"女"</f>
        <v>女</v>
      </c>
    </row>
    <row r="43" spans="1:6" ht="30" customHeight="1">
      <c r="A43" s="6">
        <v>41</v>
      </c>
      <c r="B43" s="6" t="str">
        <f>"53002023053015233698423"</f>
        <v>53002023053015233698423</v>
      </c>
      <c r="C43" s="6" t="str">
        <f t="shared" si="0"/>
        <v>0101</v>
      </c>
      <c r="D43" s="6" t="s">
        <v>7</v>
      </c>
      <c r="E43" s="6" t="str">
        <f>"陈泰宁"</f>
        <v>陈泰宁</v>
      </c>
      <c r="F43" s="6" t="str">
        <f>"男"</f>
        <v>男</v>
      </c>
    </row>
    <row r="44" spans="1:6" ht="30" customHeight="1">
      <c r="A44" s="6">
        <v>42</v>
      </c>
      <c r="B44" s="6" t="str">
        <f>"53002023053009574396435"</f>
        <v>53002023053009574396435</v>
      </c>
      <c r="C44" s="6" t="str">
        <f t="shared" si="0"/>
        <v>0101</v>
      </c>
      <c r="D44" s="6" t="s">
        <v>7</v>
      </c>
      <c r="E44" s="6" t="str">
        <f>"周带林"</f>
        <v>周带林</v>
      </c>
      <c r="F44" s="6" t="str">
        <f aca="true" t="shared" si="3" ref="F44:F64">"女"</f>
        <v>女</v>
      </c>
    </row>
    <row r="45" spans="1:6" ht="30" customHeight="1">
      <c r="A45" s="6">
        <v>43</v>
      </c>
      <c r="B45" s="6" t="str">
        <f>"53002023053010495996869"</f>
        <v>53002023053010495996869</v>
      </c>
      <c r="C45" s="6" t="str">
        <f t="shared" si="0"/>
        <v>0101</v>
      </c>
      <c r="D45" s="6" t="s">
        <v>7</v>
      </c>
      <c r="E45" s="6" t="str">
        <f>"林明双"</f>
        <v>林明双</v>
      </c>
      <c r="F45" s="6" t="str">
        <f t="shared" si="3"/>
        <v>女</v>
      </c>
    </row>
    <row r="46" spans="1:6" ht="30" customHeight="1">
      <c r="A46" s="6">
        <v>44</v>
      </c>
      <c r="B46" s="6" t="str">
        <f>"53002023052911282491362"</f>
        <v>53002023052911282491362</v>
      </c>
      <c r="C46" s="6" t="str">
        <f t="shared" si="0"/>
        <v>0101</v>
      </c>
      <c r="D46" s="6" t="s">
        <v>7</v>
      </c>
      <c r="E46" s="6" t="str">
        <f>"林舒"</f>
        <v>林舒</v>
      </c>
      <c r="F46" s="6" t="str">
        <f t="shared" si="3"/>
        <v>女</v>
      </c>
    </row>
    <row r="47" spans="1:6" ht="30" customHeight="1">
      <c r="A47" s="6">
        <v>45</v>
      </c>
      <c r="B47" s="6" t="str">
        <f>"530020230531160430103517"</f>
        <v>530020230531160430103517</v>
      </c>
      <c r="C47" s="6" t="str">
        <f t="shared" si="0"/>
        <v>0101</v>
      </c>
      <c r="D47" s="6" t="s">
        <v>7</v>
      </c>
      <c r="E47" s="6" t="str">
        <f>"陈良珍"</f>
        <v>陈良珍</v>
      </c>
      <c r="F47" s="6" t="str">
        <f t="shared" si="3"/>
        <v>女</v>
      </c>
    </row>
    <row r="48" spans="1:6" ht="30" customHeight="1">
      <c r="A48" s="6">
        <v>46</v>
      </c>
      <c r="B48" s="6" t="str">
        <f>"530020230531154311103411"</f>
        <v>530020230531154311103411</v>
      </c>
      <c r="C48" s="6" t="str">
        <f t="shared" si="0"/>
        <v>0101</v>
      </c>
      <c r="D48" s="6" t="s">
        <v>7</v>
      </c>
      <c r="E48" s="6" t="str">
        <f>"梁曼君"</f>
        <v>梁曼君</v>
      </c>
      <c r="F48" s="6" t="str">
        <f t="shared" si="3"/>
        <v>女</v>
      </c>
    </row>
    <row r="49" spans="1:6" ht="30" customHeight="1">
      <c r="A49" s="6">
        <v>47</v>
      </c>
      <c r="B49" s="6" t="str">
        <f>"530020230531175247104016"</f>
        <v>530020230531175247104016</v>
      </c>
      <c r="C49" s="6" t="str">
        <f t="shared" si="0"/>
        <v>0101</v>
      </c>
      <c r="D49" s="6" t="s">
        <v>7</v>
      </c>
      <c r="E49" s="6" t="str">
        <f>"唐空"</f>
        <v>唐空</v>
      </c>
      <c r="F49" s="6" t="str">
        <f t="shared" si="3"/>
        <v>女</v>
      </c>
    </row>
    <row r="50" spans="1:6" ht="30" customHeight="1">
      <c r="A50" s="6">
        <v>48</v>
      </c>
      <c r="B50" s="6" t="str">
        <f>"530020230531174452103992"</f>
        <v>530020230531174452103992</v>
      </c>
      <c r="C50" s="6" t="str">
        <f t="shared" si="0"/>
        <v>0101</v>
      </c>
      <c r="D50" s="6" t="s">
        <v>7</v>
      </c>
      <c r="E50" s="6" t="str">
        <f>"赵荣花"</f>
        <v>赵荣花</v>
      </c>
      <c r="F50" s="6" t="str">
        <f t="shared" si="3"/>
        <v>女</v>
      </c>
    </row>
    <row r="51" spans="1:6" ht="30" customHeight="1">
      <c r="A51" s="6">
        <v>49</v>
      </c>
      <c r="B51" s="6" t="str">
        <f>"530020230531174405103987"</f>
        <v>530020230531174405103987</v>
      </c>
      <c r="C51" s="6" t="str">
        <f t="shared" si="0"/>
        <v>0101</v>
      </c>
      <c r="D51" s="6" t="s">
        <v>7</v>
      </c>
      <c r="E51" s="6" t="str">
        <f>"李元花"</f>
        <v>李元花</v>
      </c>
      <c r="F51" s="6" t="str">
        <f t="shared" si="3"/>
        <v>女</v>
      </c>
    </row>
    <row r="52" spans="1:6" ht="30" customHeight="1">
      <c r="A52" s="6">
        <v>50</v>
      </c>
      <c r="B52" s="6" t="str">
        <f>"530020230531181651104097"</f>
        <v>530020230531181651104097</v>
      </c>
      <c r="C52" s="6" t="str">
        <f t="shared" si="0"/>
        <v>0101</v>
      </c>
      <c r="D52" s="6" t="s">
        <v>7</v>
      </c>
      <c r="E52" s="6" t="str">
        <f>"罗千玲"</f>
        <v>罗千玲</v>
      </c>
      <c r="F52" s="6" t="str">
        <f t="shared" si="3"/>
        <v>女</v>
      </c>
    </row>
    <row r="53" spans="1:6" ht="30" customHeight="1">
      <c r="A53" s="6">
        <v>51</v>
      </c>
      <c r="B53" s="6" t="str">
        <f>"530020230531131136102847"</f>
        <v>530020230531131136102847</v>
      </c>
      <c r="C53" s="6" t="str">
        <f t="shared" si="0"/>
        <v>0101</v>
      </c>
      <c r="D53" s="6" t="s">
        <v>7</v>
      </c>
      <c r="E53" s="6" t="str">
        <f>"陈丽"</f>
        <v>陈丽</v>
      </c>
      <c r="F53" s="6" t="str">
        <f t="shared" si="3"/>
        <v>女</v>
      </c>
    </row>
    <row r="54" spans="1:6" ht="30" customHeight="1">
      <c r="A54" s="6">
        <v>52</v>
      </c>
      <c r="B54" s="6" t="str">
        <f>"53002023052917280893724"</f>
        <v>53002023052917280893724</v>
      </c>
      <c r="C54" s="6" t="str">
        <f t="shared" si="0"/>
        <v>0101</v>
      </c>
      <c r="D54" s="6" t="s">
        <v>7</v>
      </c>
      <c r="E54" s="6" t="str">
        <f>"严海凤"</f>
        <v>严海凤</v>
      </c>
      <c r="F54" s="6" t="str">
        <f t="shared" si="3"/>
        <v>女</v>
      </c>
    </row>
    <row r="55" spans="1:6" ht="30" customHeight="1">
      <c r="A55" s="6">
        <v>53</v>
      </c>
      <c r="B55" s="6" t="str">
        <f>"53002023053000093395650"</f>
        <v>53002023053000093395650</v>
      </c>
      <c r="C55" s="6" t="str">
        <f t="shared" si="0"/>
        <v>0101</v>
      </c>
      <c r="D55" s="6" t="s">
        <v>7</v>
      </c>
      <c r="E55" s="6" t="str">
        <f>"李小晶"</f>
        <v>李小晶</v>
      </c>
      <c r="F55" s="6" t="str">
        <f t="shared" si="3"/>
        <v>女</v>
      </c>
    </row>
    <row r="56" spans="1:6" ht="30" customHeight="1">
      <c r="A56" s="6">
        <v>54</v>
      </c>
      <c r="B56" s="6" t="str">
        <f>"530020230601071506105202"</f>
        <v>530020230601071506105202</v>
      </c>
      <c r="C56" s="6" t="str">
        <f t="shared" si="0"/>
        <v>0101</v>
      </c>
      <c r="D56" s="6" t="s">
        <v>7</v>
      </c>
      <c r="E56" s="6" t="str">
        <f>"谢海帆"</f>
        <v>谢海帆</v>
      </c>
      <c r="F56" s="6" t="str">
        <f t="shared" si="3"/>
        <v>女</v>
      </c>
    </row>
    <row r="57" spans="1:6" ht="30" customHeight="1">
      <c r="A57" s="6">
        <v>55</v>
      </c>
      <c r="B57" s="6" t="str">
        <f>"530020230601103230106072"</f>
        <v>530020230601103230106072</v>
      </c>
      <c r="C57" s="6" t="str">
        <f t="shared" si="0"/>
        <v>0101</v>
      </c>
      <c r="D57" s="6" t="s">
        <v>7</v>
      </c>
      <c r="E57" s="6" t="str">
        <f>"涂橙"</f>
        <v>涂橙</v>
      </c>
      <c r="F57" s="6" t="str">
        <f t="shared" si="3"/>
        <v>女</v>
      </c>
    </row>
    <row r="58" spans="1:6" ht="30" customHeight="1">
      <c r="A58" s="6">
        <v>56</v>
      </c>
      <c r="B58" s="6" t="str">
        <f>"530020230601100630105884"</f>
        <v>530020230601100630105884</v>
      </c>
      <c r="C58" s="6" t="str">
        <f t="shared" si="0"/>
        <v>0101</v>
      </c>
      <c r="D58" s="6" t="s">
        <v>7</v>
      </c>
      <c r="E58" s="6" t="str">
        <f>"宁直"</f>
        <v>宁直</v>
      </c>
      <c r="F58" s="6" t="str">
        <f t="shared" si="3"/>
        <v>女</v>
      </c>
    </row>
    <row r="59" spans="1:6" ht="30" customHeight="1">
      <c r="A59" s="6">
        <v>57</v>
      </c>
      <c r="B59" s="6" t="str">
        <f>"530020230601122313106668"</f>
        <v>530020230601122313106668</v>
      </c>
      <c r="C59" s="6" t="str">
        <f t="shared" si="0"/>
        <v>0101</v>
      </c>
      <c r="D59" s="6" t="s">
        <v>7</v>
      </c>
      <c r="E59" s="6" t="str">
        <f>"王海"</f>
        <v>王海</v>
      </c>
      <c r="F59" s="6" t="str">
        <f t="shared" si="3"/>
        <v>女</v>
      </c>
    </row>
    <row r="60" spans="1:6" ht="30" customHeight="1">
      <c r="A60" s="6">
        <v>58</v>
      </c>
      <c r="B60" s="6" t="str">
        <f>"53002023052821021188792"</f>
        <v>53002023052821021188792</v>
      </c>
      <c r="C60" s="6" t="str">
        <f t="shared" si="0"/>
        <v>0101</v>
      </c>
      <c r="D60" s="6" t="s">
        <v>7</v>
      </c>
      <c r="E60" s="6" t="str">
        <f>"马敏敏"</f>
        <v>马敏敏</v>
      </c>
      <c r="F60" s="6" t="str">
        <f t="shared" si="3"/>
        <v>女</v>
      </c>
    </row>
    <row r="61" spans="1:6" ht="30" customHeight="1">
      <c r="A61" s="6">
        <v>59</v>
      </c>
      <c r="B61" s="6" t="str">
        <f>"53002023052818031888300"</f>
        <v>53002023052818031888300</v>
      </c>
      <c r="C61" s="6" t="str">
        <f t="shared" si="0"/>
        <v>0101</v>
      </c>
      <c r="D61" s="6" t="s">
        <v>7</v>
      </c>
      <c r="E61" s="6" t="str">
        <f>"赵美佳"</f>
        <v>赵美佳</v>
      </c>
      <c r="F61" s="6" t="str">
        <f t="shared" si="3"/>
        <v>女</v>
      </c>
    </row>
    <row r="62" spans="1:6" ht="30" customHeight="1">
      <c r="A62" s="6">
        <v>60</v>
      </c>
      <c r="B62" s="6" t="str">
        <f>"530020230601164847107738"</f>
        <v>530020230601164847107738</v>
      </c>
      <c r="C62" s="6" t="str">
        <f t="shared" si="0"/>
        <v>0101</v>
      </c>
      <c r="D62" s="6" t="s">
        <v>7</v>
      </c>
      <c r="E62" s="6" t="str">
        <f>"符蓉"</f>
        <v>符蓉</v>
      </c>
      <c r="F62" s="6" t="str">
        <f t="shared" si="3"/>
        <v>女</v>
      </c>
    </row>
    <row r="63" spans="1:6" ht="30" customHeight="1">
      <c r="A63" s="6">
        <v>61</v>
      </c>
      <c r="B63" s="6" t="str">
        <f>"530020230601080459105243"</f>
        <v>530020230601080459105243</v>
      </c>
      <c r="C63" s="6" t="str">
        <f t="shared" si="0"/>
        <v>0101</v>
      </c>
      <c r="D63" s="6" t="s">
        <v>7</v>
      </c>
      <c r="E63" s="6" t="str">
        <f>"温莉"</f>
        <v>温莉</v>
      </c>
      <c r="F63" s="6" t="str">
        <f t="shared" si="3"/>
        <v>女</v>
      </c>
    </row>
    <row r="64" spans="1:6" ht="30" customHeight="1">
      <c r="A64" s="6">
        <v>62</v>
      </c>
      <c r="B64" s="6" t="str">
        <f>"530020230601182112108066"</f>
        <v>530020230601182112108066</v>
      </c>
      <c r="C64" s="6" t="str">
        <f t="shared" si="0"/>
        <v>0101</v>
      </c>
      <c r="D64" s="6" t="s">
        <v>7</v>
      </c>
      <c r="E64" s="6" t="str">
        <f>"刘春秀"</f>
        <v>刘春秀</v>
      </c>
      <c r="F64" s="6" t="str">
        <f t="shared" si="3"/>
        <v>女</v>
      </c>
    </row>
    <row r="65" spans="1:6" ht="30" customHeight="1">
      <c r="A65" s="6">
        <v>63</v>
      </c>
      <c r="B65" s="6" t="str">
        <f>"530020230601181338108047"</f>
        <v>530020230601181338108047</v>
      </c>
      <c r="C65" s="6" t="str">
        <f t="shared" si="0"/>
        <v>0101</v>
      </c>
      <c r="D65" s="6" t="s">
        <v>7</v>
      </c>
      <c r="E65" s="6" t="str">
        <f>"徐书凝"</f>
        <v>徐书凝</v>
      </c>
      <c r="F65" s="6" t="str">
        <f>"男"</f>
        <v>男</v>
      </c>
    </row>
    <row r="66" spans="1:6" ht="30" customHeight="1">
      <c r="A66" s="6">
        <v>64</v>
      </c>
      <c r="B66" s="6" t="str">
        <f>"530020230601201530108387"</f>
        <v>530020230601201530108387</v>
      </c>
      <c r="C66" s="6" t="str">
        <f t="shared" si="0"/>
        <v>0101</v>
      </c>
      <c r="D66" s="6" t="s">
        <v>7</v>
      </c>
      <c r="E66" s="6" t="str">
        <f>"王梅华"</f>
        <v>王梅华</v>
      </c>
      <c r="F66" s="6" t="str">
        <f>"女"</f>
        <v>女</v>
      </c>
    </row>
    <row r="67" spans="1:6" ht="30" customHeight="1">
      <c r="A67" s="6">
        <v>65</v>
      </c>
      <c r="B67" s="6" t="str">
        <f>"530020230601224538108943"</f>
        <v>530020230601224538108943</v>
      </c>
      <c r="C67" s="6" t="str">
        <f aca="true" t="shared" si="4" ref="C67:C78">"0101"</f>
        <v>0101</v>
      </c>
      <c r="D67" s="6" t="s">
        <v>7</v>
      </c>
      <c r="E67" s="6" t="str">
        <f>"何文文"</f>
        <v>何文文</v>
      </c>
      <c r="F67" s="6" t="str">
        <f>"女"</f>
        <v>女</v>
      </c>
    </row>
    <row r="68" spans="1:6" ht="30" customHeight="1">
      <c r="A68" s="6">
        <v>66</v>
      </c>
      <c r="B68" s="6" t="str">
        <f>"530020230601221110108810"</f>
        <v>530020230601221110108810</v>
      </c>
      <c r="C68" s="6" t="str">
        <f t="shared" si="4"/>
        <v>0101</v>
      </c>
      <c r="D68" s="6" t="s">
        <v>7</v>
      </c>
      <c r="E68" s="6" t="str">
        <f>"李咨蔓"</f>
        <v>李咨蔓</v>
      </c>
      <c r="F68" s="6" t="str">
        <f>"女"</f>
        <v>女</v>
      </c>
    </row>
    <row r="69" spans="1:6" ht="30" customHeight="1">
      <c r="A69" s="6">
        <v>67</v>
      </c>
      <c r="B69" s="6" t="str">
        <f>"530020230601232924109068"</f>
        <v>530020230601232924109068</v>
      </c>
      <c r="C69" s="6" t="str">
        <f t="shared" si="4"/>
        <v>0101</v>
      </c>
      <c r="D69" s="6" t="s">
        <v>7</v>
      </c>
      <c r="E69" s="6" t="str">
        <f>"周晓红"</f>
        <v>周晓红</v>
      </c>
      <c r="F69" s="6" t="str">
        <f>"女"</f>
        <v>女</v>
      </c>
    </row>
    <row r="70" spans="1:6" ht="30" customHeight="1">
      <c r="A70" s="6">
        <v>68</v>
      </c>
      <c r="B70" s="6" t="str">
        <f>"530020230602040959109259"</f>
        <v>530020230602040959109259</v>
      </c>
      <c r="C70" s="6" t="str">
        <f t="shared" si="4"/>
        <v>0101</v>
      </c>
      <c r="D70" s="6" t="s">
        <v>7</v>
      </c>
      <c r="E70" s="6" t="str">
        <f>"曾其生"</f>
        <v>曾其生</v>
      </c>
      <c r="F70" s="6" t="str">
        <f>"男"</f>
        <v>男</v>
      </c>
    </row>
    <row r="71" spans="1:6" ht="30" customHeight="1">
      <c r="A71" s="6">
        <v>69</v>
      </c>
      <c r="B71" s="6" t="str">
        <f>"530020230602092356109545"</f>
        <v>530020230602092356109545</v>
      </c>
      <c r="C71" s="6" t="str">
        <f t="shared" si="4"/>
        <v>0101</v>
      </c>
      <c r="D71" s="6" t="s">
        <v>7</v>
      </c>
      <c r="E71" s="6" t="str">
        <f>"羊梅梅"</f>
        <v>羊梅梅</v>
      </c>
      <c r="F71" s="6" t="str">
        <f aca="true" t="shared" si="5" ref="F71:F76">"女"</f>
        <v>女</v>
      </c>
    </row>
    <row r="72" spans="1:6" ht="30" customHeight="1">
      <c r="A72" s="6">
        <v>70</v>
      </c>
      <c r="B72" s="6" t="str">
        <f>"530020230602003929109186"</f>
        <v>530020230602003929109186</v>
      </c>
      <c r="C72" s="6" t="str">
        <f t="shared" si="4"/>
        <v>0101</v>
      </c>
      <c r="D72" s="6" t="s">
        <v>7</v>
      </c>
      <c r="E72" s="6" t="str">
        <f>"李玉娇"</f>
        <v>李玉娇</v>
      </c>
      <c r="F72" s="6" t="str">
        <f t="shared" si="5"/>
        <v>女</v>
      </c>
    </row>
    <row r="73" spans="1:6" ht="30" customHeight="1">
      <c r="A73" s="6">
        <v>71</v>
      </c>
      <c r="B73" s="6" t="str">
        <f>"530020230602093348109595"</f>
        <v>530020230602093348109595</v>
      </c>
      <c r="C73" s="6" t="str">
        <f t="shared" si="4"/>
        <v>0101</v>
      </c>
      <c r="D73" s="6" t="s">
        <v>7</v>
      </c>
      <c r="E73" s="6" t="str">
        <f>"林莉"</f>
        <v>林莉</v>
      </c>
      <c r="F73" s="6" t="str">
        <f t="shared" si="5"/>
        <v>女</v>
      </c>
    </row>
    <row r="74" spans="1:6" ht="30" customHeight="1">
      <c r="A74" s="6">
        <v>72</v>
      </c>
      <c r="B74" s="6" t="str">
        <f>"530020230602092502109551"</f>
        <v>530020230602092502109551</v>
      </c>
      <c r="C74" s="6" t="str">
        <f t="shared" si="4"/>
        <v>0101</v>
      </c>
      <c r="D74" s="6" t="s">
        <v>7</v>
      </c>
      <c r="E74" s="6" t="str">
        <f>"王宇"</f>
        <v>王宇</v>
      </c>
      <c r="F74" s="6" t="str">
        <f t="shared" si="5"/>
        <v>女</v>
      </c>
    </row>
    <row r="75" spans="1:6" ht="30" customHeight="1">
      <c r="A75" s="6">
        <v>73</v>
      </c>
      <c r="B75" s="6" t="str">
        <f>"530020230601230642109016"</f>
        <v>530020230601230642109016</v>
      </c>
      <c r="C75" s="6" t="str">
        <f t="shared" si="4"/>
        <v>0101</v>
      </c>
      <c r="D75" s="6" t="s">
        <v>7</v>
      </c>
      <c r="E75" s="6" t="str">
        <f>"符楚中"</f>
        <v>符楚中</v>
      </c>
      <c r="F75" s="6" t="str">
        <f t="shared" si="5"/>
        <v>女</v>
      </c>
    </row>
    <row r="76" spans="1:6" ht="30" customHeight="1">
      <c r="A76" s="6">
        <v>74</v>
      </c>
      <c r="B76" s="6" t="str">
        <f>"530020230602105448109943"</f>
        <v>530020230602105448109943</v>
      </c>
      <c r="C76" s="6" t="str">
        <f t="shared" si="4"/>
        <v>0101</v>
      </c>
      <c r="D76" s="6" t="s">
        <v>7</v>
      </c>
      <c r="E76" s="6" t="str">
        <f>"吴若娴"</f>
        <v>吴若娴</v>
      </c>
      <c r="F76" s="6" t="str">
        <f t="shared" si="5"/>
        <v>女</v>
      </c>
    </row>
    <row r="77" spans="1:6" ht="30" customHeight="1">
      <c r="A77" s="6">
        <v>75</v>
      </c>
      <c r="B77" s="6" t="str">
        <f>"530020230602101026109730"</f>
        <v>530020230602101026109730</v>
      </c>
      <c r="C77" s="6" t="str">
        <f t="shared" si="4"/>
        <v>0101</v>
      </c>
      <c r="D77" s="6" t="s">
        <v>7</v>
      </c>
      <c r="E77" s="6" t="str">
        <f>"吴广斌"</f>
        <v>吴广斌</v>
      </c>
      <c r="F77" s="6" t="str">
        <f>"男"</f>
        <v>男</v>
      </c>
    </row>
    <row r="78" spans="1:6" ht="30" customHeight="1">
      <c r="A78" s="6">
        <v>76</v>
      </c>
      <c r="B78" s="6" t="str">
        <f>"530020230602110620110003"</f>
        <v>530020230602110620110003</v>
      </c>
      <c r="C78" s="6" t="str">
        <f t="shared" si="4"/>
        <v>0101</v>
      </c>
      <c r="D78" s="6" t="s">
        <v>7</v>
      </c>
      <c r="E78" s="6" t="str">
        <f>"翁清"</f>
        <v>翁清</v>
      </c>
      <c r="F78" s="6" t="str">
        <f>"男"</f>
        <v>男</v>
      </c>
    </row>
    <row r="79" spans="1:6" ht="30" customHeight="1">
      <c r="A79" s="6">
        <v>77</v>
      </c>
      <c r="B79" s="6" t="str">
        <f>"53002023052709155283711"</f>
        <v>53002023052709155283711</v>
      </c>
      <c r="C79" s="6" t="str">
        <f aca="true" t="shared" si="6" ref="C79:C138">"0102"</f>
        <v>0102</v>
      </c>
      <c r="D79" s="6" t="s">
        <v>8</v>
      </c>
      <c r="E79" s="6" t="str">
        <f>"何诗音"</f>
        <v>何诗音</v>
      </c>
      <c r="F79" s="6" t="str">
        <f>"女"</f>
        <v>女</v>
      </c>
    </row>
    <row r="80" spans="1:6" ht="30" customHeight="1">
      <c r="A80" s="6">
        <v>78</v>
      </c>
      <c r="B80" s="6" t="str">
        <f>"53002023052710125683951"</f>
        <v>53002023052710125683951</v>
      </c>
      <c r="C80" s="6" t="str">
        <f t="shared" si="6"/>
        <v>0102</v>
      </c>
      <c r="D80" s="6" t="s">
        <v>8</v>
      </c>
      <c r="E80" s="6" t="str">
        <f>"李宝黄"</f>
        <v>李宝黄</v>
      </c>
      <c r="F80" s="6" t="str">
        <f>"男"</f>
        <v>男</v>
      </c>
    </row>
    <row r="81" spans="1:6" ht="30" customHeight="1">
      <c r="A81" s="6">
        <v>79</v>
      </c>
      <c r="B81" s="6" t="str">
        <f>"53002023052711121684217"</f>
        <v>53002023052711121684217</v>
      </c>
      <c r="C81" s="6" t="str">
        <f t="shared" si="6"/>
        <v>0102</v>
      </c>
      <c r="D81" s="6" t="s">
        <v>8</v>
      </c>
      <c r="E81" s="6" t="str">
        <f>"王玉彩"</f>
        <v>王玉彩</v>
      </c>
      <c r="F81" s="6" t="str">
        <f>"女"</f>
        <v>女</v>
      </c>
    </row>
    <row r="82" spans="1:6" ht="30" customHeight="1">
      <c r="A82" s="6">
        <v>80</v>
      </c>
      <c r="B82" s="6" t="str">
        <f>"53002023052713015684622"</f>
        <v>53002023052713015684622</v>
      </c>
      <c r="C82" s="6" t="str">
        <f t="shared" si="6"/>
        <v>0102</v>
      </c>
      <c r="D82" s="6" t="s">
        <v>8</v>
      </c>
      <c r="E82" s="6" t="str">
        <f>"吴丽婷"</f>
        <v>吴丽婷</v>
      </c>
      <c r="F82" s="6" t="str">
        <f>"女"</f>
        <v>女</v>
      </c>
    </row>
    <row r="83" spans="1:6" ht="30" customHeight="1">
      <c r="A83" s="6">
        <v>81</v>
      </c>
      <c r="B83" s="6" t="str">
        <f>"53002023052714502584974"</f>
        <v>53002023052714502584974</v>
      </c>
      <c r="C83" s="6" t="str">
        <f t="shared" si="6"/>
        <v>0102</v>
      </c>
      <c r="D83" s="6" t="s">
        <v>8</v>
      </c>
      <c r="E83" s="6" t="str">
        <f>"蔡阳"</f>
        <v>蔡阳</v>
      </c>
      <c r="F83" s="6" t="str">
        <f>"男"</f>
        <v>男</v>
      </c>
    </row>
    <row r="84" spans="1:6" ht="30" customHeight="1">
      <c r="A84" s="6">
        <v>82</v>
      </c>
      <c r="B84" s="6" t="str">
        <f>"53002023052716131285258"</f>
        <v>53002023052716131285258</v>
      </c>
      <c r="C84" s="6" t="str">
        <f t="shared" si="6"/>
        <v>0102</v>
      </c>
      <c r="D84" s="6" t="s">
        <v>8</v>
      </c>
      <c r="E84" s="6" t="str">
        <f>"黎秀丽"</f>
        <v>黎秀丽</v>
      </c>
      <c r="F84" s="6" t="str">
        <f>"女"</f>
        <v>女</v>
      </c>
    </row>
    <row r="85" spans="1:6" ht="30" customHeight="1">
      <c r="A85" s="6">
        <v>83</v>
      </c>
      <c r="B85" s="6" t="str">
        <f>"53002023052719222985808"</f>
        <v>53002023052719222985808</v>
      </c>
      <c r="C85" s="6" t="str">
        <f t="shared" si="6"/>
        <v>0102</v>
      </c>
      <c r="D85" s="6" t="s">
        <v>8</v>
      </c>
      <c r="E85" s="6" t="str">
        <f>"庞利妹"</f>
        <v>庞利妹</v>
      </c>
      <c r="F85" s="6" t="str">
        <f>"女"</f>
        <v>女</v>
      </c>
    </row>
    <row r="86" spans="1:6" ht="30" customHeight="1">
      <c r="A86" s="6">
        <v>84</v>
      </c>
      <c r="B86" s="6" t="str">
        <f>"53002023052812222887286"</f>
        <v>53002023052812222887286</v>
      </c>
      <c r="C86" s="6" t="str">
        <f t="shared" si="6"/>
        <v>0102</v>
      </c>
      <c r="D86" s="6" t="s">
        <v>8</v>
      </c>
      <c r="E86" s="6" t="str">
        <f>"陈英桃"</f>
        <v>陈英桃</v>
      </c>
      <c r="F86" s="6" t="str">
        <f>"女"</f>
        <v>女</v>
      </c>
    </row>
    <row r="87" spans="1:6" ht="30" customHeight="1">
      <c r="A87" s="6">
        <v>85</v>
      </c>
      <c r="B87" s="6" t="str">
        <f>"53002023052813285487477"</f>
        <v>53002023052813285487477</v>
      </c>
      <c r="C87" s="6" t="str">
        <f t="shared" si="6"/>
        <v>0102</v>
      </c>
      <c r="D87" s="6" t="s">
        <v>8</v>
      </c>
      <c r="E87" s="6" t="str">
        <f>"翁陈鑫"</f>
        <v>翁陈鑫</v>
      </c>
      <c r="F87" s="6" t="str">
        <f>"男"</f>
        <v>男</v>
      </c>
    </row>
    <row r="88" spans="1:6" ht="30" customHeight="1">
      <c r="A88" s="6">
        <v>86</v>
      </c>
      <c r="B88" s="6" t="str">
        <f>"53002023052818152288329"</f>
        <v>53002023052818152288329</v>
      </c>
      <c r="C88" s="6" t="str">
        <f t="shared" si="6"/>
        <v>0102</v>
      </c>
      <c r="D88" s="6" t="s">
        <v>8</v>
      </c>
      <c r="E88" s="6" t="str">
        <f>"陈引花"</f>
        <v>陈引花</v>
      </c>
      <c r="F88" s="6" t="str">
        <f>"女"</f>
        <v>女</v>
      </c>
    </row>
    <row r="89" spans="1:6" ht="30" customHeight="1">
      <c r="A89" s="6">
        <v>87</v>
      </c>
      <c r="B89" s="6" t="str">
        <f>"53002023052807020786728"</f>
        <v>53002023052807020786728</v>
      </c>
      <c r="C89" s="6" t="str">
        <f t="shared" si="6"/>
        <v>0102</v>
      </c>
      <c r="D89" s="6" t="s">
        <v>8</v>
      </c>
      <c r="E89" s="6" t="str">
        <f>"黎秀灵"</f>
        <v>黎秀灵</v>
      </c>
      <c r="F89" s="6" t="str">
        <f>"女"</f>
        <v>女</v>
      </c>
    </row>
    <row r="90" spans="1:6" ht="30" customHeight="1">
      <c r="A90" s="6">
        <v>88</v>
      </c>
      <c r="B90" s="6" t="str">
        <f>"53002023052817470088196"</f>
        <v>53002023052817470088196</v>
      </c>
      <c r="C90" s="6" t="str">
        <f t="shared" si="6"/>
        <v>0102</v>
      </c>
      <c r="D90" s="6" t="s">
        <v>8</v>
      </c>
      <c r="E90" s="6" t="str">
        <f>"陈政民"</f>
        <v>陈政民</v>
      </c>
      <c r="F90" s="6" t="str">
        <f>"男"</f>
        <v>男</v>
      </c>
    </row>
    <row r="91" spans="1:6" ht="30" customHeight="1">
      <c r="A91" s="6">
        <v>89</v>
      </c>
      <c r="B91" s="6" t="str">
        <f>"53002023052820283388676"</f>
        <v>53002023052820283388676</v>
      </c>
      <c r="C91" s="6" t="str">
        <f t="shared" si="6"/>
        <v>0102</v>
      </c>
      <c r="D91" s="6" t="s">
        <v>8</v>
      </c>
      <c r="E91" s="6" t="str">
        <f>"贺婷"</f>
        <v>贺婷</v>
      </c>
      <c r="F91" s="6" t="str">
        <f>"女"</f>
        <v>女</v>
      </c>
    </row>
    <row r="92" spans="1:6" ht="30" customHeight="1">
      <c r="A92" s="6">
        <v>90</v>
      </c>
      <c r="B92" s="6" t="str">
        <f>"53002023052818150388327"</f>
        <v>53002023052818150388327</v>
      </c>
      <c r="C92" s="6" t="str">
        <f t="shared" si="6"/>
        <v>0102</v>
      </c>
      <c r="D92" s="6" t="s">
        <v>8</v>
      </c>
      <c r="E92" s="6" t="str">
        <f>"李多祚"</f>
        <v>李多祚</v>
      </c>
      <c r="F92" s="6" t="str">
        <f>"男"</f>
        <v>男</v>
      </c>
    </row>
    <row r="93" spans="1:6" ht="30" customHeight="1">
      <c r="A93" s="6">
        <v>91</v>
      </c>
      <c r="B93" s="6" t="str">
        <f>"53002023052822311389106"</f>
        <v>53002023052822311389106</v>
      </c>
      <c r="C93" s="6" t="str">
        <f t="shared" si="6"/>
        <v>0102</v>
      </c>
      <c r="D93" s="6" t="s">
        <v>8</v>
      </c>
      <c r="E93" s="6" t="str">
        <f>"梁妹玲"</f>
        <v>梁妹玲</v>
      </c>
      <c r="F93" s="6" t="str">
        <f>"女"</f>
        <v>女</v>
      </c>
    </row>
    <row r="94" spans="1:6" ht="30" customHeight="1">
      <c r="A94" s="6">
        <v>92</v>
      </c>
      <c r="B94" s="6" t="str">
        <f>"53002023052822265489090"</f>
        <v>53002023052822265489090</v>
      </c>
      <c r="C94" s="6" t="str">
        <f t="shared" si="6"/>
        <v>0102</v>
      </c>
      <c r="D94" s="6" t="s">
        <v>8</v>
      </c>
      <c r="E94" s="6" t="str">
        <f>"林莹莹"</f>
        <v>林莹莹</v>
      </c>
      <c r="F94" s="6" t="str">
        <f>"女"</f>
        <v>女</v>
      </c>
    </row>
    <row r="95" spans="1:6" ht="30" customHeight="1">
      <c r="A95" s="6">
        <v>93</v>
      </c>
      <c r="B95" s="6" t="str">
        <f>"53002023052823314489284"</f>
        <v>53002023052823314489284</v>
      </c>
      <c r="C95" s="6" t="str">
        <f t="shared" si="6"/>
        <v>0102</v>
      </c>
      <c r="D95" s="6" t="s">
        <v>8</v>
      </c>
      <c r="E95" s="6" t="str">
        <f>"江亚茹"</f>
        <v>江亚茹</v>
      </c>
      <c r="F95" s="6" t="str">
        <f>"女"</f>
        <v>女</v>
      </c>
    </row>
    <row r="96" spans="1:6" ht="30" customHeight="1">
      <c r="A96" s="6">
        <v>94</v>
      </c>
      <c r="B96" s="6" t="str">
        <f>"53002023052910395190904"</f>
        <v>53002023052910395190904</v>
      </c>
      <c r="C96" s="6" t="str">
        <f t="shared" si="6"/>
        <v>0102</v>
      </c>
      <c r="D96" s="6" t="s">
        <v>8</v>
      </c>
      <c r="E96" s="6" t="str">
        <f>"万火玉"</f>
        <v>万火玉</v>
      </c>
      <c r="F96" s="6" t="str">
        <f>"女"</f>
        <v>女</v>
      </c>
    </row>
    <row r="97" spans="1:6" ht="30" customHeight="1">
      <c r="A97" s="6">
        <v>95</v>
      </c>
      <c r="B97" s="6" t="str">
        <f>"53002023052911324391407"</f>
        <v>53002023052911324391407</v>
      </c>
      <c r="C97" s="6" t="str">
        <f t="shared" si="6"/>
        <v>0102</v>
      </c>
      <c r="D97" s="6" t="s">
        <v>8</v>
      </c>
      <c r="E97" s="6" t="str">
        <f>"李道思"</f>
        <v>李道思</v>
      </c>
      <c r="F97" s="6" t="str">
        <f>"女"</f>
        <v>女</v>
      </c>
    </row>
    <row r="98" spans="1:6" ht="30" customHeight="1">
      <c r="A98" s="6">
        <v>96</v>
      </c>
      <c r="B98" s="6" t="str">
        <f>"53002023052909383190194"</f>
        <v>53002023052909383190194</v>
      </c>
      <c r="C98" s="6" t="str">
        <f t="shared" si="6"/>
        <v>0102</v>
      </c>
      <c r="D98" s="6" t="s">
        <v>8</v>
      </c>
      <c r="E98" s="6" t="str">
        <f>"梁佳殷"</f>
        <v>梁佳殷</v>
      </c>
      <c r="F98" s="6" t="str">
        <f>"男"</f>
        <v>男</v>
      </c>
    </row>
    <row r="99" spans="1:6" ht="30" customHeight="1">
      <c r="A99" s="6">
        <v>97</v>
      </c>
      <c r="B99" s="6" t="str">
        <f>"53002023052813315687487"</f>
        <v>53002023052813315687487</v>
      </c>
      <c r="C99" s="6" t="str">
        <f t="shared" si="6"/>
        <v>0102</v>
      </c>
      <c r="D99" s="6" t="s">
        <v>8</v>
      </c>
      <c r="E99" s="6" t="str">
        <f>"陈莹"</f>
        <v>陈莹</v>
      </c>
      <c r="F99" s="6" t="str">
        <f>"女"</f>
        <v>女</v>
      </c>
    </row>
    <row r="100" spans="1:6" ht="30" customHeight="1">
      <c r="A100" s="6">
        <v>98</v>
      </c>
      <c r="B100" s="6" t="str">
        <f>"53002023052912470891934"</f>
        <v>53002023052912470891934</v>
      </c>
      <c r="C100" s="6" t="str">
        <f t="shared" si="6"/>
        <v>0102</v>
      </c>
      <c r="D100" s="6" t="s">
        <v>8</v>
      </c>
      <c r="E100" s="6" t="str">
        <f>"孙岩妹"</f>
        <v>孙岩妹</v>
      </c>
      <c r="F100" s="6" t="str">
        <f>"女"</f>
        <v>女</v>
      </c>
    </row>
    <row r="101" spans="1:6" ht="30" customHeight="1">
      <c r="A101" s="6">
        <v>99</v>
      </c>
      <c r="B101" s="6" t="str">
        <f>"53002023052913435192260"</f>
        <v>53002023052913435192260</v>
      </c>
      <c r="C101" s="6" t="str">
        <f t="shared" si="6"/>
        <v>0102</v>
      </c>
      <c r="D101" s="6" t="s">
        <v>8</v>
      </c>
      <c r="E101" s="6" t="str">
        <f>"赵晓俊"</f>
        <v>赵晓俊</v>
      </c>
      <c r="F101" s="6" t="str">
        <f>"女"</f>
        <v>女</v>
      </c>
    </row>
    <row r="102" spans="1:6" ht="30" customHeight="1">
      <c r="A102" s="6">
        <v>100</v>
      </c>
      <c r="B102" s="6" t="str">
        <f>"53002023052914420692546"</f>
        <v>53002023052914420692546</v>
      </c>
      <c r="C102" s="6" t="str">
        <f t="shared" si="6"/>
        <v>0102</v>
      </c>
      <c r="D102" s="6" t="s">
        <v>8</v>
      </c>
      <c r="E102" s="6" t="str">
        <f>"王梦茹"</f>
        <v>王梦茹</v>
      </c>
      <c r="F102" s="6" t="str">
        <f>"女"</f>
        <v>女</v>
      </c>
    </row>
    <row r="103" spans="1:6" ht="30" customHeight="1">
      <c r="A103" s="6">
        <v>101</v>
      </c>
      <c r="B103" s="6" t="str">
        <f>"53002023052717554385593"</f>
        <v>53002023052717554385593</v>
      </c>
      <c r="C103" s="6" t="str">
        <f t="shared" si="6"/>
        <v>0102</v>
      </c>
      <c r="D103" s="6" t="s">
        <v>8</v>
      </c>
      <c r="E103" s="6" t="str">
        <f>"郭启昌"</f>
        <v>郭启昌</v>
      </c>
      <c r="F103" s="6" t="str">
        <f>"男"</f>
        <v>男</v>
      </c>
    </row>
    <row r="104" spans="1:6" ht="30" customHeight="1">
      <c r="A104" s="6">
        <v>102</v>
      </c>
      <c r="B104" s="6" t="str">
        <f>"53002023052816201587911"</f>
        <v>53002023052816201587911</v>
      </c>
      <c r="C104" s="6" t="str">
        <f t="shared" si="6"/>
        <v>0102</v>
      </c>
      <c r="D104" s="6" t="s">
        <v>8</v>
      </c>
      <c r="E104" s="6" t="str">
        <f>"许秋云"</f>
        <v>许秋云</v>
      </c>
      <c r="F104" s="6" t="str">
        <f>"女"</f>
        <v>女</v>
      </c>
    </row>
    <row r="105" spans="1:6" ht="30" customHeight="1">
      <c r="A105" s="6">
        <v>103</v>
      </c>
      <c r="B105" s="6" t="str">
        <f>"53002023052816213187912"</f>
        <v>53002023052816213187912</v>
      </c>
      <c r="C105" s="6" t="str">
        <f t="shared" si="6"/>
        <v>0102</v>
      </c>
      <c r="D105" s="6" t="s">
        <v>8</v>
      </c>
      <c r="E105" s="6" t="str">
        <f>"许晓玲"</f>
        <v>许晓玲</v>
      </c>
      <c r="F105" s="6" t="str">
        <f>"女"</f>
        <v>女</v>
      </c>
    </row>
    <row r="106" spans="1:6" ht="30" customHeight="1">
      <c r="A106" s="6">
        <v>104</v>
      </c>
      <c r="B106" s="6" t="str">
        <f>"53002023052821352088905"</f>
        <v>53002023052821352088905</v>
      </c>
      <c r="C106" s="6" t="str">
        <f t="shared" si="6"/>
        <v>0102</v>
      </c>
      <c r="D106" s="6" t="s">
        <v>8</v>
      </c>
      <c r="E106" s="6" t="str">
        <f>"高永艳"</f>
        <v>高永艳</v>
      </c>
      <c r="F106" s="6" t="str">
        <f>"女"</f>
        <v>女</v>
      </c>
    </row>
    <row r="107" spans="1:6" ht="30" customHeight="1">
      <c r="A107" s="6">
        <v>105</v>
      </c>
      <c r="B107" s="6" t="str">
        <f>"53002023052915331492906"</f>
        <v>53002023052915331492906</v>
      </c>
      <c r="C107" s="6" t="str">
        <f t="shared" si="6"/>
        <v>0102</v>
      </c>
      <c r="D107" s="6" t="s">
        <v>8</v>
      </c>
      <c r="E107" s="6" t="str">
        <f>"王明"</f>
        <v>王明</v>
      </c>
      <c r="F107" s="6" t="str">
        <f>"男"</f>
        <v>男</v>
      </c>
    </row>
    <row r="108" spans="1:6" ht="30" customHeight="1">
      <c r="A108" s="6">
        <v>106</v>
      </c>
      <c r="B108" s="6" t="str">
        <f>"53002023052910034090482"</f>
        <v>53002023052910034090482</v>
      </c>
      <c r="C108" s="6" t="str">
        <f t="shared" si="6"/>
        <v>0102</v>
      </c>
      <c r="D108" s="6" t="s">
        <v>8</v>
      </c>
      <c r="E108" s="6" t="str">
        <f>"符菊乾"</f>
        <v>符菊乾</v>
      </c>
      <c r="F108" s="6" t="str">
        <f>"女"</f>
        <v>女</v>
      </c>
    </row>
    <row r="109" spans="1:6" ht="30" customHeight="1">
      <c r="A109" s="6">
        <v>107</v>
      </c>
      <c r="B109" s="6" t="str">
        <f>"53002023052718130685632"</f>
        <v>53002023052718130685632</v>
      </c>
      <c r="C109" s="6" t="str">
        <f t="shared" si="6"/>
        <v>0102</v>
      </c>
      <c r="D109" s="6" t="s">
        <v>8</v>
      </c>
      <c r="E109" s="6" t="str">
        <f>"王丹妹"</f>
        <v>王丹妹</v>
      </c>
      <c r="F109" s="6" t="str">
        <f>"女"</f>
        <v>女</v>
      </c>
    </row>
    <row r="110" spans="1:6" ht="30" customHeight="1">
      <c r="A110" s="6">
        <v>108</v>
      </c>
      <c r="B110" s="6" t="str">
        <f>"53002023052917213293695"</f>
        <v>53002023052917213293695</v>
      </c>
      <c r="C110" s="6" t="str">
        <f t="shared" si="6"/>
        <v>0102</v>
      </c>
      <c r="D110" s="6" t="s">
        <v>8</v>
      </c>
      <c r="E110" s="6" t="str">
        <f>"符玉婷"</f>
        <v>符玉婷</v>
      </c>
      <c r="F110" s="6" t="str">
        <f>"女"</f>
        <v>女</v>
      </c>
    </row>
    <row r="111" spans="1:6" ht="30" customHeight="1">
      <c r="A111" s="6">
        <v>109</v>
      </c>
      <c r="B111" s="6" t="str">
        <f>"53002023052909401490210"</f>
        <v>53002023052909401490210</v>
      </c>
      <c r="C111" s="6" t="str">
        <f t="shared" si="6"/>
        <v>0102</v>
      </c>
      <c r="D111" s="6" t="s">
        <v>8</v>
      </c>
      <c r="E111" s="6" t="str">
        <f>"林颂宇"</f>
        <v>林颂宇</v>
      </c>
      <c r="F111" s="6" t="str">
        <f>"男"</f>
        <v>男</v>
      </c>
    </row>
    <row r="112" spans="1:6" ht="30" customHeight="1">
      <c r="A112" s="6">
        <v>110</v>
      </c>
      <c r="B112" s="6" t="str">
        <f>"53002023052812220587285"</f>
        <v>53002023052812220587285</v>
      </c>
      <c r="C112" s="6" t="str">
        <f t="shared" si="6"/>
        <v>0102</v>
      </c>
      <c r="D112" s="6" t="s">
        <v>8</v>
      </c>
      <c r="E112" s="6" t="str">
        <f>"莫君薇"</f>
        <v>莫君薇</v>
      </c>
      <c r="F112" s="6" t="str">
        <f aca="true" t="shared" si="7" ref="F112:F118">"女"</f>
        <v>女</v>
      </c>
    </row>
    <row r="113" spans="1:6" ht="30" customHeight="1">
      <c r="A113" s="6">
        <v>111</v>
      </c>
      <c r="B113" s="6" t="str">
        <f>"53002023053010084396516"</f>
        <v>53002023053010084396516</v>
      </c>
      <c r="C113" s="6" t="str">
        <f t="shared" si="6"/>
        <v>0102</v>
      </c>
      <c r="D113" s="6" t="s">
        <v>8</v>
      </c>
      <c r="E113" s="6" t="str">
        <f>"陆文教"</f>
        <v>陆文教</v>
      </c>
      <c r="F113" s="6" t="str">
        <f t="shared" si="7"/>
        <v>女</v>
      </c>
    </row>
    <row r="114" spans="1:6" ht="30" customHeight="1">
      <c r="A114" s="6">
        <v>112</v>
      </c>
      <c r="B114" s="6" t="str">
        <f>"53002023052911204791313"</f>
        <v>53002023052911204791313</v>
      </c>
      <c r="C114" s="6" t="str">
        <f t="shared" si="6"/>
        <v>0102</v>
      </c>
      <c r="D114" s="6" t="s">
        <v>8</v>
      </c>
      <c r="E114" s="6" t="str">
        <f>"王蝶"</f>
        <v>王蝶</v>
      </c>
      <c r="F114" s="6" t="str">
        <f t="shared" si="7"/>
        <v>女</v>
      </c>
    </row>
    <row r="115" spans="1:6" ht="30" customHeight="1">
      <c r="A115" s="6">
        <v>113</v>
      </c>
      <c r="B115" s="6" t="str">
        <f>"53002023053010045196489"</f>
        <v>53002023053010045196489</v>
      </c>
      <c r="C115" s="6" t="str">
        <f t="shared" si="6"/>
        <v>0102</v>
      </c>
      <c r="D115" s="6" t="s">
        <v>8</v>
      </c>
      <c r="E115" s="6" t="str">
        <f>"王桂山"</f>
        <v>王桂山</v>
      </c>
      <c r="F115" s="6" t="str">
        <f t="shared" si="7"/>
        <v>女</v>
      </c>
    </row>
    <row r="116" spans="1:6" ht="30" customHeight="1">
      <c r="A116" s="6">
        <v>114</v>
      </c>
      <c r="B116" s="6" t="str">
        <f>"53002023052820444388732"</f>
        <v>53002023052820444388732</v>
      </c>
      <c r="C116" s="6" t="str">
        <f t="shared" si="6"/>
        <v>0102</v>
      </c>
      <c r="D116" s="6" t="s">
        <v>8</v>
      </c>
      <c r="E116" s="6" t="str">
        <f>"周婉容"</f>
        <v>周婉容</v>
      </c>
      <c r="F116" s="6" t="str">
        <f t="shared" si="7"/>
        <v>女</v>
      </c>
    </row>
    <row r="117" spans="1:6" ht="30" customHeight="1">
      <c r="A117" s="6">
        <v>115</v>
      </c>
      <c r="B117" s="6" t="str">
        <f>"53002023053012025997420"</f>
        <v>53002023053012025997420</v>
      </c>
      <c r="C117" s="6" t="str">
        <f t="shared" si="6"/>
        <v>0102</v>
      </c>
      <c r="D117" s="6" t="s">
        <v>8</v>
      </c>
      <c r="E117" s="6" t="str">
        <f>"梁秀英"</f>
        <v>梁秀英</v>
      </c>
      <c r="F117" s="6" t="str">
        <f t="shared" si="7"/>
        <v>女</v>
      </c>
    </row>
    <row r="118" spans="1:6" ht="30" customHeight="1">
      <c r="A118" s="6">
        <v>116</v>
      </c>
      <c r="B118" s="6" t="str">
        <f>"53002023052810041186944"</f>
        <v>53002023052810041186944</v>
      </c>
      <c r="C118" s="6" t="str">
        <f t="shared" si="6"/>
        <v>0102</v>
      </c>
      <c r="D118" s="6" t="s">
        <v>8</v>
      </c>
      <c r="E118" s="6" t="str">
        <f>"郑秋妹"</f>
        <v>郑秋妹</v>
      </c>
      <c r="F118" s="6" t="str">
        <f t="shared" si="7"/>
        <v>女</v>
      </c>
    </row>
    <row r="119" spans="1:6" ht="30" customHeight="1">
      <c r="A119" s="6">
        <v>117</v>
      </c>
      <c r="B119" s="6" t="str">
        <f>"53002023053019182499702"</f>
        <v>53002023053019182499702</v>
      </c>
      <c r="C119" s="6" t="str">
        <f t="shared" si="6"/>
        <v>0102</v>
      </c>
      <c r="D119" s="6" t="s">
        <v>8</v>
      </c>
      <c r="E119" s="6" t="str">
        <f>"陈盛平"</f>
        <v>陈盛平</v>
      </c>
      <c r="F119" s="6" t="str">
        <f>"男"</f>
        <v>男</v>
      </c>
    </row>
    <row r="120" spans="1:6" ht="30" customHeight="1">
      <c r="A120" s="6">
        <v>118</v>
      </c>
      <c r="B120" s="6" t="str">
        <f>"530020230530212547100270"</f>
        <v>530020230530212547100270</v>
      </c>
      <c r="C120" s="6" t="str">
        <f t="shared" si="6"/>
        <v>0102</v>
      </c>
      <c r="D120" s="6" t="s">
        <v>8</v>
      </c>
      <c r="E120" s="6" t="str">
        <f>"冯秋梅"</f>
        <v>冯秋梅</v>
      </c>
      <c r="F120" s="6" t="str">
        <f>"女"</f>
        <v>女</v>
      </c>
    </row>
    <row r="121" spans="1:6" ht="30" customHeight="1">
      <c r="A121" s="6">
        <v>119</v>
      </c>
      <c r="B121" s="6" t="str">
        <f>"530020230530223142100627"</f>
        <v>530020230530223142100627</v>
      </c>
      <c r="C121" s="6" t="str">
        <f t="shared" si="6"/>
        <v>0102</v>
      </c>
      <c r="D121" s="6" t="s">
        <v>8</v>
      </c>
      <c r="E121" s="6" t="str">
        <f>"彭荣卷"</f>
        <v>彭荣卷</v>
      </c>
      <c r="F121" s="6" t="str">
        <f>"男"</f>
        <v>男</v>
      </c>
    </row>
    <row r="122" spans="1:6" ht="30" customHeight="1">
      <c r="A122" s="6">
        <v>120</v>
      </c>
      <c r="B122" s="6" t="str">
        <f>"53002023052914465692570"</f>
        <v>53002023052914465692570</v>
      </c>
      <c r="C122" s="6" t="str">
        <f t="shared" si="6"/>
        <v>0102</v>
      </c>
      <c r="D122" s="6" t="s">
        <v>8</v>
      </c>
      <c r="E122" s="6" t="str">
        <f>"陈云秀"</f>
        <v>陈云秀</v>
      </c>
      <c r="F122" s="6" t="str">
        <f aca="true" t="shared" si="8" ref="F122:F128">"女"</f>
        <v>女</v>
      </c>
    </row>
    <row r="123" spans="1:6" ht="30" customHeight="1">
      <c r="A123" s="6">
        <v>121</v>
      </c>
      <c r="B123" s="6" t="str">
        <f>"530020230531123927102697"</f>
        <v>530020230531123927102697</v>
      </c>
      <c r="C123" s="6" t="str">
        <f t="shared" si="6"/>
        <v>0102</v>
      </c>
      <c r="D123" s="6" t="s">
        <v>8</v>
      </c>
      <c r="E123" s="6" t="str">
        <f>"王春子"</f>
        <v>王春子</v>
      </c>
      <c r="F123" s="6" t="str">
        <f t="shared" si="8"/>
        <v>女</v>
      </c>
    </row>
    <row r="124" spans="1:6" ht="30" customHeight="1">
      <c r="A124" s="6">
        <v>122</v>
      </c>
      <c r="B124" s="6" t="str">
        <f>"530020230530205230100132"</f>
        <v>530020230530205230100132</v>
      </c>
      <c r="C124" s="6" t="str">
        <f t="shared" si="6"/>
        <v>0102</v>
      </c>
      <c r="D124" s="6" t="s">
        <v>8</v>
      </c>
      <c r="E124" s="6" t="str">
        <f>"李伟燕"</f>
        <v>李伟燕</v>
      </c>
      <c r="F124" s="6" t="str">
        <f t="shared" si="8"/>
        <v>女</v>
      </c>
    </row>
    <row r="125" spans="1:6" ht="30" customHeight="1">
      <c r="A125" s="6">
        <v>123</v>
      </c>
      <c r="B125" s="6" t="str">
        <f>"53002023053009134596093"</f>
        <v>53002023053009134596093</v>
      </c>
      <c r="C125" s="6" t="str">
        <f t="shared" si="6"/>
        <v>0102</v>
      </c>
      <c r="D125" s="6" t="s">
        <v>8</v>
      </c>
      <c r="E125" s="6" t="str">
        <f>"唐寿葡"</f>
        <v>唐寿葡</v>
      </c>
      <c r="F125" s="6" t="str">
        <f t="shared" si="8"/>
        <v>女</v>
      </c>
    </row>
    <row r="126" spans="1:6" ht="30" customHeight="1">
      <c r="A126" s="6">
        <v>124</v>
      </c>
      <c r="B126" s="6" t="str">
        <f>"530020230601094003105705"</f>
        <v>530020230601094003105705</v>
      </c>
      <c r="C126" s="6" t="str">
        <f t="shared" si="6"/>
        <v>0102</v>
      </c>
      <c r="D126" s="6" t="s">
        <v>8</v>
      </c>
      <c r="E126" s="6" t="str">
        <f>"庄垣秀"</f>
        <v>庄垣秀</v>
      </c>
      <c r="F126" s="6" t="str">
        <f t="shared" si="8"/>
        <v>女</v>
      </c>
    </row>
    <row r="127" spans="1:6" ht="30" customHeight="1">
      <c r="A127" s="6">
        <v>125</v>
      </c>
      <c r="B127" s="6" t="str">
        <f>"530020230601092850105601"</f>
        <v>530020230601092850105601</v>
      </c>
      <c r="C127" s="6" t="str">
        <f t="shared" si="6"/>
        <v>0102</v>
      </c>
      <c r="D127" s="6" t="s">
        <v>8</v>
      </c>
      <c r="E127" s="6" t="str">
        <f>"吕杰"</f>
        <v>吕杰</v>
      </c>
      <c r="F127" s="6" t="str">
        <f t="shared" si="8"/>
        <v>女</v>
      </c>
    </row>
    <row r="128" spans="1:6" ht="30" customHeight="1">
      <c r="A128" s="6">
        <v>126</v>
      </c>
      <c r="B128" s="6" t="str">
        <f>"53002023053008123495828"</f>
        <v>53002023053008123495828</v>
      </c>
      <c r="C128" s="6" t="str">
        <f t="shared" si="6"/>
        <v>0102</v>
      </c>
      <c r="D128" s="6" t="s">
        <v>8</v>
      </c>
      <c r="E128" s="6" t="str">
        <f>"夏啸珍"</f>
        <v>夏啸珍</v>
      </c>
      <c r="F128" s="6" t="str">
        <f t="shared" si="8"/>
        <v>女</v>
      </c>
    </row>
    <row r="129" spans="1:6" ht="30" customHeight="1">
      <c r="A129" s="6">
        <v>127</v>
      </c>
      <c r="B129" s="6" t="str">
        <f>"530020230601120906106607"</f>
        <v>530020230601120906106607</v>
      </c>
      <c r="C129" s="6" t="str">
        <f t="shared" si="6"/>
        <v>0102</v>
      </c>
      <c r="D129" s="6" t="s">
        <v>8</v>
      </c>
      <c r="E129" s="6" t="str">
        <f>"王首道"</f>
        <v>王首道</v>
      </c>
      <c r="F129" s="6" t="str">
        <f>"男"</f>
        <v>男</v>
      </c>
    </row>
    <row r="130" spans="1:6" ht="30" customHeight="1">
      <c r="A130" s="6">
        <v>128</v>
      </c>
      <c r="B130" s="6" t="str">
        <f>"53002023053010043896487"</f>
        <v>53002023053010043896487</v>
      </c>
      <c r="C130" s="6" t="str">
        <f t="shared" si="6"/>
        <v>0102</v>
      </c>
      <c r="D130" s="6" t="s">
        <v>8</v>
      </c>
      <c r="E130" s="6" t="str">
        <f>"许宇宝"</f>
        <v>许宇宝</v>
      </c>
      <c r="F130" s="6" t="str">
        <f>"男"</f>
        <v>男</v>
      </c>
    </row>
    <row r="131" spans="1:6" ht="30" customHeight="1">
      <c r="A131" s="6">
        <v>129</v>
      </c>
      <c r="B131" s="6" t="str">
        <f>"53002023052916473993485"</f>
        <v>53002023052916473993485</v>
      </c>
      <c r="C131" s="6" t="str">
        <f t="shared" si="6"/>
        <v>0102</v>
      </c>
      <c r="D131" s="6" t="s">
        <v>8</v>
      </c>
      <c r="E131" s="6" t="str">
        <f>"李春燕"</f>
        <v>李春燕</v>
      </c>
      <c r="F131" s="6" t="str">
        <f>"女"</f>
        <v>女</v>
      </c>
    </row>
    <row r="132" spans="1:6" ht="30" customHeight="1">
      <c r="A132" s="6">
        <v>130</v>
      </c>
      <c r="B132" s="6" t="str">
        <f>"53002023053017540399344"</f>
        <v>53002023053017540399344</v>
      </c>
      <c r="C132" s="6" t="str">
        <f t="shared" si="6"/>
        <v>0102</v>
      </c>
      <c r="D132" s="6" t="s">
        <v>8</v>
      </c>
      <c r="E132" s="6" t="str">
        <f>"吴为菊"</f>
        <v>吴为菊</v>
      </c>
      <c r="F132" s="6" t="str">
        <f>"女"</f>
        <v>女</v>
      </c>
    </row>
    <row r="133" spans="1:6" ht="30" customHeight="1">
      <c r="A133" s="6">
        <v>131</v>
      </c>
      <c r="B133" s="6" t="str">
        <f>"530020230601170102107789"</f>
        <v>530020230601170102107789</v>
      </c>
      <c r="C133" s="6" t="str">
        <f t="shared" si="6"/>
        <v>0102</v>
      </c>
      <c r="D133" s="6" t="s">
        <v>8</v>
      </c>
      <c r="E133" s="6" t="str">
        <f>"谢少远"</f>
        <v>谢少远</v>
      </c>
      <c r="F133" s="6" t="str">
        <f>"女"</f>
        <v>女</v>
      </c>
    </row>
    <row r="134" spans="1:6" ht="30" customHeight="1">
      <c r="A134" s="6">
        <v>132</v>
      </c>
      <c r="B134" s="6" t="str">
        <f>"530020230601132735106922"</f>
        <v>530020230601132735106922</v>
      </c>
      <c r="C134" s="6" t="str">
        <f t="shared" si="6"/>
        <v>0102</v>
      </c>
      <c r="D134" s="6" t="s">
        <v>8</v>
      </c>
      <c r="E134" s="6" t="str">
        <f>"邢增丽"</f>
        <v>邢增丽</v>
      </c>
      <c r="F134" s="6" t="str">
        <f>"女"</f>
        <v>女</v>
      </c>
    </row>
    <row r="135" spans="1:6" ht="30" customHeight="1">
      <c r="A135" s="6">
        <v>133</v>
      </c>
      <c r="B135" s="6" t="str">
        <f>"53002023052907450189442"</f>
        <v>53002023052907450189442</v>
      </c>
      <c r="C135" s="6" t="str">
        <f t="shared" si="6"/>
        <v>0102</v>
      </c>
      <c r="D135" s="6" t="s">
        <v>8</v>
      </c>
      <c r="E135" s="6" t="str">
        <f>"陈蓉"</f>
        <v>陈蓉</v>
      </c>
      <c r="F135" s="6" t="str">
        <f>"女"</f>
        <v>女</v>
      </c>
    </row>
    <row r="136" spans="1:6" ht="30" customHeight="1">
      <c r="A136" s="6">
        <v>134</v>
      </c>
      <c r="B136" s="6" t="str">
        <f>"530020230602090522109472"</f>
        <v>530020230602090522109472</v>
      </c>
      <c r="C136" s="6" t="str">
        <f t="shared" si="6"/>
        <v>0102</v>
      </c>
      <c r="D136" s="6" t="s">
        <v>8</v>
      </c>
      <c r="E136" s="6" t="str">
        <f>"陈建元"</f>
        <v>陈建元</v>
      </c>
      <c r="F136" s="6" t="str">
        <f>"男"</f>
        <v>男</v>
      </c>
    </row>
    <row r="137" spans="1:6" ht="30" customHeight="1">
      <c r="A137" s="6">
        <v>135</v>
      </c>
      <c r="B137" s="6" t="str">
        <f>"530020230602110353109992"</f>
        <v>530020230602110353109992</v>
      </c>
      <c r="C137" s="6" t="str">
        <f t="shared" si="6"/>
        <v>0102</v>
      </c>
      <c r="D137" s="6" t="s">
        <v>8</v>
      </c>
      <c r="E137" s="6" t="str">
        <f>"陈德良"</f>
        <v>陈德良</v>
      </c>
      <c r="F137" s="6" t="str">
        <f>"男"</f>
        <v>男</v>
      </c>
    </row>
    <row r="138" spans="1:6" ht="30" customHeight="1">
      <c r="A138" s="6">
        <v>136</v>
      </c>
      <c r="B138" s="6" t="str">
        <f>"530020230601185346108166"</f>
        <v>530020230601185346108166</v>
      </c>
      <c r="C138" s="6" t="str">
        <f t="shared" si="6"/>
        <v>0102</v>
      </c>
      <c r="D138" s="6" t="s">
        <v>8</v>
      </c>
      <c r="E138" s="6" t="str">
        <f>"吴健强"</f>
        <v>吴健强</v>
      </c>
      <c r="F138" s="6" t="str">
        <f>"男"</f>
        <v>男</v>
      </c>
    </row>
    <row r="139" spans="1:6" ht="30" customHeight="1">
      <c r="A139" s="6">
        <v>137</v>
      </c>
      <c r="B139" s="6" t="str">
        <f>"53002023052709015583659"</f>
        <v>53002023052709015583659</v>
      </c>
      <c r="C139" s="6" t="str">
        <f aca="true" t="shared" si="9" ref="C139:C202">"0103"</f>
        <v>0103</v>
      </c>
      <c r="D139" s="6" t="s">
        <v>9</v>
      </c>
      <c r="E139" s="6" t="str">
        <f>"滕慧月"</f>
        <v>滕慧月</v>
      </c>
      <c r="F139" s="6" t="str">
        <f aca="true" t="shared" si="10" ref="F139:F200">"女"</f>
        <v>女</v>
      </c>
    </row>
    <row r="140" spans="1:6" ht="30" customHeight="1">
      <c r="A140" s="6">
        <v>138</v>
      </c>
      <c r="B140" s="6" t="str">
        <f>"53002023052709372483788"</f>
        <v>53002023052709372483788</v>
      </c>
      <c r="C140" s="6" t="str">
        <f t="shared" si="9"/>
        <v>0103</v>
      </c>
      <c r="D140" s="6" t="s">
        <v>9</v>
      </c>
      <c r="E140" s="6" t="str">
        <f>"张彩兰"</f>
        <v>张彩兰</v>
      </c>
      <c r="F140" s="6" t="str">
        <f t="shared" si="10"/>
        <v>女</v>
      </c>
    </row>
    <row r="141" spans="1:6" ht="30" customHeight="1">
      <c r="A141" s="6">
        <v>139</v>
      </c>
      <c r="B141" s="6" t="str">
        <f>"53002023052711065384192"</f>
        <v>53002023052711065384192</v>
      </c>
      <c r="C141" s="6" t="str">
        <f t="shared" si="9"/>
        <v>0103</v>
      </c>
      <c r="D141" s="6" t="s">
        <v>9</v>
      </c>
      <c r="E141" s="6" t="str">
        <f>"潘一慧"</f>
        <v>潘一慧</v>
      </c>
      <c r="F141" s="6" t="str">
        <f t="shared" si="10"/>
        <v>女</v>
      </c>
    </row>
    <row r="142" spans="1:6" ht="30" customHeight="1">
      <c r="A142" s="6">
        <v>140</v>
      </c>
      <c r="B142" s="6" t="str">
        <f>"53002023052709421683811"</f>
        <v>53002023052709421683811</v>
      </c>
      <c r="C142" s="6" t="str">
        <f t="shared" si="9"/>
        <v>0103</v>
      </c>
      <c r="D142" s="6" t="s">
        <v>9</v>
      </c>
      <c r="E142" s="6" t="str">
        <f>"林美珍"</f>
        <v>林美珍</v>
      </c>
      <c r="F142" s="6" t="str">
        <f t="shared" si="10"/>
        <v>女</v>
      </c>
    </row>
    <row r="143" spans="1:6" ht="30" customHeight="1">
      <c r="A143" s="6">
        <v>141</v>
      </c>
      <c r="B143" s="6" t="str">
        <f>"53002023052715123585050"</f>
        <v>53002023052715123585050</v>
      </c>
      <c r="C143" s="6" t="str">
        <f t="shared" si="9"/>
        <v>0103</v>
      </c>
      <c r="D143" s="6" t="s">
        <v>9</v>
      </c>
      <c r="E143" s="6" t="str">
        <f>"周雄英"</f>
        <v>周雄英</v>
      </c>
      <c r="F143" s="6" t="str">
        <f t="shared" si="10"/>
        <v>女</v>
      </c>
    </row>
    <row r="144" spans="1:6" ht="30" customHeight="1">
      <c r="A144" s="6">
        <v>142</v>
      </c>
      <c r="B144" s="6" t="str">
        <f>"53002023052715550585201"</f>
        <v>53002023052715550585201</v>
      </c>
      <c r="C144" s="6" t="str">
        <f t="shared" si="9"/>
        <v>0103</v>
      </c>
      <c r="D144" s="6" t="s">
        <v>9</v>
      </c>
      <c r="E144" s="6" t="str">
        <f>"金雅丽"</f>
        <v>金雅丽</v>
      </c>
      <c r="F144" s="6" t="str">
        <f t="shared" si="10"/>
        <v>女</v>
      </c>
    </row>
    <row r="145" spans="1:6" ht="30" customHeight="1">
      <c r="A145" s="6">
        <v>143</v>
      </c>
      <c r="B145" s="6" t="str">
        <f>"53002023052716254585297"</f>
        <v>53002023052716254585297</v>
      </c>
      <c r="C145" s="6" t="str">
        <f t="shared" si="9"/>
        <v>0103</v>
      </c>
      <c r="D145" s="6" t="s">
        <v>9</v>
      </c>
      <c r="E145" s="6" t="str">
        <f>"廖飞凤"</f>
        <v>廖飞凤</v>
      </c>
      <c r="F145" s="6" t="str">
        <f t="shared" si="10"/>
        <v>女</v>
      </c>
    </row>
    <row r="146" spans="1:6" ht="30" customHeight="1">
      <c r="A146" s="6">
        <v>144</v>
      </c>
      <c r="B146" s="6" t="str">
        <f>"53002023052713250384701"</f>
        <v>53002023052713250384701</v>
      </c>
      <c r="C146" s="6" t="str">
        <f t="shared" si="9"/>
        <v>0103</v>
      </c>
      <c r="D146" s="6" t="s">
        <v>9</v>
      </c>
      <c r="E146" s="6" t="str">
        <f>"林观华"</f>
        <v>林观华</v>
      </c>
      <c r="F146" s="6" t="str">
        <f t="shared" si="10"/>
        <v>女</v>
      </c>
    </row>
    <row r="147" spans="1:6" ht="30" customHeight="1">
      <c r="A147" s="6">
        <v>145</v>
      </c>
      <c r="B147" s="6" t="str">
        <f>"53002023052717271285507"</f>
        <v>53002023052717271285507</v>
      </c>
      <c r="C147" s="6" t="str">
        <f t="shared" si="9"/>
        <v>0103</v>
      </c>
      <c r="D147" s="6" t="s">
        <v>9</v>
      </c>
      <c r="E147" s="6" t="str">
        <f>"林晓瑜"</f>
        <v>林晓瑜</v>
      </c>
      <c r="F147" s="6" t="str">
        <f t="shared" si="10"/>
        <v>女</v>
      </c>
    </row>
    <row r="148" spans="1:6" ht="30" customHeight="1">
      <c r="A148" s="6">
        <v>146</v>
      </c>
      <c r="B148" s="6" t="str">
        <f>"53002023052718283485666"</f>
        <v>53002023052718283485666</v>
      </c>
      <c r="C148" s="6" t="str">
        <f t="shared" si="9"/>
        <v>0103</v>
      </c>
      <c r="D148" s="6" t="s">
        <v>9</v>
      </c>
      <c r="E148" s="6" t="str">
        <f>"龚燕"</f>
        <v>龚燕</v>
      </c>
      <c r="F148" s="6" t="str">
        <f t="shared" si="10"/>
        <v>女</v>
      </c>
    </row>
    <row r="149" spans="1:6" ht="30" customHeight="1">
      <c r="A149" s="6">
        <v>147</v>
      </c>
      <c r="B149" s="6" t="str">
        <f>"53002023052721470486281"</f>
        <v>53002023052721470486281</v>
      </c>
      <c r="C149" s="6" t="str">
        <f t="shared" si="9"/>
        <v>0103</v>
      </c>
      <c r="D149" s="6" t="s">
        <v>9</v>
      </c>
      <c r="E149" s="6" t="str">
        <f>"徐梦思"</f>
        <v>徐梦思</v>
      </c>
      <c r="F149" s="6" t="str">
        <f t="shared" si="10"/>
        <v>女</v>
      </c>
    </row>
    <row r="150" spans="1:6" ht="30" customHeight="1">
      <c r="A150" s="6">
        <v>148</v>
      </c>
      <c r="B150" s="6" t="str">
        <f>"53002023052808494586801"</f>
        <v>53002023052808494586801</v>
      </c>
      <c r="C150" s="6" t="str">
        <f t="shared" si="9"/>
        <v>0103</v>
      </c>
      <c r="D150" s="6" t="s">
        <v>9</v>
      </c>
      <c r="E150" s="6" t="str">
        <f>"张学思"</f>
        <v>张学思</v>
      </c>
      <c r="F150" s="6" t="str">
        <f t="shared" si="10"/>
        <v>女</v>
      </c>
    </row>
    <row r="151" spans="1:6" ht="30" customHeight="1">
      <c r="A151" s="6">
        <v>149</v>
      </c>
      <c r="B151" s="6" t="str">
        <f>"53002023052813440287514"</f>
        <v>53002023052813440287514</v>
      </c>
      <c r="C151" s="6" t="str">
        <f t="shared" si="9"/>
        <v>0103</v>
      </c>
      <c r="D151" s="6" t="s">
        <v>9</v>
      </c>
      <c r="E151" s="6" t="str">
        <f>"林宏晓"</f>
        <v>林宏晓</v>
      </c>
      <c r="F151" s="6" t="str">
        <f t="shared" si="10"/>
        <v>女</v>
      </c>
    </row>
    <row r="152" spans="1:6" ht="30" customHeight="1">
      <c r="A152" s="6">
        <v>150</v>
      </c>
      <c r="B152" s="6" t="str">
        <f>"53002023052813292087478"</f>
        <v>53002023052813292087478</v>
      </c>
      <c r="C152" s="6" t="str">
        <f t="shared" si="9"/>
        <v>0103</v>
      </c>
      <c r="D152" s="6" t="s">
        <v>9</v>
      </c>
      <c r="E152" s="6" t="str">
        <f>"符连芳"</f>
        <v>符连芳</v>
      </c>
      <c r="F152" s="6" t="str">
        <f t="shared" si="10"/>
        <v>女</v>
      </c>
    </row>
    <row r="153" spans="1:6" ht="30" customHeight="1">
      <c r="A153" s="6">
        <v>151</v>
      </c>
      <c r="B153" s="6" t="str">
        <f>"53002023052816361687956"</f>
        <v>53002023052816361687956</v>
      </c>
      <c r="C153" s="6" t="str">
        <f t="shared" si="9"/>
        <v>0103</v>
      </c>
      <c r="D153" s="6" t="s">
        <v>9</v>
      </c>
      <c r="E153" s="6" t="str">
        <f>"符国艳"</f>
        <v>符国艳</v>
      </c>
      <c r="F153" s="6" t="str">
        <f t="shared" si="10"/>
        <v>女</v>
      </c>
    </row>
    <row r="154" spans="1:6" ht="30" customHeight="1">
      <c r="A154" s="6">
        <v>152</v>
      </c>
      <c r="B154" s="6" t="str">
        <f>"53002023052816313987942"</f>
        <v>53002023052816313987942</v>
      </c>
      <c r="C154" s="6" t="str">
        <f t="shared" si="9"/>
        <v>0103</v>
      </c>
      <c r="D154" s="6" t="s">
        <v>9</v>
      </c>
      <c r="E154" s="6" t="str">
        <f>"金茹男"</f>
        <v>金茹男</v>
      </c>
      <c r="F154" s="6" t="str">
        <f t="shared" si="10"/>
        <v>女</v>
      </c>
    </row>
    <row r="155" spans="1:6" ht="30" customHeight="1">
      <c r="A155" s="6">
        <v>153</v>
      </c>
      <c r="B155" s="6" t="str">
        <f>"53002023052819121088471"</f>
        <v>53002023052819121088471</v>
      </c>
      <c r="C155" s="6" t="str">
        <f t="shared" si="9"/>
        <v>0103</v>
      </c>
      <c r="D155" s="6" t="s">
        <v>9</v>
      </c>
      <c r="E155" s="6" t="str">
        <f>"刘晓月"</f>
        <v>刘晓月</v>
      </c>
      <c r="F155" s="6" t="str">
        <f t="shared" si="10"/>
        <v>女</v>
      </c>
    </row>
    <row r="156" spans="1:6" ht="30" customHeight="1">
      <c r="A156" s="6">
        <v>154</v>
      </c>
      <c r="B156" s="6" t="str">
        <f>"53002023052819551988572"</f>
        <v>53002023052819551988572</v>
      </c>
      <c r="C156" s="6" t="str">
        <f t="shared" si="9"/>
        <v>0103</v>
      </c>
      <c r="D156" s="6" t="s">
        <v>9</v>
      </c>
      <c r="E156" s="6" t="str">
        <f>"陈秀靓"</f>
        <v>陈秀靓</v>
      </c>
      <c r="F156" s="6" t="str">
        <f t="shared" si="10"/>
        <v>女</v>
      </c>
    </row>
    <row r="157" spans="1:6" ht="30" customHeight="1">
      <c r="A157" s="6">
        <v>155</v>
      </c>
      <c r="B157" s="6" t="str">
        <f>"53002023052822371289122"</f>
        <v>53002023052822371289122</v>
      </c>
      <c r="C157" s="6" t="str">
        <f t="shared" si="9"/>
        <v>0103</v>
      </c>
      <c r="D157" s="6" t="s">
        <v>9</v>
      </c>
      <c r="E157" s="6" t="str">
        <f>"伍思宇"</f>
        <v>伍思宇</v>
      </c>
      <c r="F157" s="6" t="str">
        <f t="shared" si="10"/>
        <v>女</v>
      </c>
    </row>
    <row r="158" spans="1:6" ht="30" customHeight="1">
      <c r="A158" s="6">
        <v>156</v>
      </c>
      <c r="B158" s="6" t="str">
        <f>"53002023052822395589130"</f>
        <v>53002023052822395589130</v>
      </c>
      <c r="C158" s="6" t="str">
        <f t="shared" si="9"/>
        <v>0103</v>
      </c>
      <c r="D158" s="6" t="s">
        <v>9</v>
      </c>
      <c r="E158" s="6" t="str">
        <f>"孙梦瑶"</f>
        <v>孙梦瑶</v>
      </c>
      <c r="F158" s="6" t="str">
        <f t="shared" si="10"/>
        <v>女</v>
      </c>
    </row>
    <row r="159" spans="1:6" ht="30" customHeight="1">
      <c r="A159" s="6">
        <v>157</v>
      </c>
      <c r="B159" s="6" t="str">
        <f>"53002023052823534289313"</f>
        <v>53002023052823534289313</v>
      </c>
      <c r="C159" s="6" t="str">
        <f t="shared" si="9"/>
        <v>0103</v>
      </c>
      <c r="D159" s="6" t="s">
        <v>9</v>
      </c>
      <c r="E159" s="6" t="str">
        <f>"唐爱妃"</f>
        <v>唐爱妃</v>
      </c>
      <c r="F159" s="6" t="str">
        <f t="shared" si="10"/>
        <v>女</v>
      </c>
    </row>
    <row r="160" spans="1:6" ht="30" customHeight="1">
      <c r="A160" s="6">
        <v>158</v>
      </c>
      <c r="B160" s="6" t="str">
        <f>"53002023052823383289298"</f>
        <v>53002023052823383289298</v>
      </c>
      <c r="C160" s="6" t="str">
        <f t="shared" si="9"/>
        <v>0103</v>
      </c>
      <c r="D160" s="6" t="s">
        <v>9</v>
      </c>
      <c r="E160" s="6" t="str">
        <f>"高慧"</f>
        <v>高慧</v>
      </c>
      <c r="F160" s="6" t="str">
        <f t="shared" si="10"/>
        <v>女</v>
      </c>
    </row>
    <row r="161" spans="1:6" ht="30" customHeight="1">
      <c r="A161" s="6">
        <v>159</v>
      </c>
      <c r="B161" s="6" t="str">
        <f>"53002023052907445289441"</f>
        <v>53002023052907445289441</v>
      </c>
      <c r="C161" s="6" t="str">
        <f t="shared" si="9"/>
        <v>0103</v>
      </c>
      <c r="D161" s="6" t="s">
        <v>9</v>
      </c>
      <c r="E161" s="6" t="str">
        <f>"杨曼"</f>
        <v>杨曼</v>
      </c>
      <c r="F161" s="6" t="str">
        <f t="shared" si="10"/>
        <v>女</v>
      </c>
    </row>
    <row r="162" spans="1:6" ht="30" customHeight="1">
      <c r="A162" s="6">
        <v>160</v>
      </c>
      <c r="B162" s="6" t="str">
        <f>"53002023052908470689624"</f>
        <v>53002023052908470689624</v>
      </c>
      <c r="C162" s="6" t="str">
        <f t="shared" si="9"/>
        <v>0103</v>
      </c>
      <c r="D162" s="6" t="s">
        <v>9</v>
      </c>
      <c r="E162" s="6" t="str">
        <f>"蔡文倩"</f>
        <v>蔡文倩</v>
      </c>
      <c r="F162" s="6" t="str">
        <f t="shared" si="10"/>
        <v>女</v>
      </c>
    </row>
    <row r="163" spans="1:6" ht="30" customHeight="1">
      <c r="A163" s="6">
        <v>161</v>
      </c>
      <c r="B163" s="6" t="str">
        <f>"53002023052908364689588"</f>
        <v>53002023052908364689588</v>
      </c>
      <c r="C163" s="6" t="str">
        <f t="shared" si="9"/>
        <v>0103</v>
      </c>
      <c r="D163" s="6" t="s">
        <v>9</v>
      </c>
      <c r="E163" s="6" t="str">
        <f>"陈珊珊"</f>
        <v>陈珊珊</v>
      </c>
      <c r="F163" s="6" t="str">
        <f t="shared" si="10"/>
        <v>女</v>
      </c>
    </row>
    <row r="164" spans="1:6" ht="30" customHeight="1">
      <c r="A164" s="6">
        <v>162</v>
      </c>
      <c r="B164" s="6" t="str">
        <f>"53002023052910355890858"</f>
        <v>53002023052910355890858</v>
      </c>
      <c r="C164" s="6" t="str">
        <f t="shared" si="9"/>
        <v>0103</v>
      </c>
      <c r="D164" s="6" t="s">
        <v>9</v>
      </c>
      <c r="E164" s="6" t="str">
        <f>"高铭"</f>
        <v>高铭</v>
      </c>
      <c r="F164" s="6" t="str">
        <f t="shared" si="10"/>
        <v>女</v>
      </c>
    </row>
    <row r="165" spans="1:6" ht="30" customHeight="1">
      <c r="A165" s="6">
        <v>163</v>
      </c>
      <c r="B165" s="6" t="str">
        <f>"53002023052911065491188"</f>
        <v>53002023052911065491188</v>
      </c>
      <c r="C165" s="6" t="str">
        <f t="shared" si="9"/>
        <v>0103</v>
      </c>
      <c r="D165" s="6" t="s">
        <v>9</v>
      </c>
      <c r="E165" s="6" t="str">
        <f>"张茹茹"</f>
        <v>张茹茹</v>
      </c>
      <c r="F165" s="6" t="str">
        <f t="shared" si="10"/>
        <v>女</v>
      </c>
    </row>
    <row r="166" spans="1:6" ht="30" customHeight="1">
      <c r="A166" s="6">
        <v>164</v>
      </c>
      <c r="B166" s="6" t="str">
        <f>"53002023052909554890392"</f>
        <v>53002023052909554890392</v>
      </c>
      <c r="C166" s="6" t="str">
        <f t="shared" si="9"/>
        <v>0103</v>
      </c>
      <c r="D166" s="6" t="s">
        <v>9</v>
      </c>
      <c r="E166" s="6" t="str">
        <f>"刘文慧"</f>
        <v>刘文慧</v>
      </c>
      <c r="F166" s="6" t="str">
        <f t="shared" si="10"/>
        <v>女</v>
      </c>
    </row>
    <row r="167" spans="1:6" ht="30" customHeight="1">
      <c r="A167" s="6">
        <v>165</v>
      </c>
      <c r="B167" s="6" t="str">
        <f>"53002023052719101585775"</f>
        <v>53002023052719101585775</v>
      </c>
      <c r="C167" s="6" t="str">
        <f t="shared" si="9"/>
        <v>0103</v>
      </c>
      <c r="D167" s="6" t="s">
        <v>9</v>
      </c>
      <c r="E167" s="6" t="str">
        <f>"吴健婵"</f>
        <v>吴健婵</v>
      </c>
      <c r="F167" s="6" t="str">
        <f t="shared" si="10"/>
        <v>女</v>
      </c>
    </row>
    <row r="168" spans="1:6" ht="30" customHeight="1">
      <c r="A168" s="6">
        <v>166</v>
      </c>
      <c r="B168" s="6" t="str">
        <f>"53002023052914061392357"</f>
        <v>53002023052914061392357</v>
      </c>
      <c r="C168" s="6" t="str">
        <f t="shared" si="9"/>
        <v>0103</v>
      </c>
      <c r="D168" s="6" t="s">
        <v>9</v>
      </c>
      <c r="E168" s="6" t="str">
        <f>"苏虹"</f>
        <v>苏虹</v>
      </c>
      <c r="F168" s="6" t="str">
        <f t="shared" si="10"/>
        <v>女</v>
      </c>
    </row>
    <row r="169" spans="1:6" ht="30" customHeight="1">
      <c r="A169" s="6">
        <v>167</v>
      </c>
      <c r="B169" s="6" t="str">
        <f>"53002023052914281192478"</f>
        <v>53002023052914281192478</v>
      </c>
      <c r="C169" s="6" t="str">
        <f t="shared" si="9"/>
        <v>0103</v>
      </c>
      <c r="D169" s="6" t="s">
        <v>9</v>
      </c>
      <c r="E169" s="6" t="str">
        <f>"陈海文"</f>
        <v>陈海文</v>
      </c>
      <c r="F169" s="6" t="str">
        <f t="shared" si="10"/>
        <v>女</v>
      </c>
    </row>
    <row r="170" spans="1:6" ht="30" customHeight="1">
      <c r="A170" s="6">
        <v>168</v>
      </c>
      <c r="B170" s="6" t="str">
        <f>"53002023052914581492649"</f>
        <v>53002023052914581492649</v>
      </c>
      <c r="C170" s="6" t="str">
        <f t="shared" si="9"/>
        <v>0103</v>
      </c>
      <c r="D170" s="6" t="s">
        <v>9</v>
      </c>
      <c r="E170" s="6" t="str">
        <f>"刘秋颖"</f>
        <v>刘秋颖</v>
      </c>
      <c r="F170" s="6" t="str">
        <f t="shared" si="10"/>
        <v>女</v>
      </c>
    </row>
    <row r="171" spans="1:6" ht="30" customHeight="1">
      <c r="A171" s="6">
        <v>169</v>
      </c>
      <c r="B171" s="6" t="str">
        <f>"53002023052709344183782"</f>
        <v>53002023052709344183782</v>
      </c>
      <c r="C171" s="6" t="str">
        <f t="shared" si="9"/>
        <v>0103</v>
      </c>
      <c r="D171" s="6" t="s">
        <v>9</v>
      </c>
      <c r="E171" s="6" t="str">
        <f>"郑长女"</f>
        <v>郑长女</v>
      </c>
      <c r="F171" s="6" t="str">
        <f t="shared" si="10"/>
        <v>女</v>
      </c>
    </row>
    <row r="172" spans="1:6" ht="30" customHeight="1">
      <c r="A172" s="6">
        <v>170</v>
      </c>
      <c r="B172" s="6" t="str">
        <f>"53002023052919413994318"</f>
        <v>53002023052919413994318</v>
      </c>
      <c r="C172" s="6" t="str">
        <f t="shared" si="9"/>
        <v>0103</v>
      </c>
      <c r="D172" s="6" t="s">
        <v>9</v>
      </c>
      <c r="E172" s="6" t="str">
        <f>"赵佳欣"</f>
        <v>赵佳欣</v>
      </c>
      <c r="F172" s="6" t="str">
        <f t="shared" si="10"/>
        <v>女</v>
      </c>
    </row>
    <row r="173" spans="1:6" ht="30" customHeight="1">
      <c r="A173" s="6">
        <v>171</v>
      </c>
      <c r="B173" s="6" t="str">
        <f>"53002023052920231194516"</f>
        <v>53002023052920231194516</v>
      </c>
      <c r="C173" s="6" t="str">
        <f t="shared" si="9"/>
        <v>0103</v>
      </c>
      <c r="D173" s="6" t="s">
        <v>9</v>
      </c>
      <c r="E173" s="6" t="str">
        <f>"黄小艳"</f>
        <v>黄小艳</v>
      </c>
      <c r="F173" s="6" t="str">
        <f t="shared" si="10"/>
        <v>女</v>
      </c>
    </row>
    <row r="174" spans="1:6" ht="30" customHeight="1">
      <c r="A174" s="6">
        <v>172</v>
      </c>
      <c r="B174" s="6" t="str">
        <f>"53002023052921050594734"</f>
        <v>53002023052921050594734</v>
      </c>
      <c r="C174" s="6" t="str">
        <f t="shared" si="9"/>
        <v>0103</v>
      </c>
      <c r="D174" s="6" t="s">
        <v>9</v>
      </c>
      <c r="E174" s="6" t="str">
        <f>"吴姗姗"</f>
        <v>吴姗姗</v>
      </c>
      <c r="F174" s="6" t="str">
        <f t="shared" si="10"/>
        <v>女</v>
      </c>
    </row>
    <row r="175" spans="1:6" ht="30" customHeight="1">
      <c r="A175" s="6">
        <v>173</v>
      </c>
      <c r="B175" s="6" t="str">
        <f>"53002023052921324394909"</f>
        <v>53002023052921324394909</v>
      </c>
      <c r="C175" s="6" t="str">
        <f t="shared" si="9"/>
        <v>0103</v>
      </c>
      <c r="D175" s="6" t="s">
        <v>9</v>
      </c>
      <c r="E175" s="6" t="str">
        <f>"胡丽美"</f>
        <v>胡丽美</v>
      </c>
      <c r="F175" s="6" t="str">
        <f t="shared" si="10"/>
        <v>女</v>
      </c>
    </row>
    <row r="176" spans="1:6" ht="30" customHeight="1">
      <c r="A176" s="6">
        <v>174</v>
      </c>
      <c r="B176" s="6" t="str">
        <f>"53002023052921181594826"</f>
        <v>53002023052921181594826</v>
      </c>
      <c r="C176" s="6" t="str">
        <f t="shared" si="9"/>
        <v>0103</v>
      </c>
      <c r="D176" s="6" t="s">
        <v>9</v>
      </c>
      <c r="E176" s="6" t="str">
        <f>"施爱玲"</f>
        <v>施爱玲</v>
      </c>
      <c r="F176" s="6" t="str">
        <f t="shared" si="10"/>
        <v>女</v>
      </c>
    </row>
    <row r="177" spans="1:6" ht="30" customHeight="1">
      <c r="A177" s="6">
        <v>175</v>
      </c>
      <c r="B177" s="6" t="str">
        <f>"53002023052921342394920"</f>
        <v>53002023052921342394920</v>
      </c>
      <c r="C177" s="6" t="str">
        <f t="shared" si="9"/>
        <v>0103</v>
      </c>
      <c r="D177" s="6" t="s">
        <v>9</v>
      </c>
      <c r="E177" s="6" t="str">
        <f>"高健"</f>
        <v>高健</v>
      </c>
      <c r="F177" s="6" t="str">
        <f t="shared" si="10"/>
        <v>女</v>
      </c>
    </row>
    <row r="178" spans="1:6" ht="30" customHeight="1">
      <c r="A178" s="6">
        <v>176</v>
      </c>
      <c r="B178" s="6" t="str">
        <f>"53002023052922074295115"</f>
        <v>53002023052922074295115</v>
      </c>
      <c r="C178" s="6" t="str">
        <f t="shared" si="9"/>
        <v>0103</v>
      </c>
      <c r="D178" s="6" t="s">
        <v>9</v>
      </c>
      <c r="E178" s="6" t="str">
        <f>"许德妹"</f>
        <v>许德妹</v>
      </c>
      <c r="F178" s="6" t="str">
        <f t="shared" si="10"/>
        <v>女</v>
      </c>
    </row>
    <row r="179" spans="1:6" ht="30" customHeight="1">
      <c r="A179" s="6">
        <v>177</v>
      </c>
      <c r="B179" s="6" t="str">
        <f>"53002023052912141091741"</f>
        <v>53002023052912141091741</v>
      </c>
      <c r="C179" s="6" t="str">
        <f t="shared" si="9"/>
        <v>0103</v>
      </c>
      <c r="D179" s="6" t="s">
        <v>9</v>
      </c>
      <c r="E179" s="6" t="str">
        <f>"彭夏芳"</f>
        <v>彭夏芳</v>
      </c>
      <c r="F179" s="6" t="str">
        <f t="shared" si="10"/>
        <v>女</v>
      </c>
    </row>
    <row r="180" spans="1:6" ht="30" customHeight="1">
      <c r="A180" s="6">
        <v>178</v>
      </c>
      <c r="B180" s="6" t="str">
        <f>"53002023052909110089875"</f>
        <v>53002023052909110089875</v>
      </c>
      <c r="C180" s="6" t="str">
        <f t="shared" si="9"/>
        <v>0103</v>
      </c>
      <c r="D180" s="6" t="s">
        <v>9</v>
      </c>
      <c r="E180" s="6" t="str">
        <f>"陈姝羽"</f>
        <v>陈姝羽</v>
      </c>
      <c r="F180" s="6" t="str">
        <f t="shared" si="10"/>
        <v>女</v>
      </c>
    </row>
    <row r="181" spans="1:6" ht="30" customHeight="1">
      <c r="A181" s="6">
        <v>179</v>
      </c>
      <c r="B181" s="6" t="str">
        <f>"53002023052922514495361"</f>
        <v>53002023052922514495361</v>
      </c>
      <c r="C181" s="6" t="str">
        <f t="shared" si="9"/>
        <v>0103</v>
      </c>
      <c r="D181" s="6" t="s">
        <v>9</v>
      </c>
      <c r="E181" s="6" t="str">
        <f>"邢维靖"</f>
        <v>邢维靖</v>
      </c>
      <c r="F181" s="6" t="str">
        <f t="shared" si="10"/>
        <v>女</v>
      </c>
    </row>
    <row r="182" spans="1:6" ht="30" customHeight="1">
      <c r="A182" s="6">
        <v>180</v>
      </c>
      <c r="B182" s="6" t="str">
        <f>"53002023052909083289831"</f>
        <v>53002023052909083289831</v>
      </c>
      <c r="C182" s="6" t="str">
        <f t="shared" si="9"/>
        <v>0103</v>
      </c>
      <c r="D182" s="6" t="s">
        <v>9</v>
      </c>
      <c r="E182" s="6" t="str">
        <f>"吕锡娜"</f>
        <v>吕锡娜</v>
      </c>
      <c r="F182" s="6" t="str">
        <f t="shared" si="10"/>
        <v>女</v>
      </c>
    </row>
    <row r="183" spans="1:6" ht="30" customHeight="1">
      <c r="A183" s="6">
        <v>181</v>
      </c>
      <c r="B183" s="6" t="str">
        <f>"53002023052917355593762"</f>
        <v>53002023052917355593762</v>
      </c>
      <c r="C183" s="6" t="str">
        <f t="shared" si="9"/>
        <v>0103</v>
      </c>
      <c r="D183" s="6" t="s">
        <v>9</v>
      </c>
      <c r="E183" s="6" t="str">
        <f>"林丽"</f>
        <v>林丽</v>
      </c>
      <c r="F183" s="6" t="str">
        <f t="shared" si="10"/>
        <v>女</v>
      </c>
    </row>
    <row r="184" spans="1:6" ht="30" customHeight="1">
      <c r="A184" s="6">
        <v>182</v>
      </c>
      <c r="B184" s="6" t="str">
        <f>"53002023052909514490337"</f>
        <v>53002023052909514490337</v>
      </c>
      <c r="C184" s="6" t="str">
        <f t="shared" si="9"/>
        <v>0103</v>
      </c>
      <c r="D184" s="6" t="s">
        <v>9</v>
      </c>
      <c r="E184" s="6" t="str">
        <f>"李雨娜"</f>
        <v>李雨娜</v>
      </c>
      <c r="F184" s="6" t="str">
        <f t="shared" si="10"/>
        <v>女</v>
      </c>
    </row>
    <row r="185" spans="1:6" ht="30" customHeight="1">
      <c r="A185" s="6">
        <v>183</v>
      </c>
      <c r="B185" s="6" t="str">
        <f>"53002023053009370296276"</f>
        <v>53002023053009370296276</v>
      </c>
      <c r="C185" s="6" t="str">
        <f t="shared" si="9"/>
        <v>0103</v>
      </c>
      <c r="D185" s="6" t="s">
        <v>9</v>
      </c>
      <c r="E185" s="6" t="str">
        <f>"谢慧芬"</f>
        <v>谢慧芬</v>
      </c>
      <c r="F185" s="6" t="str">
        <f t="shared" si="10"/>
        <v>女</v>
      </c>
    </row>
    <row r="186" spans="1:6" ht="30" customHeight="1">
      <c r="A186" s="6">
        <v>184</v>
      </c>
      <c r="B186" s="6" t="str">
        <f>"53002023052821145888838"</f>
        <v>53002023052821145888838</v>
      </c>
      <c r="C186" s="6" t="str">
        <f t="shared" si="9"/>
        <v>0103</v>
      </c>
      <c r="D186" s="6" t="s">
        <v>9</v>
      </c>
      <c r="E186" s="6" t="str">
        <f>"谭静洁"</f>
        <v>谭静洁</v>
      </c>
      <c r="F186" s="6" t="str">
        <f t="shared" si="10"/>
        <v>女</v>
      </c>
    </row>
    <row r="187" spans="1:6" ht="30" customHeight="1">
      <c r="A187" s="6">
        <v>185</v>
      </c>
      <c r="B187" s="6" t="str">
        <f>"53002023052918191793977"</f>
        <v>53002023052918191793977</v>
      </c>
      <c r="C187" s="6" t="str">
        <f t="shared" si="9"/>
        <v>0103</v>
      </c>
      <c r="D187" s="6" t="s">
        <v>9</v>
      </c>
      <c r="E187" s="6" t="str">
        <f>"吴霄燕"</f>
        <v>吴霄燕</v>
      </c>
      <c r="F187" s="6" t="str">
        <f t="shared" si="10"/>
        <v>女</v>
      </c>
    </row>
    <row r="188" spans="1:6" ht="30" customHeight="1">
      <c r="A188" s="6">
        <v>186</v>
      </c>
      <c r="B188" s="6" t="str">
        <f>"53002023053010484096855"</f>
        <v>53002023053010484096855</v>
      </c>
      <c r="C188" s="6" t="str">
        <f t="shared" si="9"/>
        <v>0103</v>
      </c>
      <c r="D188" s="6" t="s">
        <v>9</v>
      </c>
      <c r="E188" s="6" t="str">
        <f>"程帆"</f>
        <v>程帆</v>
      </c>
      <c r="F188" s="6" t="str">
        <f t="shared" si="10"/>
        <v>女</v>
      </c>
    </row>
    <row r="189" spans="1:6" ht="30" customHeight="1">
      <c r="A189" s="6">
        <v>187</v>
      </c>
      <c r="B189" s="6" t="str">
        <f>"53002023053011124297060"</f>
        <v>53002023053011124297060</v>
      </c>
      <c r="C189" s="6" t="str">
        <f t="shared" si="9"/>
        <v>0103</v>
      </c>
      <c r="D189" s="6" t="s">
        <v>9</v>
      </c>
      <c r="E189" s="6" t="str">
        <f>"林超"</f>
        <v>林超</v>
      </c>
      <c r="F189" s="6" t="str">
        <f t="shared" si="10"/>
        <v>女</v>
      </c>
    </row>
    <row r="190" spans="1:6" ht="30" customHeight="1">
      <c r="A190" s="6">
        <v>188</v>
      </c>
      <c r="B190" s="6" t="str">
        <f>"53002023053011090797033"</f>
        <v>53002023053011090797033</v>
      </c>
      <c r="C190" s="6" t="str">
        <f t="shared" si="9"/>
        <v>0103</v>
      </c>
      <c r="D190" s="6" t="s">
        <v>9</v>
      </c>
      <c r="E190" s="6" t="str">
        <f>"符家贇"</f>
        <v>符家贇</v>
      </c>
      <c r="F190" s="6" t="str">
        <f t="shared" si="10"/>
        <v>女</v>
      </c>
    </row>
    <row r="191" spans="1:6" ht="30" customHeight="1">
      <c r="A191" s="6">
        <v>189</v>
      </c>
      <c r="B191" s="6" t="str">
        <f>"53002023053011215597122"</f>
        <v>53002023053011215597122</v>
      </c>
      <c r="C191" s="6" t="str">
        <f t="shared" si="9"/>
        <v>0103</v>
      </c>
      <c r="D191" s="6" t="s">
        <v>9</v>
      </c>
      <c r="E191" s="6" t="str">
        <f>"郭玉芬"</f>
        <v>郭玉芬</v>
      </c>
      <c r="F191" s="6" t="str">
        <f t="shared" si="10"/>
        <v>女</v>
      </c>
    </row>
    <row r="192" spans="1:6" ht="30" customHeight="1">
      <c r="A192" s="6">
        <v>190</v>
      </c>
      <c r="B192" s="6" t="str">
        <f>"53002023053012085597439"</f>
        <v>53002023053012085597439</v>
      </c>
      <c r="C192" s="6" t="str">
        <f t="shared" si="9"/>
        <v>0103</v>
      </c>
      <c r="D192" s="6" t="s">
        <v>9</v>
      </c>
      <c r="E192" s="6" t="str">
        <f>"蔡佳秀"</f>
        <v>蔡佳秀</v>
      </c>
      <c r="F192" s="6" t="str">
        <f t="shared" si="10"/>
        <v>女</v>
      </c>
    </row>
    <row r="193" spans="1:6" ht="30" customHeight="1">
      <c r="A193" s="6">
        <v>191</v>
      </c>
      <c r="B193" s="6" t="str">
        <f>"53002023053011080297019"</f>
        <v>53002023053011080297019</v>
      </c>
      <c r="C193" s="6" t="str">
        <f t="shared" si="9"/>
        <v>0103</v>
      </c>
      <c r="D193" s="6" t="s">
        <v>9</v>
      </c>
      <c r="E193" s="6" t="str">
        <f>"杨平碗"</f>
        <v>杨平碗</v>
      </c>
      <c r="F193" s="6" t="str">
        <f t="shared" si="10"/>
        <v>女</v>
      </c>
    </row>
    <row r="194" spans="1:6" ht="30" customHeight="1">
      <c r="A194" s="6">
        <v>192</v>
      </c>
      <c r="B194" s="6" t="str">
        <f>"53002023052914084292372"</f>
        <v>53002023052914084292372</v>
      </c>
      <c r="C194" s="6" t="str">
        <f t="shared" si="9"/>
        <v>0103</v>
      </c>
      <c r="D194" s="6" t="s">
        <v>9</v>
      </c>
      <c r="E194" s="6" t="str">
        <f>"石欢"</f>
        <v>石欢</v>
      </c>
      <c r="F194" s="6" t="str">
        <f t="shared" si="10"/>
        <v>女</v>
      </c>
    </row>
    <row r="195" spans="1:6" ht="30" customHeight="1">
      <c r="A195" s="6">
        <v>193</v>
      </c>
      <c r="B195" s="6" t="str">
        <f>"53002023053013310197865"</f>
        <v>53002023053013310197865</v>
      </c>
      <c r="C195" s="6" t="str">
        <f t="shared" si="9"/>
        <v>0103</v>
      </c>
      <c r="D195" s="6" t="s">
        <v>9</v>
      </c>
      <c r="E195" s="6" t="str">
        <f>"周雯静"</f>
        <v>周雯静</v>
      </c>
      <c r="F195" s="6" t="str">
        <f t="shared" si="10"/>
        <v>女</v>
      </c>
    </row>
    <row r="196" spans="1:6" ht="30" customHeight="1">
      <c r="A196" s="6">
        <v>194</v>
      </c>
      <c r="B196" s="6" t="str">
        <f>"53002023053010360596736"</f>
        <v>53002023053010360596736</v>
      </c>
      <c r="C196" s="6" t="str">
        <f t="shared" si="9"/>
        <v>0103</v>
      </c>
      <c r="D196" s="6" t="s">
        <v>9</v>
      </c>
      <c r="E196" s="6" t="str">
        <f>"冯心茹"</f>
        <v>冯心茹</v>
      </c>
      <c r="F196" s="6" t="str">
        <f t="shared" si="10"/>
        <v>女</v>
      </c>
    </row>
    <row r="197" spans="1:6" ht="30" customHeight="1">
      <c r="A197" s="6">
        <v>195</v>
      </c>
      <c r="B197" s="6" t="str">
        <f>"53002023053015524498637"</f>
        <v>53002023053015524498637</v>
      </c>
      <c r="C197" s="6" t="str">
        <f t="shared" si="9"/>
        <v>0103</v>
      </c>
      <c r="D197" s="6" t="s">
        <v>9</v>
      </c>
      <c r="E197" s="6" t="str">
        <f>"洪莹"</f>
        <v>洪莹</v>
      </c>
      <c r="F197" s="6" t="str">
        <f t="shared" si="10"/>
        <v>女</v>
      </c>
    </row>
    <row r="198" spans="1:6" ht="30" customHeight="1">
      <c r="A198" s="6">
        <v>196</v>
      </c>
      <c r="B198" s="6" t="str">
        <f>"53002023052914435792552"</f>
        <v>53002023052914435792552</v>
      </c>
      <c r="C198" s="6" t="str">
        <f t="shared" si="9"/>
        <v>0103</v>
      </c>
      <c r="D198" s="6" t="s">
        <v>9</v>
      </c>
      <c r="E198" s="6" t="str">
        <f>"詹子妮"</f>
        <v>詹子妮</v>
      </c>
      <c r="F198" s="6" t="str">
        <f t="shared" si="10"/>
        <v>女</v>
      </c>
    </row>
    <row r="199" spans="1:6" ht="30" customHeight="1">
      <c r="A199" s="6">
        <v>197</v>
      </c>
      <c r="B199" s="6" t="str">
        <f>"53002023052910550091070"</f>
        <v>53002023052910550091070</v>
      </c>
      <c r="C199" s="6" t="str">
        <f t="shared" si="9"/>
        <v>0103</v>
      </c>
      <c r="D199" s="6" t="s">
        <v>9</v>
      </c>
      <c r="E199" s="6" t="str">
        <f>"李丽萍"</f>
        <v>李丽萍</v>
      </c>
      <c r="F199" s="6" t="str">
        <f t="shared" si="10"/>
        <v>女</v>
      </c>
    </row>
    <row r="200" spans="1:6" ht="30" customHeight="1">
      <c r="A200" s="6">
        <v>198</v>
      </c>
      <c r="B200" s="6" t="str">
        <f>"53002023053017231099197"</f>
        <v>53002023053017231099197</v>
      </c>
      <c r="C200" s="6" t="str">
        <f t="shared" si="9"/>
        <v>0103</v>
      </c>
      <c r="D200" s="6" t="s">
        <v>9</v>
      </c>
      <c r="E200" s="6" t="str">
        <f>"黎佩"</f>
        <v>黎佩</v>
      </c>
      <c r="F200" s="6" t="str">
        <f t="shared" si="10"/>
        <v>女</v>
      </c>
    </row>
    <row r="201" spans="1:6" ht="30" customHeight="1">
      <c r="A201" s="6">
        <v>199</v>
      </c>
      <c r="B201" s="6" t="str">
        <f>"53002023052910414290932"</f>
        <v>53002023052910414290932</v>
      </c>
      <c r="C201" s="6" t="str">
        <f t="shared" si="9"/>
        <v>0103</v>
      </c>
      <c r="D201" s="6" t="s">
        <v>9</v>
      </c>
      <c r="E201" s="6" t="str">
        <f>"丁杨"</f>
        <v>丁杨</v>
      </c>
      <c r="F201" s="6" t="str">
        <f>"男"</f>
        <v>男</v>
      </c>
    </row>
    <row r="202" spans="1:6" ht="30" customHeight="1">
      <c r="A202" s="6">
        <v>200</v>
      </c>
      <c r="B202" s="6" t="str">
        <f>"53002023053017165999162"</f>
        <v>53002023053017165999162</v>
      </c>
      <c r="C202" s="6" t="str">
        <f t="shared" si="9"/>
        <v>0103</v>
      </c>
      <c r="D202" s="6" t="s">
        <v>9</v>
      </c>
      <c r="E202" s="6" t="str">
        <f>"上官男"</f>
        <v>上官男</v>
      </c>
      <c r="F202" s="6" t="str">
        <f aca="true" t="shared" si="11" ref="F202:F213">"女"</f>
        <v>女</v>
      </c>
    </row>
    <row r="203" spans="1:6" ht="30" customHeight="1">
      <c r="A203" s="6">
        <v>201</v>
      </c>
      <c r="B203" s="6" t="str">
        <f>"530020230531113832102429"</f>
        <v>530020230531113832102429</v>
      </c>
      <c r="C203" s="6" t="str">
        <f aca="true" t="shared" si="12" ref="C203:C227">"0103"</f>
        <v>0103</v>
      </c>
      <c r="D203" s="6" t="s">
        <v>9</v>
      </c>
      <c r="E203" s="6" t="str">
        <f>"黄宝玉"</f>
        <v>黄宝玉</v>
      </c>
      <c r="F203" s="6" t="str">
        <f t="shared" si="11"/>
        <v>女</v>
      </c>
    </row>
    <row r="204" spans="1:6" ht="30" customHeight="1">
      <c r="A204" s="6">
        <v>202</v>
      </c>
      <c r="B204" s="6" t="str">
        <f>"53002023052917234193705"</f>
        <v>53002023052917234193705</v>
      </c>
      <c r="C204" s="6" t="str">
        <f t="shared" si="12"/>
        <v>0103</v>
      </c>
      <c r="D204" s="6" t="s">
        <v>9</v>
      </c>
      <c r="E204" s="6" t="str">
        <f>"沈彩梦"</f>
        <v>沈彩梦</v>
      </c>
      <c r="F204" s="6" t="str">
        <f t="shared" si="11"/>
        <v>女</v>
      </c>
    </row>
    <row r="205" spans="1:6" ht="30" customHeight="1">
      <c r="A205" s="6">
        <v>203</v>
      </c>
      <c r="B205" s="6" t="str">
        <f>"530020230531153218103358"</f>
        <v>530020230531153218103358</v>
      </c>
      <c r="C205" s="6" t="str">
        <f t="shared" si="12"/>
        <v>0103</v>
      </c>
      <c r="D205" s="6" t="s">
        <v>9</v>
      </c>
      <c r="E205" s="6" t="str">
        <f>"梁如霞"</f>
        <v>梁如霞</v>
      </c>
      <c r="F205" s="6" t="str">
        <f t="shared" si="11"/>
        <v>女</v>
      </c>
    </row>
    <row r="206" spans="1:6" ht="30" customHeight="1">
      <c r="A206" s="6">
        <v>204</v>
      </c>
      <c r="B206" s="6" t="str">
        <f>"53002023053011584997395"</f>
        <v>53002023053011584997395</v>
      </c>
      <c r="C206" s="6" t="str">
        <f t="shared" si="12"/>
        <v>0103</v>
      </c>
      <c r="D206" s="6" t="s">
        <v>9</v>
      </c>
      <c r="E206" s="6" t="str">
        <f>"肖翔"</f>
        <v>肖翔</v>
      </c>
      <c r="F206" s="6" t="str">
        <f t="shared" si="11"/>
        <v>女</v>
      </c>
    </row>
    <row r="207" spans="1:6" ht="30" customHeight="1">
      <c r="A207" s="6">
        <v>205</v>
      </c>
      <c r="B207" s="6" t="str">
        <f>"530020230531081319101170"</f>
        <v>530020230531081319101170</v>
      </c>
      <c r="C207" s="6" t="str">
        <f t="shared" si="12"/>
        <v>0103</v>
      </c>
      <c r="D207" s="6" t="s">
        <v>9</v>
      </c>
      <c r="E207" s="6" t="str">
        <f>"刘婧"</f>
        <v>刘婧</v>
      </c>
      <c r="F207" s="6" t="str">
        <f t="shared" si="11"/>
        <v>女</v>
      </c>
    </row>
    <row r="208" spans="1:6" ht="30" customHeight="1">
      <c r="A208" s="6">
        <v>206</v>
      </c>
      <c r="B208" s="6" t="str">
        <f>"530020230531200748104386"</f>
        <v>530020230531200748104386</v>
      </c>
      <c r="C208" s="6" t="str">
        <f t="shared" si="12"/>
        <v>0103</v>
      </c>
      <c r="D208" s="6" t="s">
        <v>9</v>
      </c>
      <c r="E208" s="6" t="str">
        <f>"陈玉婷"</f>
        <v>陈玉婷</v>
      </c>
      <c r="F208" s="6" t="str">
        <f t="shared" si="11"/>
        <v>女</v>
      </c>
    </row>
    <row r="209" spans="1:6" ht="30" customHeight="1">
      <c r="A209" s="6">
        <v>207</v>
      </c>
      <c r="B209" s="6" t="str">
        <f>"530020230601095611105797"</f>
        <v>530020230601095611105797</v>
      </c>
      <c r="C209" s="6" t="str">
        <f t="shared" si="12"/>
        <v>0103</v>
      </c>
      <c r="D209" s="6" t="s">
        <v>9</v>
      </c>
      <c r="E209" s="6" t="str">
        <f>"符建妹"</f>
        <v>符建妹</v>
      </c>
      <c r="F209" s="6" t="str">
        <f t="shared" si="11"/>
        <v>女</v>
      </c>
    </row>
    <row r="210" spans="1:6" ht="30" customHeight="1">
      <c r="A210" s="6">
        <v>208</v>
      </c>
      <c r="B210" s="6" t="str">
        <f>"530020230601124147106743"</f>
        <v>530020230601124147106743</v>
      </c>
      <c r="C210" s="6" t="str">
        <f t="shared" si="12"/>
        <v>0103</v>
      </c>
      <c r="D210" s="6" t="s">
        <v>9</v>
      </c>
      <c r="E210" s="6" t="str">
        <f>"叶华梅"</f>
        <v>叶华梅</v>
      </c>
      <c r="F210" s="6" t="str">
        <f t="shared" si="11"/>
        <v>女</v>
      </c>
    </row>
    <row r="211" spans="1:6" ht="30" customHeight="1">
      <c r="A211" s="6">
        <v>209</v>
      </c>
      <c r="B211" s="6" t="str">
        <f>"53002023053013205197835"</f>
        <v>53002023053013205197835</v>
      </c>
      <c r="C211" s="6" t="str">
        <f t="shared" si="12"/>
        <v>0103</v>
      </c>
      <c r="D211" s="6" t="s">
        <v>9</v>
      </c>
      <c r="E211" s="6" t="str">
        <f>"张诗涵"</f>
        <v>张诗涵</v>
      </c>
      <c r="F211" s="6" t="str">
        <f t="shared" si="11"/>
        <v>女</v>
      </c>
    </row>
    <row r="212" spans="1:6" ht="30" customHeight="1">
      <c r="A212" s="6">
        <v>210</v>
      </c>
      <c r="B212" s="6" t="str">
        <f>"530020230601112501106392"</f>
        <v>530020230601112501106392</v>
      </c>
      <c r="C212" s="6" t="str">
        <f t="shared" si="12"/>
        <v>0103</v>
      </c>
      <c r="D212" s="6" t="s">
        <v>9</v>
      </c>
      <c r="E212" s="6" t="str">
        <f>"关晶晶"</f>
        <v>关晶晶</v>
      </c>
      <c r="F212" s="6" t="str">
        <f t="shared" si="11"/>
        <v>女</v>
      </c>
    </row>
    <row r="213" spans="1:6" ht="30" customHeight="1">
      <c r="A213" s="6">
        <v>211</v>
      </c>
      <c r="B213" s="6" t="str">
        <f>"530020230601082133105276"</f>
        <v>530020230601082133105276</v>
      </c>
      <c r="C213" s="6" t="str">
        <f t="shared" si="12"/>
        <v>0103</v>
      </c>
      <c r="D213" s="6" t="s">
        <v>9</v>
      </c>
      <c r="E213" s="6" t="str">
        <f>"林英鹏"</f>
        <v>林英鹏</v>
      </c>
      <c r="F213" s="6" t="str">
        <f t="shared" si="11"/>
        <v>女</v>
      </c>
    </row>
    <row r="214" spans="1:6" ht="30" customHeight="1">
      <c r="A214" s="6">
        <v>212</v>
      </c>
      <c r="B214" s="6" t="str">
        <f>"530020230601184916108158"</f>
        <v>530020230601184916108158</v>
      </c>
      <c r="C214" s="6" t="str">
        <f t="shared" si="12"/>
        <v>0103</v>
      </c>
      <c r="D214" s="6" t="s">
        <v>9</v>
      </c>
      <c r="E214" s="6" t="str">
        <f>"阮昭耀"</f>
        <v>阮昭耀</v>
      </c>
      <c r="F214" s="6" t="str">
        <f>"男"</f>
        <v>男</v>
      </c>
    </row>
    <row r="215" spans="1:6" ht="30" customHeight="1">
      <c r="A215" s="6">
        <v>213</v>
      </c>
      <c r="B215" s="6" t="str">
        <f>"530020230601203517108446"</f>
        <v>530020230601203517108446</v>
      </c>
      <c r="C215" s="6" t="str">
        <f t="shared" si="12"/>
        <v>0103</v>
      </c>
      <c r="D215" s="6" t="s">
        <v>9</v>
      </c>
      <c r="E215" s="6" t="str">
        <f>"符晶晶"</f>
        <v>符晶晶</v>
      </c>
      <c r="F215" s="6" t="str">
        <f>"女"</f>
        <v>女</v>
      </c>
    </row>
    <row r="216" spans="1:6" ht="30" customHeight="1">
      <c r="A216" s="6">
        <v>214</v>
      </c>
      <c r="B216" s="6" t="str">
        <f>"530020230601214005108685"</f>
        <v>530020230601214005108685</v>
      </c>
      <c r="C216" s="6" t="str">
        <f t="shared" si="12"/>
        <v>0103</v>
      </c>
      <c r="D216" s="6" t="s">
        <v>9</v>
      </c>
      <c r="E216" s="6" t="str">
        <f>"颜书香"</f>
        <v>颜书香</v>
      </c>
      <c r="F216" s="6" t="str">
        <f>"女"</f>
        <v>女</v>
      </c>
    </row>
    <row r="217" spans="1:6" ht="30" customHeight="1">
      <c r="A217" s="6">
        <v>215</v>
      </c>
      <c r="B217" s="6" t="str">
        <f>"530020230601221941108848"</f>
        <v>530020230601221941108848</v>
      </c>
      <c r="C217" s="6" t="str">
        <f t="shared" si="12"/>
        <v>0103</v>
      </c>
      <c r="D217" s="6" t="s">
        <v>9</v>
      </c>
      <c r="E217" s="6" t="str">
        <f>"欧敬萍"</f>
        <v>欧敬萍</v>
      </c>
      <c r="F217" s="6" t="str">
        <f>"女"</f>
        <v>女</v>
      </c>
    </row>
    <row r="218" spans="1:6" ht="30" customHeight="1">
      <c r="A218" s="6">
        <v>216</v>
      </c>
      <c r="B218" s="6" t="str">
        <f>"530020230601224121108932"</f>
        <v>530020230601224121108932</v>
      </c>
      <c r="C218" s="6" t="str">
        <f t="shared" si="12"/>
        <v>0103</v>
      </c>
      <c r="D218" s="6" t="s">
        <v>9</v>
      </c>
      <c r="E218" s="6" t="str">
        <f>"文妃容"</f>
        <v>文妃容</v>
      </c>
      <c r="F218" s="6" t="str">
        <f>"女"</f>
        <v>女</v>
      </c>
    </row>
    <row r="219" spans="1:6" ht="30" customHeight="1">
      <c r="A219" s="6">
        <v>217</v>
      </c>
      <c r="B219" s="6" t="str">
        <f>"53002023052911451591502"</f>
        <v>53002023052911451591502</v>
      </c>
      <c r="C219" s="6" t="str">
        <f t="shared" si="12"/>
        <v>0103</v>
      </c>
      <c r="D219" s="6" t="s">
        <v>9</v>
      </c>
      <c r="E219" s="6" t="str">
        <f>"李海威"</f>
        <v>李海威</v>
      </c>
      <c r="F219" s="6" t="str">
        <f>"男"</f>
        <v>男</v>
      </c>
    </row>
    <row r="220" spans="1:6" ht="30" customHeight="1">
      <c r="A220" s="6">
        <v>218</v>
      </c>
      <c r="B220" s="6" t="str">
        <f>"530020230601235823109129"</f>
        <v>530020230601235823109129</v>
      </c>
      <c r="C220" s="6" t="str">
        <f t="shared" si="12"/>
        <v>0103</v>
      </c>
      <c r="D220" s="6" t="s">
        <v>9</v>
      </c>
      <c r="E220" s="6" t="str">
        <f>"符文群"</f>
        <v>符文群</v>
      </c>
      <c r="F220" s="6" t="str">
        <f aca="true" t="shared" si="13" ref="F220:F228">"女"</f>
        <v>女</v>
      </c>
    </row>
    <row r="221" spans="1:6" ht="30" customHeight="1">
      <c r="A221" s="6">
        <v>219</v>
      </c>
      <c r="B221" s="6" t="str">
        <f>"530020230601083303105313"</f>
        <v>530020230601083303105313</v>
      </c>
      <c r="C221" s="6" t="str">
        <f t="shared" si="12"/>
        <v>0103</v>
      </c>
      <c r="D221" s="6" t="s">
        <v>9</v>
      </c>
      <c r="E221" s="6" t="str">
        <f>"郭维花"</f>
        <v>郭维花</v>
      </c>
      <c r="F221" s="6" t="str">
        <f t="shared" si="13"/>
        <v>女</v>
      </c>
    </row>
    <row r="222" spans="1:6" ht="30" customHeight="1">
      <c r="A222" s="6">
        <v>220</v>
      </c>
      <c r="B222" s="6" t="str">
        <f>"530020230602092149109534"</f>
        <v>530020230602092149109534</v>
      </c>
      <c r="C222" s="6" t="str">
        <f t="shared" si="12"/>
        <v>0103</v>
      </c>
      <c r="D222" s="6" t="s">
        <v>9</v>
      </c>
      <c r="E222" s="6" t="str">
        <f>"简美娥"</f>
        <v>简美娥</v>
      </c>
      <c r="F222" s="6" t="str">
        <f t="shared" si="13"/>
        <v>女</v>
      </c>
    </row>
    <row r="223" spans="1:6" ht="30" customHeight="1">
      <c r="A223" s="6">
        <v>221</v>
      </c>
      <c r="B223" s="6" t="str">
        <f>"530020230602103444109839"</f>
        <v>530020230602103444109839</v>
      </c>
      <c r="C223" s="6" t="str">
        <f t="shared" si="12"/>
        <v>0103</v>
      </c>
      <c r="D223" s="6" t="s">
        <v>9</v>
      </c>
      <c r="E223" s="6" t="str">
        <f>"王萍"</f>
        <v>王萍</v>
      </c>
      <c r="F223" s="6" t="str">
        <f t="shared" si="13"/>
        <v>女</v>
      </c>
    </row>
    <row r="224" spans="1:6" ht="30" customHeight="1">
      <c r="A224" s="6">
        <v>222</v>
      </c>
      <c r="B224" s="6" t="str">
        <f>"530020230602102902109816"</f>
        <v>530020230602102902109816</v>
      </c>
      <c r="C224" s="6" t="str">
        <f t="shared" si="12"/>
        <v>0103</v>
      </c>
      <c r="D224" s="6" t="s">
        <v>9</v>
      </c>
      <c r="E224" s="6" t="str">
        <f>"何潮潮"</f>
        <v>何潮潮</v>
      </c>
      <c r="F224" s="6" t="str">
        <f t="shared" si="13"/>
        <v>女</v>
      </c>
    </row>
    <row r="225" spans="1:6" ht="30" customHeight="1">
      <c r="A225" s="6">
        <v>223</v>
      </c>
      <c r="B225" s="6" t="str">
        <f>"530020230602093208109584"</f>
        <v>530020230602093208109584</v>
      </c>
      <c r="C225" s="6" t="str">
        <f t="shared" si="12"/>
        <v>0103</v>
      </c>
      <c r="D225" s="6" t="s">
        <v>9</v>
      </c>
      <c r="E225" s="6" t="str">
        <f>"林少娱"</f>
        <v>林少娱</v>
      </c>
      <c r="F225" s="6" t="str">
        <f t="shared" si="13"/>
        <v>女</v>
      </c>
    </row>
    <row r="226" spans="1:6" ht="30" customHeight="1">
      <c r="A226" s="6">
        <v>224</v>
      </c>
      <c r="B226" s="6" t="str">
        <f>"530020230602104613109893"</f>
        <v>530020230602104613109893</v>
      </c>
      <c r="C226" s="6" t="str">
        <f t="shared" si="12"/>
        <v>0103</v>
      </c>
      <c r="D226" s="6" t="s">
        <v>9</v>
      </c>
      <c r="E226" s="6" t="str">
        <f>"许春香"</f>
        <v>许春香</v>
      </c>
      <c r="F226" s="6" t="str">
        <f t="shared" si="13"/>
        <v>女</v>
      </c>
    </row>
    <row r="227" spans="1:6" ht="30" customHeight="1">
      <c r="A227" s="6">
        <v>225</v>
      </c>
      <c r="B227" s="6" t="str">
        <f>"530020230602104317109882"</f>
        <v>530020230602104317109882</v>
      </c>
      <c r="C227" s="6" t="str">
        <f t="shared" si="12"/>
        <v>0103</v>
      </c>
      <c r="D227" s="6" t="s">
        <v>9</v>
      </c>
      <c r="E227" s="6" t="str">
        <f>"欧阳芳"</f>
        <v>欧阳芳</v>
      </c>
      <c r="F227" s="6" t="str">
        <f t="shared" si="13"/>
        <v>女</v>
      </c>
    </row>
    <row r="228" spans="1:6" ht="30" customHeight="1">
      <c r="A228" s="6">
        <v>226</v>
      </c>
      <c r="B228" s="6" t="str">
        <f>"53002023052710213783991"</f>
        <v>53002023052710213783991</v>
      </c>
      <c r="C228" s="6" t="str">
        <f aca="true" t="shared" si="14" ref="C228:C261">"0104"</f>
        <v>0104</v>
      </c>
      <c r="D228" s="6" t="s">
        <v>10</v>
      </c>
      <c r="E228" s="6" t="str">
        <f>"郭凤茹"</f>
        <v>郭凤茹</v>
      </c>
      <c r="F228" s="6" t="str">
        <f t="shared" si="13"/>
        <v>女</v>
      </c>
    </row>
    <row r="229" spans="1:6" ht="30" customHeight="1">
      <c r="A229" s="6">
        <v>227</v>
      </c>
      <c r="B229" s="6" t="str">
        <f>"53002023052711045884190"</f>
        <v>53002023052711045884190</v>
      </c>
      <c r="C229" s="6" t="str">
        <f t="shared" si="14"/>
        <v>0104</v>
      </c>
      <c r="D229" s="6" t="s">
        <v>10</v>
      </c>
      <c r="E229" s="6" t="str">
        <f>"高世壮"</f>
        <v>高世壮</v>
      </c>
      <c r="F229" s="6" t="str">
        <f>"男"</f>
        <v>男</v>
      </c>
    </row>
    <row r="230" spans="1:6" ht="30" customHeight="1">
      <c r="A230" s="6">
        <v>228</v>
      </c>
      <c r="B230" s="6" t="str">
        <f>"53002023052709313383766"</f>
        <v>53002023052709313383766</v>
      </c>
      <c r="C230" s="6" t="str">
        <f t="shared" si="14"/>
        <v>0104</v>
      </c>
      <c r="D230" s="6" t="s">
        <v>10</v>
      </c>
      <c r="E230" s="6" t="str">
        <f>"王民政"</f>
        <v>王民政</v>
      </c>
      <c r="F230" s="6" t="str">
        <f>"男"</f>
        <v>男</v>
      </c>
    </row>
    <row r="231" spans="1:6" ht="30" customHeight="1">
      <c r="A231" s="6">
        <v>229</v>
      </c>
      <c r="B231" s="6" t="str">
        <f>"53002023052813010487400"</f>
        <v>53002023052813010487400</v>
      </c>
      <c r="C231" s="6" t="str">
        <f t="shared" si="14"/>
        <v>0104</v>
      </c>
      <c r="D231" s="6" t="s">
        <v>10</v>
      </c>
      <c r="E231" s="6" t="str">
        <f>"王琼丹"</f>
        <v>王琼丹</v>
      </c>
      <c r="F231" s="6" t="str">
        <f>"女"</f>
        <v>女</v>
      </c>
    </row>
    <row r="232" spans="1:6" ht="30" customHeight="1">
      <c r="A232" s="6">
        <v>230</v>
      </c>
      <c r="B232" s="6" t="str">
        <f>"53002023052815214987742"</f>
        <v>53002023052815214987742</v>
      </c>
      <c r="C232" s="6" t="str">
        <f t="shared" si="14"/>
        <v>0104</v>
      </c>
      <c r="D232" s="6" t="s">
        <v>10</v>
      </c>
      <c r="E232" s="6" t="str">
        <f>" 何史编"</f>
        <v> 何史编</v>
      </c>
      <c r="F232" s="6" t="str">
        <f>"男"</f>
        <v>男</v>
      </c>
    </row>
    <row r="233" spans="1:6" ht="30" customHeight="1">
      <c r="A233" s="6">
        <v>231</v>
      </c>
      <c r="B233" s="6" t="str">
        <f>"53002023052817532888277"</f>
        <v>53002023052817532888277</v>
      </c>
      <c r="C233" s="6" t="str">
        <f t="shared" si="14"/>
        <v>0104</v>
      </c>
      <c r="D233" s="6" t="s">
        <v>10</v>
      </c>
      <c r="E233" s="6" t="str">
        <f>"覃立建"</f>
        <v>覃立建</v>
      </c>
      <c r="F233" s="6" t="str">
        <f>"男"</f>
        <v>男</v>
      </c>
    </row>
    <row r="234" spans="1:6" ht="30" customHeight="1">
      <c r="A234" s="6">
        <v>232</v>
      </c>
      <c r="B234" s="6" t="str">
        <f>"53002023052908331589573"</f>
        <v>53002023052908331589573</v>
      </c>
      <c r="C234" s="6" t="str">
        <f t="shared" si="14"/>
        <v>0104</v>
      </c>
      <c r="D234" s="6" t="s">
        <v>10</v>
      </c>
      <c r="E234" s="6" t="str">
        <f>"符家乐"</f>
        <v>符家乐</v>
      </c>
      <c r="F234" s="6" t="str">
        <f>"男"</f>
        <v>男</v>
      </c>
    </row>
    <row r="235" spans="1:6" ht="30" customHeight="1">
      <c r="A235" s="6">
        <v>233</v>
      </c>
      <c r="B235" s="6" t="str">
        <f>"53002023052911541091585"</f>
        <v>53002023052911541091585</v>
      </c>
      <c r="C235" s="6" t="str">
        <f t="shared" si="14"/>
        <v>0104</v>
      </c>
      <c r="D235" s="6" t="s">
        <v>10</v>
      </c>
      <c r="E235" s="6" t="str">
        <f>"卢静"</f>
        <v>卢静</v>
      </c>
      <c r="F235" s="6" t="str">
        <f>"女"</f>
        <v>女</v>
      </c>
    </row>
    <row r="236" spans="1:6" ht="30" customHeight="1">
      <c r="A236" s="6">
        <v>234</v>
      </c>
      <c r="B236" s="6" t="str">
        <f>"53002023052912120791729"</f>
        <v>53002023052912120791729</v>
      </c>
      <c r="C236" s="6" t="str">
        <f t="shared" si="14"/>
        <v>0104</v>
      </c>
      <c r="D236" s="6" t="s">
        <v>10</v>
      </c>
      <c r="E236" s="6" t="str">
        <f>"林硕"</f>
        <v>林硕</v>
      </c>
      <c r="F236" s="6" t="str">
        <f>"男"</f>
        <v>男</v>
      </c>
    </row>
    <row r="237" spans="1:6" ht="30" customHeight="1">
      <c r="A237" s="6">
        <v>235</v>
      </c>
      <c r="B237" s="6" t="str">
        <f>"53002023052915180692784"</f>
        <v>53002023052915180692784</v>
      </c>
      <c r="C237" s="6" t="str">
        <f t="shared" si="14"/>
        <v>0104</v>
      </c>
      <c r="D237" s="6" t="s">
        <v>10</v>
      </c>
      <c r="E237" s="6" t="str">
        <f>"林冰"</f>
        <v>林冰</v>
      </c>
      <c r="F237" s="6" t="str">
        <f>"女"</f>
        <v>女</v>
      </c>
    </row>
    <row r="238" spans="1:6" ht="30" customHeight="1">
      <c r="A238" s="6">
        <v>236</v>
      </c>
      <c r="B238" s="6" t="str">
        <f>"53002023052915030892685"</f>
        <v>53002023052915030892685</v>
      </c>
      <c r="C238" s="6" t="str">
        <f t="shared" si="14"/>
        <v>0104</v>
      </c>
      <c r="D238" s="6" t="s">
        <v>10</v>
      </c>
      <c r="E238" s="6" t="str">
        <f>"李大清"</f>
        <v>李大清</v>
      </c>
      <c r="F238" s="6" t="str">
        <f>"男"</f>
        <v>男</v>
      </c>
    </row>
    <row r="239" spans="1:6" ht="30" customHeight="1">
      <c r="A239" s="6">
        <v>237</v>
      </c>
      <c r="B239" s="6" t="str">
        <f>"53002023052916595093564"</f>
        <v>53002023052916595093564</v>
      </c>
      <c r="C239" s="6" t="str">
        <f t="shared" si="14"/>
        <v>0104</v>
      </c>
      <c r="D239" s="6" t="s">
        <v>10</v>
      </c>
      <c r="E239" s="6" t="str">
        <f>"吴锦亮"</f>
        <v>吴锦亮</v>
      </c>
      <c r="F239" s="6" t="str">
        <f>"男"</f>
        <v>男</v>
      </c>
    </row>
    <row r="240" spans="1:6" ht="30" customHeight="1">
      <c r="A240" s="6">
        <v>238</v>
      </c>
      <c r="B240" s="6" t="str">
        <f>"53002023052918583594134"</f>
        <v>53002023052918583594134</v>
      </c>
      <c r="C240" s="6" t="str">
        <f t="shared" si="14"/>
        <v>0104</v>
      </c>
      <c r="D240" s="6" t="s">
        <v>10</v>
      </c>
      <c r="E240" s="6" t="str">
        <f>"秦菁菁"</f>
        <v>秦菁菁</v>
      </c>
      <c r="F240" s="6" t="str">
        <f>"女"</f>
        <v>女</v>
      </c>
    </row>
    <row r="241" spans="1:6" ht="30" customHeight="1">
      <c r="A241" s="6">
        <v>239</v>
      </c>
      <c r="B241" s="6" t="str">
        <f>"53002023052719535785900"</f>
        <v>53002023052719535785900</v>
      </c>
      <c r="C241" s="6" t="str">
        <f t="shared" si="14"/>
        <v>0104</v>
      </c>
      <c r="D241" s="6" t="s">
        <v>10</v>
      </c>
      <c r="E241" s="6" t="str">
        <f>"秦晓夏"</f>
        <v>秦晓夏</v>
      </c>
      <c r="F241" s="6" t="str">
        <f>"女"</f>
        <v>女</v>
      </c>
    </row>
    <row r="242" spans="1:6" ht="30" customHeight="1">
      <c r="A242" s="6">
        <v>240</v>
      </c>
      <c r="B242" s="6" t="str">
        <f>"53002023052922100695130"</f>
        <v>53002023052922100695130</v>
      </c>
      <c r="C242" s="6" t="str">
        <f t="shared" si="14"/>
        <v>0104</v>
      </c>
      <c r="D242" s="6" t="s">
        <v>10</v>
      </c>
      <c r="E242" s="6" t="str">
        <f>"林春燕"</f>
        <v>林春燕</v>
      </c>
      <c r="F242" s="6" t="str">
        <f>"女"</f>
        <v>女</v>
      </c>
    </row>
    <row r="243" spans="1:6" ht="30" customHeight="1">
      <c r="A243" s="6">
        <v>241</v>
      </c>
      <c r="B243" s="6" t="str">
        <f>"53002023052818253388344"</f>
        <v>53002023052818253388344</v>
      </c>
      <c r="C243" s="6" t="str">
        <f t="shared" si="14"/>
        <v>0104</v>
      </c>
      <c r="D243" s="6" t="s">
        <v>10</v>
      </c>
      <c r="E243" s="6" t="str">
        <f>"杨盛"</f>
        <v>杨盛</v>
      </c>
      <c r="F243" s="6" t="str">
        <f>"男"</f>
        <v>男</v>
      </c>
    </row>
    <row r="244" spans="1:6" ht="30" customHeight="1">
      <c r="A244" s="6">
        <v>242</v>
      </c>
      <c r="B244" s="6" t="str">
        <f>"53002023053011422797298"</f>
        <v>53002023053011422797298</v>
      </c>
      <c r="C244" s="6" t="str">
        <f t="shared" si="14"/>
        <v>0104</v>
      </c>
      <c r="D244" s="6" t="s">
        <v>10</v>
      </c>
      <c r="E244" s="6" t="str">
        <f>"陈孟年"</f>
        <v>陈孟年</v>
      </c>
      <c r="F244" s="6" t="str">
        <f>"男"</f>
        <v>男</v>
      </c>
    </row>
    <row r="245" spans="1:6" ht="30" customHeight="1">
      <c r="A245" s="6">
        <v>243</v>
      </c>
      <c r="B245" s="6" t="str">
        <f>"53002023052716582285407"</f>
        <v>53002023052716582285407</v>
      </c>
      <c r="C245" s="6" t="str">
        <f t="shared" si="14"/>
        <v>0104</v>
      </c>
      <c r="D245" s="6" t="s">
        <v>10</v>
      </c>
      <c r="E245" s="6" t="str">
        <f>"许玉琴"</f>
        <v>许玉琴</v>
      </c>
      <c r="F245" s="6" t="str">
        <f>"女"</f>
        <v>女</v>
      </c>
    </row>
    <row r="246" spans="1:6" ht="30" customHeight="1">
      <c r="A246" s="6">
        <v>244</v>
      </c>
      <c r="B246" s="6" t="str">
        <f>"53002023052723165186528"</f>
        <v>53002023052723165186528</v>
      </c>
      <c r="C246" s="6" t="str">
        <f t="shared" si="14"/>
        <v>0104</v>
      </c>
      <c r="D246" s="6" t="s">
        <v>10</v>
      </c>
      <c r="E246" s="6" t="str">
        <f>"张志朋"</f>
        <v>张志朋</v>
      </c>
      <c r="F246" s="6" t="str">
        <f>"男"</f>
        <v>男</v>
      </c>
    </row>
    <row r="247" spans="1:6" ht="30" customHeight="1">
      <c r="A247" s="6">
        <v>245</v>
      </c>
      <c r="B247" s="6" t="str">
        <f>"53002023053018320099513"</f>
        <v>53002023053018320099513</v>
      </c>
      <c r="C247" s="6" t="str">
        <f t="shared" si="14"/>
        <v>0104</v>
      </c>
      <c r="D247" s="6" t="s">
        <v>10</v>
      </c>
      <c r="E247" s="6" t="str">
        <f>"李翠竹"</f>
        <v>李翠竹</v>
      </c>
      <c r="F247" s="6" t="str">
        <f>"女"</f>
        <v>女</v>
      </c>
    </row>
    <row r="248" spans="1:6" ht="30" customHeight="1">
      <c r="A248" s="6">
        <v>246</v>
      </c>
      <c r="B248" s="6" t="str">
        <f>"530020230530224937100699"</f>
        <v>530020230530224937100699</v>
      </c>
      <c r="C248" s="6" t="str">
        <f t="shared" si="14"/>
        <v>0104</v>
      </c>
      <c r="D248" s="6" t="s">
        <v>10</v>
      </c>
      <c r="E248" s="6" t="str">
        <f>"秦声文"</f>
        <v>秦声文</v>
      </c>
      <c r="F248" s="6" t="str">
        <f>"男"</f>
        <v>男</v>
      </c>
    </row>
    <row r="249" spans="1:6" ht="30" customHeight="1">
      <c r="A249" s="6">
        <v>247</v>
      </c>
      <c r="B249" s="6" t="str">
        <f>"530020230531140639103028"</f>
        <v>530020230531140639103028</v>
      </c>
      <c r="C249" s="6" t="str">
        <f t="shared" si="14"/>
        <v>0104</v>
      </c>
      <c r="D249" s="6" t="s">
        <v>10</v>
      </c>
      <c r="E249" s="6" t="str">
        <f>"符文山"</f>
        <v>符文山</v>
      </c>
      <c r="F249" s="6" t="str">
        <f>"男"</f>
        <v>男</v>
      </c>
    </row>
    <row r="250" spans="1:6" ht="30" customHeight="1">
      <c r="A250" s="6">
        <v>248</v>
      </c>
      <c r="B250" s="6" t="str">
        <f>"530020230531144810103162"</f>
        <v>530020230531144810103162</v>
      </c>
      <c r="C250" s="6" t="str">
        <f t="shared" si="14"/>
        <v>0104</v>
      </c>
      <c r="D250" s="6" t="s">
        <v>10</v>
      </c>
      <c r="E250" s="6" t="str">
        <f>"吉才雄"</f>
        <v>吉才雄</v>
      </c>
      <c r="F250" s="6" t="str">
        <f>"男"</f>
        <v>男</v>
      </c>
    </row>
    <row r="251" spans="1:6" ht="30" customHeight="1">
      <c r="A251" s="6">
        <v>249</v>
      </c>
      <c r="B251" s="6" t="str">
        <f>"530020230531155525103475"</f>
        <v>530020230531155525103475</v>
      </c>
      <c r="C251" s="6" t="str">
        <f t="shared" si="14"/>
        <v>0104</v>
      </c>
      <c r="D251" s="6" t="s">
        <v>10</v>
      </c>
      <c r="E251" s="6" t="str">
        <f>"符新勋"</f>
        <v>符新勋</v>
      </c>
      <c r="F251" s="6" t="str">
        <f>"男"</f>
        <v>男</v>
      </c>
    </row>
    <row r="252" spans="1:6" ht="30" customHeight="1">
      <c r="A252" s="6">
        <v>250</v>
      </c>
      <c r="B252" s="6" t="str">
        <f>"53002023053011272797172"</f>
        <v>53002023053011272797172</v>
      </c>
      <c r="C252" s="6" t="str">
        <f t="shared" si="14"/>
        <v>0104</v>
      </c>
      <c r="D252" s="6" t="s">
        <v>10</v>
      </c>
      <c r="E252" s="6" t="str">
        <f>"冯梁炳"</f>
        <v>冯梁炳</v>
      </c>
      <c r="F252" s="6" t="str">
        <f>"男"</f>
        <v>男</v>
      </c>
    </row>
    <row r="253" spans="1:6" ht="30" customHeight="1">
      <c r="A253" s="6">
        <v>251</v>
      </c>
      <c r="B253" s="6" t="str">
        <f>"530020230531203734104476"</f>
        <v>530020230531203734104476</v>
      </c>
      <c r="C253" s="6" t="str">
        <f t="shared" si="14"/>
        <v>0104</v>
      </c>
      <c r="D253" s="6" t="s">
        <v>10</v>
      </c>
      <c r="E253" s="6" t="str">
        <f>"庄华曼"</f>
        <v>庄华曼</v>
      </c>
      <c r="F253" s="6" t="str">
        <f>"女"</f>
        <v>女</v>
      </c>
    </row>
    <row r="254" spans="1:6" ht="30" customHeight="1">
      <c r="A254" s="6">
        <v>252</v>
      </c>
      <c r="B254" s="6" t="str">
        <f>"530020230531151941103298"</f>
        <v>530020230531151941103298</v>
      </c>
      <c r="C254" s="6" t="str">
        <f t="shared" si="14"/>
        <v>0104</v>
      </c>
      <c r="D254" s="6" t="s">
        <v>10</v>
      </c>
      <c r="E254" s="6" t="str">
        <f>"蔡惠冰"</f>
        <v>蔡惠冰</v>
      </c>
      <c r="F254" s="6" t="str">
        <f>"女"</f>
        <v>女</v>
      </c>
    </row>
    <row r="255" spans="1:6" ht="30" customHeight="1">
      <c r="A255" s="6">
        <v>253</v>
      </c>
      <c r="B255" s="6" t="str">
        <f>"530020230601094333105730"</f>
        <v>530020230601094333105730</v>
      </c>
      <c r="C255" s="6" t="str">
        <f t="shared" si="14"/>
        <v>0104</v>
      </c>
      <c r="D255" s="6" t="s">
        <v>10</v>
      </c>
      <c r="E255" s="6" t="str">
        <f>"符春妹"</f>
        <v>符春妹</v>
      </c>
      <c r="F255" s="6" t="str">
        <f>"女"</f>
        <v>女</v>
      </c>
    </row>
    <row r="256" spans="1:6" ht="30" customHeight="1">
      <c r="A256" s="6">
        <v>254</v>
      </c>
      <c r="B256" s="6" t="str">
        <f>"53002023052911154991266"</f>
        <v>53002023052911154991266</v>
      </c>
      <c r="C256" s="6" t="str">
        <f t="shared" si="14"/>
        <v>0104</v>
      </c>
      <c r="D256" s="6" t="s">
        <v>10</v>
      </c>
      <c r="E256" s="6" t="str">
        <f>"王凯锋"</f>
        <v>王凯锋</v>
      </c>
      <c r="F256" s="6" t="str">
        <f>"男"</f>
        <v>男</v>
      </c>
    </row>
    <row r="257" spans="1:6" ht="30" customHeight="1">
      <c r="A257" s="6">
        <v>255</v>
      </c>
      <c r="B257" s="6" t="str">
        <f>"530020230601190650108205"</f>
        <v>530020230601190650108205</v>
      </c>
      <c r="C257" s="6" t="str">
        <f t="shared" si="14"/>
        <v>0104</v>
      </c>
      <c r="D257" s="6" t="s">
        <v>10</v>
      </c>
      <c r="E257" s="6" t="str">
        <f>"朱晶晶"</f>
        <v>朱晶晶</v>
      </c>
      <c r="F257" s="6" t="str">
        <f>"女"</f>
        <v>女</v>
      </c>
    </row>
    <row r="258" spans="1:6" ht="30" customHeight="1">
      <c r="A258" s="6">
        <v>256</v>
      </c>
      <c r="B258" s="6" t="str">
        <f>"530020230601195623108330"</f>
        <v>530020230601195623108330</v>
      </c>
      <c r="C258" s="6" t="str">
        <f t="shared" si="14"/>
        <v>0104</v>
      </c>
      <c r="D258" s="6" t="s">
        <v>10</v>
      </c>
      <c r="E258" s="6" t="str">
        <f>"唐肇"</f>
        <v>唐肇</v>
      </c>
      <c r="F258" s="6" t="str">
        <f>"男"</f>
        <v>男</v>
      </c>
    </row>
    <row r="259" spans="1:6" ht="30" customHeight="1">
      <c r="A259" s="6">
        <v>257</v>
      </c>
      <c r="B259" s="6" t="str">
        <f>"530020230601182154108070"</f>
        <v>530020230601182154108070</v>
      </c>
      <c r="C259" s="6" t="str">
        <f t="shared" si="14"/>
        <v>0104</v>
      </c>
      <c r="D259" s="6" t="s">
        <v>10</v>
      </c>
      <c r="E259" s="6" t="str">
        <f>"林丹"</f>
        <v>林丹</v>
      </c>
      <c r="F259" s="6" t="str">
        <f>"女"</f>
        <v>女</v>
      </c>
    </row>
    <row r="260" spans="1:6" ht="30" customHeight="1">
      <c r="A260" s="6">
        <v>258</v>
      </c>
      <c r="B260" s="6" t="str">
        <f>"530020230601220645108788"</f>
        <v>530020230601220645108788</v>
      </c>
      <c r="C260" s="6" t="str">
        <f t="shared" si="14"/>
        <v>0104</v>
      </c>
      <c r="D260" s="6" t="s">
        <v>10</v>
      </c>
      <c r="E260" s="6" t="str">
        <f>"梁杰广"</f>
        <v>梁杰广</v>
      </c>
      <c r="F260" s="6" t="str">
        <f>"男"</f>
        <v>男</v>
      </c>
    </row>
    <row r="261" spans="1:6" ht="30" customHeight="1">
      <c r="A261" s="6">
        <v>259</v>
      </c>
      <c r="B261" s="6" t="str">
        <f>"530020230601165247107757"</f>
        <v>530020230601165247107757</v>
      </c>
      <c r="C261" s="6" t="str">
        <f t="shared" si="14"/>
        <v>0104</v>
      </c>
      <c r="D261" s="6" t="s">
        <v>10</v>
      </c>
      <c r="E261" s="6" t="str">
        <f>"谢武宏"</f>
        <v>谢武宏</v>
      </c>
      <c r="F261" s="6" t="str">
        <f>"男"</f>
        <v>男</v>
      </c>
    </row>
    <row r="262" spans="1:6" ht="30" customHeight="1">
      <c r="A262" s="6">
        <v>260</v>
      </c>
      <c r="B262" s="6" t="str">
        <f>"53002023052710481984110"</f>
        <v>53002023052710481984110</v>
      </c>
      <c r="C262" s="6" t="str">
        <f aca="true" t="shared" si="15" ref="C262:C322">"0105"</f>
        <v>0105</v>
      </c>
      <c r="D262" s="6" t="s">
        <v>11</v>
      </c>
      <c r="E262" s="6" t="str">
        <f>"王允桂"</f>
        <v>王允桂</v>
      </c>
      <c r="F262" s="6" t="str">
        <f>"女"</f>
        <v>女</v>
      </c>
    </row>
    <row r="263" spans="1:6" ht="30" customHeight="1">
      <c r="A263" s="6">
        <v>261</v>
      </c>
      <c r="B263" s="6" t="str">
        <f>"53002023052712003784410"</f>
        <v>53002023052712003784410</v>
      </c>
      <c r="C263" s="6" t="str">
        <f t="shared" si="15"/>
        <v>0105</v>
      </c>
      <c r="D263" s="6" t="s">
        <v>11</v>
      </c>
      <c r="E263" s="6" t="str">
        <f>"唐国教"</f>
        <v>唐国教</v>
      </c>
      <c r="F263" s="6" t="str">
        <f>"女"</f>
        <v>女</v>
      </c>
    </row>
    <row r="264" spans="1:6" ht="30" customHeight="1">
      <c r="A264" s="6">
        <v>262</v>
      </c>
      <c r="B264" s="6" t="str">
        <f>"53002023052709112983697"</f>
        <v>53002023052709112983697</v>
      </c>
      <c r="C264" s="6" t="str">
        <f t="shared" si="15"/>
        <v>0105</v>
      </c>
      <c r="D264" s="6" t="s">
        <v>11</v>
      </c>
      <c r="E264" s="6" t="str">
        <f>"赵华友"</f>
        <v>赵华友</v>
      </c>
      <c r="F264" s="6" t="str">
        <f>"男"</f>
        <v>男</v>
      </c>
    </row>
    <row r="265" spans="1:6" ht="30" customHeight="1">
      <c r="A265" s="6">
        <v>263</v>
      </c>
      <c r="B265" s="6" t="str">
        <f>"53002023052717350685534"</f>
        <v>53002023052717350685534</v>
      </c>
      <c r="C265" s="6" t="str">
        <f t="shared" si="15"/>
        <v>0105</v>
      </c>
      <c r="D265" s="6" t="s">
        <v>11</v>
      </c>
      <c r="E265" s="6" t="str">
        <f>"黄华依"</f>
        <v>黄华依</v>
      </c>
      <c r="F265" s="6" t="str">
        <f aca="true" t="shared" si="16" ref="F265:F270">"女"</f>
        <v>女</v>
      </c>
    </row>
    <row r="266" spans="1:6" ht="30" customHeight="1">
      <c r="A266" s="6">
        <v>264</v>
      </c>
      <c r="B266" s="6" t="str">
        <f>"53002023052718390185687"</f>
        <v>53002023052718390185687</v>
      </c>
      <c r="C266" s="6" t="str">
        <f t="shared" si="15"/>
        <v>0105</v>
      </c>
      <c r="D266" s="6" t="s">
        <v>11</v>
      </c>
      <c r="E266" s="6" t="str">
        <f>"吴品玲"</f>
        <v>吴品玲</v>
      </c>
      <c r="F266" s="6" t="str">
        <f t="shared" si="16"/>
        <v>女</v>
      </c>
    </row>
    <row r="267" spans="1:6" ht="30" customHeight="1">
      <c r="A267" s="6">
        <v>265</v>
      </c>
      <c r="B267" s="6" t="str">
        <f>"53002023052720515686087"</f>
        <v>53002023052720515686087</v>
      </c>
      <c r="C267" s="6" t="str">
        <f t="shared" si="15"/>
        <v>0105</v>
      </c>
      <c r="D267" s="6" t="s">
        <v>11</v>
      </c>
      <c r="E267" s="6" t="str">
        <f>"陈燕"</f>
        <v>陈燕</v>
      </c>
      <c r="F267" s="6" t="str">
        <f t="shared" si="16"/>
        <v>女</v>
      </c>
    </row>
    <row r="268" spans="1:6" ht="30" customHeight="1">
      <c r="A268" s="6">
        <v>266</v>
      </c>
      <c r="B268" s="6" t="str">
        <f>"53002023052810241086986"</f>
        <v>53002023052810241086986</v>
      </c>
      <c r="C268" s="6" t="str">
        <f t="shared" si="15"/>
        <v>0105</v>
      </c>
      <c r="D268" s="6" t="s">
        <v>11</v>
      </c>
      <c r="E268" s="6" t="str">
        <f>"王其妮"</f>
        <v>王其妮</v>
      </c>
      <c r="F268" s="6" t="str">
        <f t="shared" si="16"/>
        <v>女</v>
      </c>
    </row>
    <row r="269" spans="1:6" ht="30" customHeight="1">
      <c r="A269" s="6">
        <v>267</v>
      </c>
      <c r="B269" s="6" t="str">
        <f>"53002023052813543387539"</f>
        <v>53002023052813543387539</v>
      </c>
      <c r="C269" s="6" t="str">
        <f t="shared" si="15"/>
        <v>0105</v>
      </c>
      <c r="D269" s="6" t="s">
        <v>11</v>
      </c>
      <c r="E269" s="6" t="str">
        <f>"高平霞"</f>
        <v>高平霞</v>
      </c>
      <c r="F269" s="6" t="str">
        <f t="shared" si="16"/>
        <v>女</v>
      </c>
    </row>
    <row r="270" spans="1:6" ht="30" customHeight="1">
      <c r="A270" s="6">
        <v>268</v>
      </c>
      <c r="B270" s="6" t="str">
        <f>"53002023052815394987795"</f>
        <v>53002023052815394987795</v>
      </c>
      <c r="C270" s="6" t="str">
        <f t="shared" si="15"/>
        <v>0105</v>
      </c>
      <c r="D270" s="6" t="s">
        <v>11</v>
      </c>
      <c r="E270" s="6" t="str">
        <f>"卢娇娇"</f>
        <v>卢娇娇</v>
      </c>
      <c r="F270" s="6" t="str">
        <f t="shared" si="16"/>
        <v>女</v>
      </c>
    </row>
    <row r="271" spans="1:6" ht="30" customHeight="1">
      <c r="A271" s="6">
        <v>269</v>
      </c>
      <c r="B271" s="6" t="str">
        <f>"53002023052817282988102"</f>
        <v>53002023052817282988102</v>
      </c>
      <c r="C271" s="6" t="str">
        <f t="shared" si="15"/>
        <v>0105</v>
      </c>
      <c r="D271" s="6" t="s">
        <v>11</v>
      </c>
      <c r="E271" s="6" t="str">
        <f>"符壮才"</f>
        <v>符壮才</v>
      </c>
      <c r="F271" s="6" t="str">
        <f>"男"</f>
        <v>男</v>
      </c>
    </row>
    <row r="272" spans="1:6" ht="30" customHeight="1">
      <c r="A272" s="6">
        <v>270</v>
      </c>
      <c r="B272" s="6" t="str">
        <f>"53002023052812493587361"</f>
        <v>53002023052812493587361</v>
      </c>
      <c r="C272" s="6" t="str">
        <f t="shared" si="15"/>
        <v>0105</v>
      </c>
      <c r="D272" s="6" t="s">
        <v>11</v>
      </c>
      <c r="E272" s="6" t="str">
        <f>"陈彩玉"</f>
        <v>陈彩玉</v>
      </c>
      <c r="F272" s="6" t="str">
        <f>"女"</f>
        <v>女</v>
      </c>
    </row>
    <row r="273" spans="1:6" ht="30" customHeight="1">
      <c r="A273" s="6">
        <v>271</v>
      </c>
      <c r="B273" s="6" t="str">
        <f>"53002023052820455088735"</f>
        <v>53002023052820455088735</v>
      </c>
      <c r="C273" s="6" t="str">
        <f t="shared" si="15"/>
        <v>0105</v>
      </c>
      <c r="D273" s="6" t="s">
        <v>11</v>
      </c>
      <c r="E273" s="6" t="str">
        <f>"徐虹翡"</f>
        <v>徐虹翡</v>
      </c>
      <c r="F273" s="6" t="str">
        <f>"女"</f>
        <v>女</v>
      </c>
    </row>
    <row r="274" spans="1:6" ht="30" customHeight="1">
      <c r="A274" s="6">
        <v>272</v>
      </c>
      <c r="B274" s="6" t="str">
        <f>"53002023052822134689043"</f>
        <v>53002023052822134689043</v>
      </c>
      <c r="C274" s="6" t="str">
        <f t="shared" si="15"/>
        <v>0105</v>
      </c>
      <c r="D274" s="6" t="s">
        <v>11</v>
      </c>
      <c r="E274" s="6" t="str">
        <f>"刘思慧"</f>
        <v>刘思慧</v>
      </c>
      <c r="F274" s="6" t="str">
        <f>"女"</f>
        <v>女</v>
      </c>
    </row>
    <row r="275" spans="1:6" ht="30" customHeight="1">
      <c r="A275" s="6">
        <v>273</v>
      </c>
      <c r="B275" s="6" t="str">
        <f>"53002023052906515589413"</f>
        <v>53002023052906515589413</v>
      </c>
      <c r="C275" s="6" t="str">
        <f t="shared" si="15"/>
        <v>0105</v>
      </c>
      <c r="D275" s="6" t="s">
        <v>11</v>
      </c>
      <c r="E275" s="6" t="str">
        <f>"吴钟龙"</f>
        <v>吴钟龙</v>
      </c>
      <c r="F275" s="6" t="str">
        <f>"男"</f>
        <v>男</v>
      </c>
    </row>
    <row r="276" spans="1:6" ht="30" customHeight="1">
      <c r="A276" s="6">
        <v>274</v>
      </c>
      <c r="B276" s="6" t="str">
        <f>"53002023052908074189482"</f>
        <v>53002023052908074189482</v>
      </c>
      <c r="C276" s="6" t="str">
        <f t="shared" si="15"/>
        <v>0105</v>
      </c>
      <c r="D276" s="6" t="s">
        <v>11</v>
      </c>
      <c r="E276" s="6" t="str">
        <f>"秦燕怀"</f>
        <v>秦燕怀</v>
      </c>
      <c r="F276" s="6" t="str">
        <f>"女"</f>
        <v>女</v>
      </c>
    </row>
    <row r="277" spans="1:6" ht="30" customHeight="1">
      <c r="A277" s="6">
        <v>275</v>
      </c>
      <c r="B277" s="6" t="str">
        <f>"53002023052908091189493"</f>
        <v>53002023052908091189493</v>
      </c>
      <c r="C277" s="6" t="str">
        <f t="shared" si="15"/>
        <v>0105</v>
      </c>
      <c r="D277" s="6" t="s">
        <v>11</v>
      </c>
      <c r="E277" s="6" t="str">
        <f>"陈桂秀"</f>
        <v>陈桂秀</v>
      </c>
      <c r="F277" s="6" t="str">
        <f>"女"</f>
        <v>女</v>
      </c>
    </row>
    <row r="278" spans="1:6" ht="30" customHeight="1">
      <c r="A278" s="6">
        <v>276</v>
      </c>
      <c r="B278" s="6" t="str">
        <f>"53002023052817453788193"</f>
        <v>53002023052817453788193</v>
      </c>
      <c r="C278" s="6" t="str">
        <f t="shared" si="15"/>
        <v>0105</v>
      </c>
      <c r="D278" s="6" t="s">
        <v>11</v>
      </c>
      <c r="E278" s="6" t="str">
        <f>"汤朝"</f>
        <v>汤朝</v>
      </c>
      <c r="F278" s="6" t="str">
        <f>"男"</f>
        <v>男</v>
      </c>
    </row>
    <row r="279" spans="1:6" ht="30" customHeight="1">
      <c r="A279" s="6">
        <v>277</v>
      </c>
      <c r="B279" s="6" t="str">
        <f>"53002023052817523288273"</f>
        <v>53002023052817523288273</v>
      </c>
      <c r="C279" s="6" t="str">
        <f t="shared" si="15"/>
        <v>0105</v>
      </c>
      <c r="D279" s="6" t="s">
        <v>11</v>
      </c>
      <c r="E279" s="6" t="str">
        <f>"柯家妹"</f>
        <v>柯家妹</v>
      </c>
      <c r="F279" s="6" t="str">
        <f>"女"</f>
        <v>女</v>
      </c>
    </row>
    <row r="280" spans="1:6" ht="30" customHeight="1">
      <c r="A280" s="6">
        <v>278</v>
      </c>
      <c r="B280" s="6" t="str">
        <f>"53002023052908354489584"</f>
        <v>53002023052908354489584</v>
      </c>
      <c r="C280" s="6" t="str">
        <f t="shared" si="15"/>
        <v>0105</v>
      </c>
      <c r="D280" s="6" t="s">
        <v>11</v>
      </c>
      <c r="E280" s="6" t="str">
        <f>"黄钟秦"</f>
        <v>黄钟秦</v>
      </c>
      <c r="F280" s="6" t="str">
        <f>"女"</f>
        <v>女</v>
      </c>
    </row>
    <row r="281" spans="1:6" ht="30" customHeight="1">
      <c r="A281" s="6">
        <v>279</v>
      </c>
      <c r="B281" s="6" t="str">
        <f>"53002023052909481690308"</f>
        <v>53002023052909481690308</v>
      </c>
      <c r="C281" s="6" t="str">
        <f t="shared" si="15"/>
        <v>0105</v>
      </c>
      <c r="D281" s="6" t="s">
        <v>11</v>
      </c>
      <c r="E281" s="6" t="str">
        <f>"曾婆玉"</f>
        <v>曾婆玉</v>
      </c>
      <c r="F281" s="6" t="str">
        <f>"女"</f>
        <v>女</v>
      </c>
    </row>
    <row r="282" spans="1:6" ht="30" customHeight="1">
      <c r="A282" s="6">
        <v>280</v>
      </c>
      <c r="B282" s="6" t="str">
        <f>"53002023052721205986197"</f>
        <v>53002023052721205986197</v>
      </c>
      <c r="C282" s="6" t="str">
        <f t="shared" si="15"/>
        <v>0105</v>
      </c>
      <c r="D282" s="6" t="s">
        <v>11</v>
      </c>
      <c r="E282" s="6" t="str">
        <f>"张易萍"</f>
        <v>张易萍</v>
      </c>
      <c r="F282" s="6" t="str">
        <f>"女"</f>
        <v>女</v>
      </c>
    </row>
    <row r="283" spans="1:6" ht="30" customHeight="1">
      <c r="A283" s="6">
        <v>281</v>
      </c>
      <c r="B283" s="6" t="str">
        <f>"53002023052910462190986"</f>
        <v>53002023052910462190986</v>
      </c>
      <c r="C283" s="6" t="str">
        <f t="shared" si="15"/>
        <v>0105</v>
      </c>
      <c r="D283" s="6" t="s">
        <v>11</v>
      </c>
      <c r="E283" s="6" t="str">
        <f>"李秋月"</f>
        <v>李秋月</v>
      </c>
      <c r="F283" s="6" t="str">
        <f>"女"</f>
        <v>女</v>
      </c>
    </row>
    <row r="284" spans="1:6" ht="30" customHeight="1">
      <c r="A284" s="6">
        <v>282</v>
      </c>
      <c r="B284" s="6" t="str">
        <f>"53002023052820181188630"</f>
        <v>53002023052820181188630</v>
      </c>
      <c r="C284" s="6" t="str">
        <f t="shared" si="15"/>
        <v>0105</v>
      </c>
      <c r="D284" s="6" t="s">
        <v>11</v>
      </c>
      <c r="E284" s="6" t="str">
        <f>"张志鹏"</f>
        <v>张志鹏</v>
      </c>
      <c r="F284" s="6" t="str">
        <f>"男"</f>
        <v>男</v>
      </c>
    </row>
    <row r="285" spans="1:6" ht="30" customHeight="1">
      <c r="A285" s="6">
        <v>283</v>
      </c>
      <c r="B285" s="6" t="str">
        <f>"53002023052917561893872"</f>
        <v>53002023052917561893872</v>
      </c>
      <c r="C285" s="6" t="str">
        <f t="shared" si="15"/>
        <v>0105</v>
      </c>
      <c r="D285" s="6" t="s">
        <v>11</v>
      </c>
      <c r="E285" s="6" t="str">
        <f>"谢正杏"</f>
        <v>谢正杏</v>
      </c>
      <c r="F285" s="6" t="str">
        <f>"女"</f>
        <v>女</v>
      </c>
    </row>
    <row r="286" spans="1:6" ht="30" customHeight="1">
      <c r="A286" s="6">
        <v>284</v>
      </c>
      <c r="B286" s="6" t="str">
        <f>"53002023052922125095155"</f>
        <v>53002023052922125095155</v>
      </c>
      <c r="C286" s="6" t="str">
        <f t="shared" si="15"/>
        <v>0105</v>
      </c>
      <c r="D286" s="6" t="s">
        <v>11</v>
      </c>
      <c r="E286" s="6" t="str">
        <f>"李腾爱"</f>
        <v>李腾爱</v>
      </c>
      <c r="F286" s="6" t="str">
        <f>"女"</f>
        <v>女</v>
      </c>
    </row>
    <row r="287" spans="1:6" ht="30" customHeight="1">
      <c r="A287" s="6">
        <v>285</v>
      </c>
      <c r="B287" s="6" t="str">
        <f>"53002023053008311895867"</f>
        <v>53002023053008311895867</v>
      </c>
      <c r="C287" s="6" t="str">
        <f t="shared" si="15"/>
        <v>0105</v>
      </c>
      <c r="D287" s="6" t="s">
        <v>11</v>
      </c>
      <c r="E287" s="6" t="str">
        <f>"郭秀月"</f>
        <v>郭秀月</v>
      </c>
      <c r="F287" s="6" t="str">
        <f>"女"</f>
        <v>女</v>
      </c>
    </row>
    <row r="288" spans="1:6" ht="30" customHeight="1">
      <c r="A288" s="6">
        <v>286</v>
      </c>
      <c r="B288" s="6" t="str">
        <f>"53002023053009081896049"</f>
        <v>53002023053009081896049</v>
      </c>
      <c r="C288" s="6" t="str">
        <f t="shared" si="15"/>
        <v>0105</v>
      </c>
      <c r="D288" s="6" t="s">
        <v>11</v>
      </c>
      <c r="E288" s="6" t="str">
        <f>"梁小凤"</f>
        <v>梁小凤</v>
      </c>
      <c r="F288" s="6" t="str">
        <f>"女"</f>
        <v>女</v>
      </c>
    </row>
    <row r="289" spans="1:6" ht="30" customHeight="1">
      <c r="A289" s="6">
        <v>287</v>
      </c>
      <c r="B289" s="6" t="str">
        <f>"53002023053010434996807"</f>
        <v>53002023053010434996807</v>
      </c>
      <c r="C289" s="6" t="str">
        <f t="shared" si="15"/>
        <v>0105</v>
      </c>
      <c r="D289" s="6" t="s">
        <v>11</v>
      </c>
      <c r="E289" s="6" t="str">
        <f>"顾红"</f>
        <v>顾红</v>
      </c>
      <c r="F289" s="6" t="str">
        <f>"女"</f>
        <v>女</v>
      </c>
    </row>
    <row r="290" spans="1:6" ht="30" customHeight="1">
      <c r="A290" s="6">
        <v>288</v>
      </c>
      <c r="B290" s="6" t="str">
        <f>"53002023053000522895699"</f>
        <v>53002023053000522895699</v>
      </c>
      <c r="C290" s="6" t="str">
        <f t="shared" si="15"/>
        <v>0105</v>
      </c>
      <c r="D290" s="6" t="s">
        <v>11</v>
      </c>
      <c r="E290" s="6" t="str">
        <f>"李纪辉"</f>
        <v>李纪辉</v>
      </c>
      <c r="F290" s="6" t="str">
        <f>"男"</f>
        <v>男</v>
      </c>
    </row>
    <row r="291" spans="1:6" ht="30" customHeight="1">
      <c r="A291" s="6">
        <v>289</v>
      </c>
      <c r="B291" s="6" t="str">
        <f>"53002023053012094097443"</f>
        <v>53002023053012094097443</v>
      </c>
      <c r="C291" s="6" t="str">
        <f t="shared" si="15"/>
        <v>0105</v>
      </c>
      <c r="D291" s="6" t="s">
        <v>11</v>
      </c>
      <c r="E291" s="6" t="str">
        <f>"黎帝兰"</f>
        <v>黎帝兰</v>
      </c>
      <c r="F291" s="6" t="str">
        <f aca="true" t="shared" si="17" ref="F291:F305">"女"</f>
        <v>女</v>
      </c>
    </row>
    <row r="292" spans="1:6" ht="30" customHeight="1">
      <c r="A292" s="6">
        <v>290</v>
      </c>
      <c r="B292" s="6" t="str">
        <f>"53002023053011091797034"</f>
        <v>53002023053011091797034</v>
      </c>
      <c r="C292" s="6" t="str">
        <f t="shared" si="15"/>
        <v>0105</v>
      </c>
      <c r="D292" s="6" t="s">
        <v>11</v>
      </c>
      <c r="E292" s="6" t="str">
        <f>"曾莹莹"</f>
        <v>曾莹莹</v>
      </c>
      <c r="F292" s="6" t="str">
        <f t="shared" si="17"/>
        <v>女</v>
      </c>
    </row>
    <row r="293" spans="1:6" ht="30" customHeight="1">
      <c r="A293" s="6">
        <v>291</v>
      </c>
      <c r="B293" s="6" t="str">
        <f>"53002023053015323698494"</f>
        <v>53002023053015323698494</v>
      </c>
      <c r="C293" s="6" t="str">
        <f t="shared" si="15"/>
        <v>0105</v>
      </c>
      <c r="D293" s="6" t="s">
        <v>11</v>
      </c>
      <c r="E293" s="6" t="str">
        <f>"林姝含"</f>
        <v>林姝含</v>
      </c>
      <c r="F293" s="6" t="str">
        <f t="shared" si="17"/>
        <v>女</v>
      </c>
    </row>
    <row r="294" spans="1:6" ht="30" customHeight="1">
      <c r="A294" s="6">
        <v>292</v>
      </c>
      <c r="B294" s="6" t="str">
        <f>"53002023052716130485256"</f>
        <v>53002023052716130485256</v>
      </c>
      <c r="C294" s="6" t="str">
        <f t="shared" si="15"/>
        <v>0105</v>
      </c>
      <c r="D294" s="6" t="s">
        <v>11</v>
      </c>
      <c r="E294" s="6" t="str">
        <f>"张婧媱"</f>
        <v>张婧媱</v>
      </c>
      <c r="F294" s="6" t="str">
        <f t="shared" si="17"/>
        <v>女</v>
      </c>
    </row>
    <row r="295" spans="1:6" ht="30" customHeight="1">
      <c r="A295" s="6">
        <v>293</v>
      </c>
      <c r="B295" s="6" t="str">
        <f>"53002023053016530899023"</f>
        <v>53002023053016530899023</v>
      </c>
      <c r="C295" s="6" t="str">
        <f t="shared" si="15"/>
        <v>0105</v>
      </c>
      <c r="D295" s="6" t="s">
        <v>11</v>
      </c>
      <c r="E295" s="6" t="str">
        <f>"赵思英"</f>
        <v>赵思英</v>
      </c>
      <c r="F295" s="6" t="str">
        <f t="shared" si="17"/>
        <v>女</v>
      </c>
    </row>
    <row r="296" spans="1:6" ht="30" customHeight="1">
      <c r="A296" s="6">
        <v>294</v>
      </c>
      <c r="B296" s="6" t="str">
        <f>"53002023053019450899812"</f>
        <v>53002023053019450899812</v>
      </c>
      <c r="C296" s="6" t="str">
        <f t="shared" si="15"/>
        <v>0105</v>
      </c>
      <c r="D296" s="6" t="s">
        <v>11</v>
      </c>
      <c r="E296" s="6" t="str">
        <f>"陈玉凤"</f>
        <v>陈玉凤</v>
      </c>
      <c r="F296" s="6" t="str">
        <f t="shared" si="17"/>
        <v>女</v>
      </c>
    </row>
    <row r="297" spans="1:6" ht="30" customHeight="1">
      <c r="A297" s="6">
        <v>295</v>
      </c>
      <c r="B297" s="6" t="str">
        <f>"530020230530224228100666"</f>
        <v>530020230530224228100666</v>
      </c>
      <c r="C297" s="6" t="str">
        <f t="shared" si="15"/>
        <v>0105</v>
      </c>
      <c r="D297" s="6" t="s">
        <v>11</v>
      </c>
      <c r="E297" s="6" t="str">
        <f>"蒙娇"</f>
        <v>蒙娇</v>
      </c>
      <c r="F297" s="6" t="str">
        <f t="shared" si="17"/>
        <v>女</v>
      </c>
    </row>
    <row r="298" spans="1:6" ht="30" customHeight="1">
      <c r="A298" s="6">
        <v>296</v>
      </c>
      <c r="B298" s="6" t="str">
        <f>"53002023052823052389209"</f>
        <v>53002023052823052389209</v>
      </c>
      <c r="C298" s="6" t="str">
        <f t="shared" si="15"/>
        <v>0105</v>
      </c>
      <c r="D298" s="6" t="s">
        <v>11</v>
      </c>
      <c r="E298" s="6" t="str">
        <f>"李柯酉"</f>
        <v>李柯酉</v>
      </c>
      <c r="F298" s="6" t="str">
        <f t="shared" si="17"/>
        <v>女</v>
      </c>
    </row>
    <row r="299" spans="1:6" ht="30" customHeight="1">
      <c r="A299" s="6">
        <v>297</v>
      </c>
      <c r="B299" s="6" t="str">
        <f>"53002023053007115695771"</f>
        <v>53002023053007115695771</v>
      </c>
      <c r="C299" s="6" t="str">
        <f t="shared" si="15"/>
        <v>0105</v>
      </c>
      <c r="D299" s="6" t="s">
        <v>11</v>
      </c>
      <c r="E299" s="6" t="str">
        <f>"冯小蔓"</f>
        <v>冯小蔓</v>
      </c>
      <c r="F299" s="6" t="str">
        <f t="shared" si="17"/>
        <v>女</v>
      </c>
    </row>
    <row r="300" spans="1:6" ht="30" customHeight="1">
      <c r="A300" s="6">
        <v>298</v>
      </c>
      <c r="B300" s="6" t="str">
        <f>"530020230531093753101602"</f>
        <v>530020230531093753101602</v>
      </c>
      <c r="C300" s="6" t="str">
        <f t="shared" si="15"/>
        <v>0105</v>
      </c>
      <c r="D300" s="6" t="s">
        <v>11</v>
      </c>
      <c r="E300" s="6" t="str">
        <f>"李如桂"</f>
        <v>李如桂</v>
      </c>
      <c r="F300" s="6" t="str">
        <f t="shared" si="17"/>
        <v>女</v>
      </c>
    </row>
    <row r="301" spans="1:6" ht="30" customHeight="1">
      <c r="A301" s="6">
        <v>299</v>
      </c>
      <c r="B301" s="6" t="str">
        <f>"530020230531103202101998"</f>
        <v>530020230531103202101998</v>
      </c>
      <c r="C301" s="6" t="str">
        <f t="shared" si="15"/>
        <v>0105</v>
      </c>
      <c r="D301" s="6" t="s">
        <v>11</v>
      </c>
      <c r="E301" s="6" t="str">
        <f>"余映徵"</f>
        <v>余映徵</v>
      </c>
      <c r="F301" s="6" t="str">
        <f t="shared" si="17"/>
        <v>女</v>
      </c>
    </row>
    <row r="302" spans="1:6" ht="30" customHeight="1">
      <c r="A302" s="6">
        <v>300</v>
      </c>
      <c r="B302" s="6" t="str">
        <f>"53002023052916044493157"</f>
        <v>53002023052916044493157</v>
      </c>
      <c r="C302" s="6" t="str">
        <f t="shared" si="15"/>
        <v>0105</v>
      </c>
      <c r="D302" s="6" t="s">
        <v>11</v>
      </c>
      <c r="E302" s="6" t="str">
        <f>"蔡亲梅"</f>
        <v>蔡亲梅</v>
      </c>
      <c r="F302" s="6" t="str">
        <f t="shared" si="17"/>
        <v>女</v>
      </c>
    </row>
    <row r="303" spans="1:6" ht="30" customHeight="1">
      <c r="A303" s="6">
        <v>301</v>
      </c>
      <c r="B303" s="6" t="str">
        <f>"530020230531100401101812"</f>
        <v>530020230531100401101812</v>
      </c>
      <c r="C303" s="6" t="str">
        <f t="shared" si="15"/>
        <v>0105</v>
      </c>
      <c r="D303" s="6" t="s">
        <v>11</v>
      </c>
      <c r="E303" s="6" t="str">
        <f>"黄恋"</f>
        <v>黄恋</v>
      </c>
      <c r="F303" s="6" t="str">
        <f t="shared" si="17"/>
        <v>女</v>
      </c>
    </row>
    <row r="304" spans="1:6" ht="30" customHeight="1">
      <c r="A304" s="6">
        <v>302</v>
      </c>
      <c r="B304" s="6" t="str">
        <f>"53002023053016374198918"</f>
        <v>53002023053016374198918</v>
      </c>
      <c r="C304" s="6" t="str">
        <f t="shared" si="15"/>
        <v>0105</v>
      </c>
      <c r="D304" s="6" t="s">
        <v>11</v>
      </c>
      <c r="E304" s="6" t="str">
        <f>"翁月乙"</f>
        <v>翁月乙</v>
      </c>
      <c r="F304" s="6" t="str">
        <f t="shared" si="17"/>
        <v>女</v>
      </c>
    </row>
    <row r="305" spans="1:6" ht="30" customHeight="1">
      <c r="A305" s="6">
        <v>303</v>
      </c>
      <c r="B305" s="6" t="str">
        <f>"53002023052817463088195"</f>
        <v>53002023052817463088195</v>
      </c>
      <c r="C305" s="6" t="str">
        <f t="shared" si="15"/>
        <v>0105</v>
      </c>
      <c r="D305" s="6" t="s">
        <v>11</v>
      </c>
      <c r="E305" s="6" t="str">
        <f>"陈彬彬"</f>
        <v>陈彬彬</v>
      </c>
      <c r="F305" s="6" t="str">
        <f t="shared" si="17"/>
        <v>女</v>
      </c>
    </row>
    <row r="306" spans="1:6" ht="30" customHeight="1">
      <c r="A306" s="6">
        <v>304</v>
      </c>
      <c r="B306" s="6" t="str">
        <f>"53002023053016483698988"</f>
        <v>53002023053016483698988</v>
      </c>
      <c r="C306" s="6" t="str">
        <f t="shared" si="15"/>
        <v>0105</v>
      </c>
      <c r="D306" s="6" t="s">
        <v>11</v>
      </c>
      <c r="E306" s="6" t="str">
        <f>"吴凌志"</f>
        <v>吴凌志</v>
      </c>
      <c r="F306" s="6" t="str">
        <f>"男"</f>
        <v>男</v>
      </c>
    </row>
    <row r="307" spans="1:6" ht="30" customHeight="1">
      <c r="A307" s="6">
        <v>305</v>
      </c>
      <c r="B307" s="6" t="str">
        <f>"530020230601123859106731"</f>
        <v>530020230601123859106731</v>
      </c>
      <c r="C307" s="6" t="str">
        <f t="shared" si="15"/>
        <v>0105</v>
      </c>
      <c r="D307" s="6" t="s">
        <v>11</v>
      </c>
      <c r="E307" s="6" t="str">
        <f>"符春泥"</f>
        <v>符春泥</v>
      </c>
      <c r="F307" s="6" t="str">
        <f aca="true" t="shared" si="18" ref="F307:F326">"女"</f>
        <v>女</v>
      </c>
    </row>
    <row r="308" spans="1:6" ht="30" customHeight="1">
      <c r="A308" s="6">
        <v>306</v>
      </c>
      <c r="B308" s="6" t="str">
        <f>"530020230601132418106910"</f>
        <v>530020230601132418106910</v>
      </c>
      <c r="C308" s="6" t="str">
        <f t="shared" si="15"/>
        <v>0105</v>
      </c>
      <c r="D308" s="6" t="s">
        <v>11</v>
      </c>
      <c r="E308" s="6" t="str">
        <f>"文美方"</f>
        <v>文美方</v>
      </c>
      <c r="F308" s="6" t="str">
        <f t="shared" si="18"/>
        <v>女</v>
      </c>
    </row>
    <row r="309" spans="1:6" ht="30" customHeight="1">
      <c r="A309" s="6">
        <v>307</v>
      </c>
      <c r="B309" s="6" t="str">
        <f>"530020230601111311106321"</f>
        <v>530020230601111311106321</v>
      </c>
      <c r="C309" s="6" t="str">
        <f t="shared" si="15"/>
        <v>0105</v>
      </c>
      <c r="D309" s="6" t="s">
        <v>11</v>
      </c>
      <c r="E309" s="6" t="str">
        <f>"王文明"</f>
        <v>王文明</v>
      </c>
      <c r="F309" s="6" t="str">
        <f t="shared" si="18"/>
        <v>女</v>
      </c>
    </row>
    <row r="310" spans="1:6" ht="30" customHeight="1">
      <c r="A310" s="6">
        <v>308</v>
      </c>
      <c r="B310" s="6" t="str">
        <f>"530020230601165021107742"</f>
        <v>530020230601165021107742</v>
      </c>
      <c r="C310" s="6" t="str">
        <f t="shared" si="15"/>
        <v>0105</v>
      </c>
      <c r="D310" s="6" t="s">
        <v>11</v>
      </c>
      <c r="E310" s="6" t="str">
        <f>"李齐"</f>
        <v>李齐</v>
      </c>
      <c r="F310" s="6" t="str">
        <f t="shared" si="18"/>
        <v>女</v>
      </c>
    </row>
    <row r="311" spans="1:6" ht="30" customHeight="1">
      <c r="A311" s="6">
        <v>309</v>
      </c>
      <c r="B311" s="6" t="str">
        <f>"530020230601170324107802"</f>
        <v>530020230601170324107802</v>
      </c>
      <c r="C311" s="6" t="str">
        <f t="shared" si="15"/>
        <v>0105</v>
      </c>
      <c r="D311" s="6" t="s">
        <v>11</v>
      </c>
      <c r="E311" s="6" t="str">
        <f>"陶婷婷"</f>
        <v>陶婷婷</v>
      </c>
      <c r="F311" s="6" t="str">
        <f t="shared" si="18"/>
        <v>女</v>
      </c>
    </row>
    <row r="312" spans="1:6" ht="30" customHeight="1">
      <c r="A312" s="6">
        <v>310</v>
      </c>
      <c r="B312" s="6" t="str">
        <f>"530020230601184435108139"</f>
        <v>530020230601184435108139</v>
      </c>
      <c r="C312" s="6" t="str">
        <f t="shared" si="15"/>
        <v>0105</v>
      </c>
      <c r="D312" s="6" t="s">
        <v>11</v>
      </c>
      <c r="E312" s="6" t="str">
        <f>"温佳惠"</f>
        <v>温佳惠</v>
      </c>
      <c r="F312" s="6" t="str">
        <f t="shared" si="18"/>
        <v>女</v>
      </c>
    </row>
    <row r="313" spans="1:6" ht="30" customHeight="1">
      <c r="A313" s="6">
        <v>311</v>
      </c>
      <c r="B313" s="6" t="str">
        <f>"530020230601203731108457"</f>
        <v>530020230601203731108457</v>
      </c>
      <c r="C313" s="6" t="str">
        <f t="shared" si="15"/>
        <v>0105</v>
      </c>
      <c r="D313" s="6" t="s">
        <v>11</v>
      </c>
      <c r="E313" s="6" t="str">
        <f>"方叱扬"</f>
        <v>方叱扬</v>
      </c>
      <c r="F313" s="6" t="str">
        <f t="shared" si="18"/>
        <v>女</v>
      </c>
    </row>
    <row r="314" spans="1:6" ht="30" customHeight="1">
      <c r="A314" s="6">
        <v>312</v>
      </c>
      <c r="B314" s="6" t="str">
        <f>"530020230531104052102050"</f>
        <v>530020230531104052102050</v>
      </c>
      <c r="C314" s="6" t="str">
        <f t="shared" si="15"/>
        <v>0105</v>
      </c>
      <c r="D314" s="6" t="s">
        <v>11</v>
      </c>
      <c r="E314" s="6" t="str">
        <f>"陈木娇"</f>
        <v>陈木娇</v>
      </c>
      <c r="F314" s="6" t="str">
        <f t="shared" si="18"/>
        <v>女</v>
      </c>
    </row>
    <row r="315" spans="1:6" ht="30" customHeight="1">
      <c r="A315" s="6">
        <v>313</v>
      </c>
      <c r="B315" s="6" t="str">
        <f>"530020230602004033109188"</f>
        <v>530020230602004033109188</v>
      </c>
      <c r="C315" s="6" t="str">
        <f t="shared" si="15"/>
        <v>0105</v>
      </c>
      <c r="D315" s="6" t="s">
        <v>11</v>
      </c>
      <c r="E315" s="6" t="str">
        <f>"郑碧琳"</f>
        <v>郑碧琳</v>
      </c>
      <c r="F315" s="6" t="str">
        <f t="shared" si="18"/>
        <v>女</v>
      </c>
    </row>
    <row r="316" spans="1:6" ht="30" customHeight="1">
      <c r="A316" s="6">
        <v>314</v>
      </c>
      <c r="B316" s="6" t="str">
        <f>"530020230602075854109309"</f>
        <v>530020230602075854109309</v>
      </c>
      <c r="C316" s="6" t="str">
        <f t="shared" si="15"/>
        <v>0105</v>
      </c>
      <c r="D316" s="6" t="s">
        <v>11</v>
      </c>
      <c r="E316" s="6" t="str">
        <f>"黎碧茵"</f>
        <v>黎碧茵</v>
      </c>
      <c r="F316" s="6" t="str">
        <f t="shared" si="18"/>
        <v>女</v>
      </c>
    </row>
    <row r="317" spans="1:6" ht="30" customHeight="1">
      <c r="A317" s="6">
        <v>315</v>
      </c>
      <c r="B317" s="6" t="str">
        <f>"530020230602083552109385"</f>
        <v>530020230602083552109385</v>
      </c>
      <c r="C317" s="6" t="str">
        <f t="shared" si="15"/>
        <v>0105</v>
      </c>
      <c r="D317" s="6" t="s">
        <v>11</v>
      </c>
      <c r="E317" s="6" t="str">
        <f>"陈恒惠"</f>
        <v>陈恒惠</v>
      </c>
      <c r="F317" s="6" t="str">
        <f t="shared" si="18"/>
        <v>女</v>
      </c>
    </row>
    <row r="318" spans="1:6" ht="30" customHeight="1">
      <c r="A318" s="6">
        <v>316</v>
      </c>
      <c r="B318" s="6" t="str">
        <f>"530020230602082510109356"</f>
        <v>530020230602082510109356</v>
      </c>
      <c r="C318" s="6" t="str">
        <f t="shared" si="15"/>
        <v>0105</v>
      </c>
      <c r="D318" s="6" t="s">
        <v>11</v>
      </c>
      <c r="E318" s="6" t="str">
        <f>"林道繁"</f>
        <v>林道繁</v>
      </c>
      <c r="F318" s="6" t="str">
        <f t="shared" si="18"/>
        <v>女</v>
      </c>
    </row>
    <row r="319" spans="1:6" ht="30" customHeight="1">
      <c r="A319" s="6">
        <v>317</v>
      </c>
      <c r="B319" s="6" t="str">
        <f>"530020230602094503109639"</f>
        <v>530020230602094503109639</v>
      </c>
      <c r="C319" s="6" t="str">
        <f t="shared" si="15"/>
        <v>0105</v>
      </c>
      <c r="D319" s="6" t="s">
        <v>11</v>
      </c>
      <c r="E319" s="6" t="str">
        <f>"符永银"</f>
        <v>符永银</v>
      </c>
      <c r="F319" s="6" t="str">
        <f t="shared" si="18"/>
        <v>女</v>
      </c>
    </row>
    <row r="320" spans="1:6" ht="30" customHeight="1">
      <c r="A320" s="6">
        <v>318</v>
      </c>
      <c r="B320" s="6" t="str">
        <f>"530020230602102848109815"</f>
        <v>530020230602102848109815</v>
      </c>
      <c r="C320" s="6" t="str">
        <f t="shared" si="15"/>
        <v>0105</v>
      </c>
      <c r="D320" s="6" t="s">
        <v>11</v>
      </c>
      <c r="E320" s="6" t="str">
        <f>"林晨晨"</f>
        <v>林晨晨</v>
      </c>
      <c r="F320" s="6" t="str">
        <f t="shared" si="18"/>
        <v>女</v>
      </c>
    </row>
    <row r="321" spans="1:6" ht="30" customHeight="1">
      <c r="A321" s="6">
        <v>319</v>
      </c>
      <c r="B321" s="6" t="str">
        <f>"530020230601201707108389"</f>
        <v>530020230601201707108389</v>
      </c>
      <c r="C321" s="6" t="str">
        <f t="shared" si="15"/>
        <v>0105</v>
      </c>
      <c r="D321" s="6" t="s">
        <v>11</v>
      </c>
      <c r="E321" s="6" t="str">
        <f>"闫显盼"</f>
        <v>闫显盼</v>
      </c>
      <c r="F321" s="6" t="str">
        <f t="shared" si="18"/>
        <v>女</v>
      </c>
    </row>
    <row r="322" spans="1:6" ht="30" customHeight="1">
      <c r="A322" s="6">
        <v>320</v>
      </c>
      <c r="B322" s="6" t="str">
        <f>"530020230531165156103773"</f>
        <v>530020230531165156103773</v>
      </c>
      <c r="C322" s="6" t="str">
        <f t="shared" si="15"/>
        <v>0105</v>
      </c>
      <c r="D322" s="6" t="s">
        <v>11</v>
      </c>
      <c r="E322" s="6" t="str">
        <f>"崔庭兰"</f>
        <v>崔庭兰</v>
      </c>
      <c r="F322" s="6" t="str">
        <f t="shared" si="18"/>
        <v>女</v>
      </c>
    </row>
    <row r="323" spans="1:6" ht="30" customHeight="1">
      <c r="A323" s="6">
        <v>321</v>
      </c>
      <c r="B323" s="6" t="str">
        <f>"53002023052710012183887"</f>
        <v>53002023052710012183887</v>
      </c>
      <c r="C323" s="6" t="str">
        <f aca="true" t="shared" si="19" ref="C323:C386">"0106"</f>
        <v>0106</v>
      </c>
      <c r="D323" s="6" t="s">
        <v>12</v>
      </c>
      <c r="E323" s="6" t="str">
        <f>"王馨"</f>
        <v>王馨</v>
      </c>
      <c r="F323" s="6" t="str">
        <f t="shared" si="18"/>
        <v>女</v>
      </c>
    </row>
    <row r="324" spans="1:6" ht="30" customHeight="1">
      <c r="A324" s="6">
        <v>322</v>
      </c>
      <c r="B324" s="6" t="str">
        <f>"53002023052710013883888"</f>
        <v>53002023052710013883888</v>
      </c>
      <c r="C324" s="6" t="str">
        <f t="shared" si="19"/>
        <v>0106</v>
      </c>
      <c r="D324" s="6" t="s">
        <v>12</v>
      </c>
      <c r="E324" s="6" t="str">
        <f>"李懿博"</f>
        <v>李懿博</v>
      </c>
      <c r="F324" s="6" t="str">
        <f t="shared" si="18"/>
        <v>女</v>
      </c>
    </row>
    <row r="325" spans="1:6" ht="30" customHeight="1">
      <c r="A325" s="6">
        <v>323</v>
      </c>
      <c r="B325" s="6" t="str">
        <f>"53002023052710461384104"</f>
        <v>53002023052710461384104</v>
      </c>
      <c r="C325" s="6" t="str">
        <f t="shared" si="19"/>
        <v>0106</v>
      </c>
      <c r="D325" s="6" t="s">
        <v>12</v>
      </c>
      <c r="E325" s="6" t="str">
        <f>"吴帆"</f>
        <v>吴帆</v>
      </c>
      <c r="F325" s="6" t="str">
        <f t="shared" si="18"/>
        <v>女</v>
      </c>
    </row>
    <row r="326" spans="1:6" ht="30" customHeight="1">
      <c r="A326" s="6">
        <v>324</v>
      </c>
      <c r="B326" s="6" t="str">
        <f>"53002023052711174684244"</f>
        <v>53002023052711174684244</v>
      </c>
      <c r="C326" s="6" t="str">
        <f t="shared" si="19"/>
        <v>0106</v>
      </c>
      <c r="D326" s="6" t="s">
        <v>12</v>
      </c>
      <c r="E326" s="6" t="str">
        <f>"吴雪玲"</f>
        <v>吴雪玲</v>
      </c>
      <c r="F326" s="6" t="str">
        <f t="shared" si="18"/>
        <v>女</v>
      </c>
    </row>
    <row r="327" spans="1:6" ht="30" customHeight="1">
      <c r="A327" s="6">
        <v>325</v>
      </c>
      <c r="B327" s="6" t="str">
        <f>"53002023052717082185452"</f>
        <v>53002023052717082185452</v>
      </c>
      <c r="C327" s="6" t="str">
        <f t="shared" si="19"/>
        <v>0106</v>
      </c>
      <c r="D327" s="6" t="s">
        <v>12</v>
      </c>
      <c r="E327" s="6" t="str">
        <f>"王鑫洋"</f>
        <v>王鑫洋</v>
      </c>
      <c r="F327" s="6" t="str">
        <f>"男"</f>
        <v>男</v>
      </c>
    </row>
    <row r="328" spans="1:6" ht="30" customHeight="1">
      <c r="A328" s="6">
        <v>326</v>
      </c>
      <c r="B328" s="6" t="str">
        <f>"53002023052718330085671"</f>
        <v>53002023052718330085671</v>
      </c>
      <c r="C328" s="6" t="str">
        <f t="shared" si="19"/>
        <v>0106</v>
      </c>
      <c r="D328" s="6" t="s">
        <v>12</v>
      </c>
      <c r="E328" s="6" t="str">
        <f>"李泽章"</f>
        <v>李泽章</v>
      </c>
      <c r="F328" s="6" t="str">
        <f>"男"</f>
        <v>男</v>
      </c>
    </row>
    <row r="329" spans="1:6" ht="30" customHeight="1">
      <c r="A329" s="6">
        <v>327</v>
      </c>
      <c r="B329" s="6" t="str">
        <f>"53002023052718583085744"</f>
        <v>53002023052718583085744</v>
      </c>
      <c r="C329" s="6" t="str">
        <f t="shared" si="19"/>
        <v>0106</v>
      </c>
      <c r="D329" s="6" t="s">
        <v>12</v>
      </c>
      <c r="E329" s="6" t="str">
        <f>"周梅英"</f>
        <v>周梅英</v>
      </c>
      <c r="F329" s="6" t="str">
        <f aca="true" t="shared" si="20" ref="F329:F334">"女"</f>
        <v>女</v>
      </c>
    </row>
    <row r="330" spans="1:6" ht="30" customHeight="1">
      <c r="A330" s="6">
        <v>328</v>
      </c>
      <c r="B330" s="6" t="str">
        <f>"53002023052808095186756"</f>
        <v>53002023052808095186756</v>
      </c>
      <c r="C330" s="6" t="str">
        <f t="shared" si="19"/>
        <v>0106</v>
      </c>
      <c r="D330" s="6" t="s">
        <v>12</v>
      </c>
      <c r="E330" s="6" t="str">
        <f>" 符荣沁"</f>
        <v> 符荣沁</v>
      </c>
      <c r="F330" s="6" t="str">
        <f t="shared" si="20"/>
        <v>女</v>
      </c>
    </row>
    <row r="331" spans="1:6" ht="30" customHeight="1">
      <c r="A331" s="6">
        <v>329</v>
      </c>
      <c r="B331" s="6" t="str">
        <f>"53002023052813545487541"</f>
        <v>53002023052813545487541</v>
      </c>
      <c r="C331" s="6" t="str">
        <f t="shared" si="19"/>
        <v>0106</v>
      </c>
      <c r="D331" s="6" t="s">
        <v>12</v>
      </c>
      <c r="E331" s="6" t="str">
        <f>"吴蔓"</f>
        <v>吴蔓</v>
      </c>
      <c r="F331" s="6" t="str">
        <f t="shared" si="20"/>
        <v>女</v>
      </c>
    </row>
    <row r="332" spans="1:6" ht="30" customHeight="1">
      <c r="A332" s="6">
        <v>330</v>
      </c>
      <c r="B332" s="6" t="str">
        <f>"53002023052723271886552"</f>
        <v>53002023052723271886552</v>
      </c>
      <c r="C332" s="6" t="str">
        <f t="shared" si="19"/>
        <v>0106</v>
      </c>
      <c r="D332" s="6" t="s">
        <v>12</v>
      </c>
      <c r="E332" s="6" t="str">
        <f>"洪莉燕"</f>
        <v>洪莉燕</v>
      </c>
      <c r="F332" s="6" t="str">
        <f t="shared" si="20"/>
        <v>女</v>
      </c>
    </row>
    <row r="333" spans="1:6" ht="30" customHeight="1">
      <c r="A333" s="6">
        <v>331</v>
      </c>
      <c r="B333" s="6" t="str">
        <f>"53002023052807133386731"</f>
        <v>53002023052807133386731</v>
      </c>
      <c r="C333" s="6" t="str">
        <f t="shared" si="19"/>
        <v>0106</v>
      </c>
      <c r="D333" s="6" t="s">
        <v>12</v>
      </c>
      <c r="E333" s="6" t="str">
        <f>"王振霞"</f>
        <v>王振霞</v>
      </c>
      <c r="F333" s="6" t="str">
        <f t="shared" si="20"/>
        <v>女</v>
      </c>
    </row>
    <row r="334" spans="1:6" ht="30" customHeight="1">
      <c r="A334" s="6">
        <v>332</v>
      </c>
      <c r="B334" s="6" t="str">
        <f>"53002023052713284984719"</f>
        <v>53002023052713284984719</v>
      </c>
      <c r="C334" s="6" t="str">
        <f t="shared" si="19"/>
        <v>0106</v>
      </c>
      <c r="D334" s="6" t="s">
        <v>12</v>
      </c>
      <c r="E334" s="6" t="str">
        <f>"陈泽韵"</f>
        <v>陈泽韵</v>
      </c>
      <c r="F334" s="6" t="str">
        <f t="shared" si="20"/>
        <v>女</v>
      </c>
    </row>
    <row r="335" spans="1:6" ht="30" customHeight="1">
      <c r="A335" s="6">
        <v>333</v>
      </c>
      <c r="B335" s="6" t="str">
        <f>"53002023052816281687934"</f>
        <v>53002023052816281687934</v>
      </c>
      <c r="C335" s="6" t="str">
        <f t="shared" si="19"/>
        <v>0106</v>
      </c>
      <c r="D335" s="6" t="s">
        <v>12</v>
      </c>
      <c r="E335" s="6" t="str">
        <f>"吴高标"</f>
        <v>吴高标</v>
      </c>
      <c r="F335" s="6" t="str">
        <f>"男"</f>
        <v>男</v>
      </c>
    </row>
    <row r="336" spans="1:6" ht="30" customHeight="1">
      <c r="A336" s="6">
        <v>334</v>
      </c>
      <c r="B336" s="6" t="str">
        <f>"53002023052817185388080"</f>
        <v>53002023052817185388080</v>
      </c>
      <c r="C336" s="6" t="str">
        <f t="shared" si="19"/>
        <v>0106</v>
      </c>
      <c r="D336" s="6" t="s">
        <v>12</v>
      </c>
      <c r="E336" s="6" t="str">
        <f>"李助桂"</f>
        <v>李助桂</v>
      </c>
      <c r="F336" s="6" t="str">
        <f aca="true" t="shared" si="21" ref="F336:F357">"女"</f>
        <v>女</v>
      </c>
    </row>
    <row r="337" spans="1:6" ht="30" customHeight="1">
      <c r="A337" s="6">
        <v>335</v>
      </c>
      <c r="B337" s="6" t="str">
        <f>"53002023052808391286792"</f>
        <v>53002023052808391286792</v>
      </c>
      <c r="C337" s="6" t="str">
        <f t="shared" si="19"/>
        <v>0106</v>
      </c>
      <c r="D337" s="6" t="s">
        <v>12</v>
      </c>
      <c r="E337" s="6" t="str">
        <f>"韩小燕"</f>
        <v>韩小燕</v>
      </c>
      <c r="F337" s="6" t="str">
        <f t="shared" si="21"/>
        <v>女</v>
      </c>
    </row>
    <row r="338" spans="1:6" ht="30" customHeight="1">
      <c r="A338" s="6">
        <v>336</v>
      </c>
      <c r="B338" s="6" t="str">
        <f>"53002023052820054388593"</f>
        <v>53002023052820054388593</v>
      </c>
      <c r="C338" s="6" t="str">
        <f t="shared" si="19"/>
        <v>0106</v>
      </c>
      <c r="D338" s="6" t="s">
        <v>12</v>
      </c>
      <c r="E338" s="6" t="str">
        <f>"李平丹"</f>
        <v>李平丹</v>
      </c>
      <c r="F338" s="6" t="str">
        <f t="shared" si="21"/>
        <v>女</v>
      </c>
    </row>
    <row r="339" spans="1:6" ht="30" customHeight="1">
      <c r="A339" s="6">
        <v>337</v>
      </c>
      <c r="B339" s="6" t="str">
        <f>"53002023052902260289399"</f>
        <v>53002023052902260289399</v>
      </c>
      <c r="C339" s="6" t="str">
        <f t="shared" si="19"/>
        <v>0106</v>
      </c>
      <c r="D339" s="6" t="s">
        <v>12</v>
      </c>
      <c r="E339" s="6" t="str">
        <f>"林晓燕"</f>
        <v>林晓燕</v>
      </c>
      <c r="F339" s="6" t="str">
        <f t="shared" si="21"/>
        <v>女</v>
      </c>
    </row>
    <row r="340" spans="1:6" ht="30" customHeight="1">
      <c r="A340" s="6">
        <v>338</v>
      </c>
      <c r="B340" s="6" t="str">
        <f>"53002023052907583689462"</f>
        <v>53002023052907583689462</v>
      </c>
      <c r="C340" s="6" t="str">
        <f t="shared" si="19"/>
        <v>0106</v>
      </c>
      <c r="D340" s="6" t="s">
        <v>12</v>
      </c>
      <c r="E340" s="6" t="str">
        <f>"黄源华"</f>
        <v>黄源华</v>
      </c>
      <c r="F340" s="6" t="str">
        <f t="shared" si="21"/>
        <v>女</v>
      </c>
    </row>
    <row r="341" spans="1:6" ht="30" customHeight="1">
      <c r="A341" s="6">
        <v>339</v>
      </c>
      <c r="B341" s="6" t="str">
        <f>"53002023052908520289645"</f>
        <v>53002023052908520289645</v>
      </c>
      <c r="C341" s="6" t="str">
        <f t="shared" si="19"/>
        <v>0106</v>
      </c>
      <c r="D341" s="6" t="s">
        <v>12</v>
      </c>
      <c r="E341" s="6" t="str">
        <f>"颜森莹"</f>
        <v>颜森莹</v>
      </c>
      <c r="F341" s="6" t="str">
        <f t="shared" si="21"/>
        <v>女</v>
      </c>
    </row>
    <row r="342" spans="1:6" ht="30" customHeight="1">
      <c r="A342" s="6">
        <v>340</v>
      </c>
      <c r="B342" s="6" t="str">
        <f>"53002023052709101383694"</f>
        <v>53002023052709101383694</v>
      </c>
      <c r="C342" s="6" t="str">
        <f t="shared" si="19"/>
        <v>0106</v>
      </c>
      <c r="D342" s="6" t="s">
        <v>12</v>
      </c>
      <c r="E342" s="6" t="str">
        <f>"许金兰"</f>
        <v>许金兰</v>
      </c>
      <c r="F342" s="6" t="str">
        <f t="shared" si="21"/>
        <v>女</v>
      </c>
    </row>
    <row r="343" spans="1:6" ht="30" customHeight="1">
      <c r="A343" s="6">
        <v>341</v>
      </c>
      <c r="B343" s="6" t="str">
        <f>"53002023052909453390278"</f>
        <v>53002023052909453390278</v>
      </c>
      <c r="C343" s="6" t="str">
        <f t="shared" si="19"/>
        <v>0106</v>
      </c>
      <c r="D343" s="6" t="s">
        <v>12</v>
      </c>
      <c r="E343" s="6" t="str">
        <f>"麦琼媛"</f>
        <v>麦琼媛</v>
      </c>
      <c r="F343" s="6" t="str">
        <f t="shared" si="21"/>
        <v>女</v>
      </c>
    </row>
    <row r="344" spans="1:6" ht="30" customHeight="1">
      <c r="A344" s="6">
        <v>342</v>
      </c>
      <c r="B344" s="6" t="str">
        <f>"53002023052910091390550"</f>
        <v>53002023052910091390550</v>
      </c>
      <c r="C344" s="6" t="str">
        <f t="shared" si="19"/>
        <v>0106</v>
      </c>
      <c r="D344" s="6" t="s">
        <v>12</v>
      </c>
      <c r="E344" s="6" t="str">
        <f>"王思莉"</f>
        <v>王思莉</v>
      </c>
      <c r="F344" s="6" t="str">
        <f t="shared" si="21"/>
        <v>女</v>
      </c>
    </row>
    <row r="345" spans="1:6" ht="30" customHeight="1">
      <c r="A345" s="6">
        <v>343</v>
      </c>
      <c r="B345" s="6" t="str">
        <f>"53002023052818115788317"</f>
        <v>53002023052818115788317</v>
      </c>
      <c r="C345" s="6" t="str">
        <f t="shared" si="19"/>
        <v>0106</v>
      </c>
      <c r="D345" s="6" t="s">
        <v>12</v>
      </c>
      <c r="E345" s="6" t="str">
        <f>"申天天"</f>
        <v>申天天</v>
      </c>
      <c r="F345" s="6" t="str">
        <f t="shared" si="21"/>
        <v>女</v>
      </c>
    </row>
    <row r="346" spans="1:6" ht="30" customHeight="1">
      <c r="A346" s="6">
        <v>344</v>
      </c>
      <c r="B346" s="6" t="str">
        <f>"53002023052909323990124"</f>
        <v>53002023052909323990124</v>
      </c>
      <c r="C346" s="6" t="str">
        <f t="shared" si="19"/>
        <v>0106</v>
      </c>
      <c r="D346" s="6" t="s">
        <v>12</v>
      </c>
      <c r="E346" s="6" t="str">
        <f>"杜小菊"</f>
        <v>杜小菊</v>
      </c>
      <c r="F346" s="6" t="str">
        <f t="shared" si="21"/>
        <v>女</v>
      </c>
    </row>
    <row r="347" spans="1:6" ht="30" customHeight="1">
      <c r="A347" s="6">
        <v>345</v>
      </c>
      <c r="B347" s="6" t="str">
        <f>"53002023052910520191041"</f>
        <v>53002023052910520191041</v>
      </c>
      <c r="C347" s="6" t="str">
        <f t="shared" si="19"/>
        <v>0106</v>
      </c>
      <c r="D347" s="6" t="s">
        <v>12</v>
      </c>
      <c r="E347" s="6" t="str">
        <f>"张春婵"</f>
        <v>张春婵</v>
      </c>
      <c r="F347" s="6" t="str">
        <f t="shared" si="21"/>
        <v>女</v>
      </c>
    </row>
    <row r="348" spans="1:6" ht="30" customHeight="1">
      <c r="A348" s="6">
        <v>346</v>
      </c>
      <c r="B348" s="6" t="str">
        <f>"53002023052910532191054"</f>
        <v>53002023052910532191054</v>
      </c>
      <c r="C348" s="6" t="str">
        <f t="shared" si="19"/>
        <v>0106</v>
      </c>
      <c r="D348" s="6" t="s">
        <v>12</v>
      </c>
      <c r="E348" s="6" t="str">
        <f>"王卫玲"</f>
        <v>王卫玲</v>
      </c>
      <c r="F348" s="6" t="str">
        <f t="shared" si="21"/>
        <v>女</v>
      </c>
    </row>
    <row r="349" spans="1:6" ht="30" customHeight="1">
      <c r="A349" s="6">
        <v>347</v>
      </c>
      <c r="B349" s="6" t="str">
        <f>"53002023052911181491289"</f>
        <v>53002023052911181491289</v>
      </c>
      <c r="C349" s="6" t="str">
        <f t="shared" si="19"/>
        <v>0106</v>
      </c>
      <c r="D349" s="6" t="s">
        <v>12</v>
      </c>
      <c r="E349" s="6" t="str">
        <f>"陈一玲"</f>
        <v>陈一玲</v>
      </c>
      <c r="F349" s="6" t="str">
        <f t="shared" si="21"/>
        <v>女</v>
      </c>
    </row>
    <row r="350" spans="1:6" ht="30" customHeight="1">
      <c r="A350" s="6">
        <v>348</v>
      </c>
      <c r="B350" s="6" t="str">
        <f>"53002023052818591488430"</f>
        <v>53002023052818591488430</v>
      </c>
      <c r="C350" s="6" t="str">
        <f t="shared" si="19"/>
        <v>0106</v>
      </c>
      <c r="D350" s="6" t="s">
        <v>12</v>
      </c>
      <c r="E350" s="6" t="str">
        <f>"黎木桂"</f>
        <v>黎木桂</v>
      </c>
      <c r="F350" s="6" t="str">
        <f t="shared" si="21"/>
        <v>女</v>
      </c>
    </row>
    <row r="351" spans="1:6" ht="30" customHeight="1">
      <c r="A351" s="6">
        <v>349</v>
      </c>
      <c r="B351" s="6" t="str">
        <f>"53002023052912345791869"</f>
        <v>53002023052912345791869</v>
      </c>
      <c r="C351" s="6" t="str">
        <f t="shared" si="19"/>
        <v>0106</v>
      </c>
      <c r="D351" s="6" t="s">
        <v>12</v>
      </c>
      <c r="E351" s="6" t="str">
        <f>"程小燕"</f>
        <v>程小燕</v>
      </c>
      <c r="F351" s="6" t="str">
        <f t="shared" si="21"/>
        <v>女</v>
      </c>
    </row>
    <row r="352" spans="1:6" ht="30" customHeight="1">
      <c r="A352" s="6">
        <v>350</v>
      </c>
      <c r="B352" s="6" t="str">
        <f>"53002023052716243285292"</f>
        <v>53002023052716243285292</v>
      </c>
      <c r="C352" s="6" t="str">
        <f t="shared" si="19"/>
        <v>0106</v>
      </c>
      <c r="D352" s="6" t="s">
        <v>12</v>
      </c>
      <c r="E352" s="6" t="str">
        <f>"黄叶莹"</f>
        <v>黄叶莹</v>
      </c>
      <c r="F352" s="6" t="str">
        <f t="shared" si="21"/>
        <v>女</v>
      </c>
    </row>
    <row r="353" spans="1:6" ht="30" customHeight="1">
      <c r="A353" s="6">
        <v>351</v>
      </c>
      <c r="B353" s="6" t="str">
        <f>"53002023052913012692037"</f>
        <v>53002023052913012692037</v>
      </c>
      <c r="C353" s="6" t="str">
        <f t="shared" si="19"/>
        <v>0106</v>
      </c>
      <c r="D353" s="6" t="s">
        <v>12</v>
      </c>
      <c r="E353" s="6" t="str">
        <f>"符妍彩"</f>
        <v>符妍彩</v>
      </c>
      <c r="F353" s="6" t="str">
        <f t="shared" si="21"/>
        <v>女</v>
      </c>
    </row>
    <row r="354" spans="1:6" ht="30" customHeight="1">
      <c r="A354" s="6">
        <v>352</v>
      </c>
      <c r="B354" s="6" t="str">
        <f>"53002023052916313593368"</f>
        <v>53002023052916313593368</v>
      </c>
      <c r="C354" s="6" t="str">
        <f t="shared" si="19"/>
        <v>0106</v>
      </c>
      <c r="D354" s="6" t="s">
        <v>12</v>
      </c>
      <c r="E354" s="6" t="str">
        <f>"吴原榕"</f>
        <v>吴原榕</v>
      </c>
      <c r="F354" s="6" t="str">
        <f t="shared" si="21"/>
        <v>女</v>
      </c>
    </row>
    <row r="355" spans="1:6" ht="30" customHeight="1">
      <c r="A355" s="6">
        <v>353</v>
      </c>
      <c r="B355" s="6" t="str">
        <f>"53002023052710230484000"</f>
        <v>53002023052710230484000</v>
      </c>
      <c r="C355" s="6" t="str">
        <f t="shared" si="19"/>
        <v>0106</v>
      </c>
      <c r="D355" s="6" t="s">
        <v>12</v>
      </c>
      <c r="E355" s="6" t="str">
        <f>"符传丹"</f>
        <v>符传丹</v>
      </c>
      <c r="F355" s="6" t="str">
        <f t="shared" si="21"/>
        <v>女</v>
      </c>
    </row>
    <row r="356" spans="1:6" ht="30" customHeight="1">
      <c r="A356" s="6">
        <v>354</v>
      </c>
      <c r="B356" s="6" t="str">
        <f>"53002023052918112893939"</f>
        <v>53002023052918112893939</v>
      </c>
      <c r="C356" s="6" t="str">
        <f t="shared" si="19"/>
        <v>0106</v>
      </c>
      <c r="D356" s="6" t="s">
        <v>12</v>
      </c>
      <c r="E356" s="6" t="str">
        <f>"许彩熊"</f>
        <v>许彩熊</v>
      </c>
      <c r="F356" s="6" t="str">
        <f t="shared" si="21"/>
        <v>女</v>
      </c>
    </row>
    <row r="357" spans="1:6" ht="30" customHeight="1">
      <c r="A357" s="6">
        <v>355</v>
      </c>
      <c r="B357" s="6" t="str">
        <f>"53002023052918312894031"</f>
        <v>53002023052918312894031</v>
      </c>
      <c r="C357" s="6" t="str">
        <f t="shared" si="19"/>
        <v>0106</v>
      </c>
      <c r="D357" s="6" t="s">
        <v>12</v>
      </c>
      <c r="E357" s="6" t="str">
        <f>"薛伟积"</f>
        <v>薛伟积</v>
      </c>
      <c r="F357" s="6" t="str">
        <f t="shared" si="21"/>
        <v>女</v>
      </c>
    </row>
    <row r="358" spans="1:6" ht="30" customHeight="1">
      <c r="A358" s="6">
        <v>356</v>
      </c>
      <c r="B358" s="6" t="str">
        <f>"53002023052910121290576"</f>
        <v>53002023052910121290576</v>
      </c>
      <c r="C358" s="6" t="str">
        <f t="shared" si="19"/>
        <v>0106</v>
      </c>
      <c r="D358" s="6" t="s">
        <v>12</v>
      </c>
      <c r="E358" s="6" t="str">
        <f>"郑进熙"</f>
        <v>郑进熙</v>
      </c>
      <c r="F358" s="6" t="str">
        <f>"男"</f>
        <v>男</v>
      </c>
    </row>
    <row r="359" spans="1:6" ht="30" customHeight="1">
      <c r="A359" s="6">
        <v>357</v>
      </c>
      <c r="B359" s="6" t="str">
        <f>"53002023052915140092749"</f>
        <v>53002023052915140092749</v>
      </c>
      <c r="C359" s="6" t="str">
        <f t="shared" si="19"/>
        <v>0106</v>
      </c>
      <c r="D359" s="6" t="s">
        <v>12</v>
      </c>
      <c r="E359" s="6" t="str">
        <f>"符淑乾"</f>
        <v>符淑乾</v>
      </c>
      <c r="F359" s="6" t="str">
        <f>"女"</f>
        <v>女</v>
      </c>
    </row>
    <row r="360" spans="1:6" ht="30" customHeight="1">
      <c r="A360" s="6">
        <v>358</v>
      </c>
      <c r="B360" s="6" t="str">
        <f>"53002023052915284392865"</f>
        <v>53002023052915284392865</v>
      </c>
      <c r="C360" s="6" t="str">
        <f t="shared" si="19"/>
        <v>0106</v>
      </c>
      <c r="D360" s="6" t="s">
        <v>12</v>
      </c>
      <c r="E360" s="6" t="str">
        <f>"李精梅"</f>
        <v>李精梅</v>
      </c>
      <c r="F360" s="6" t="str">
        <f>"女"</f>
        <v>女</v>
      </c>
    </row>
    <row r="361" spans="1:6" ht="30" customHeight="1">
      <c r="A361" s="6">
        <v>359</v>
      </c>
      <c r="B361" s="6" t="str">
        <f>"53002023052915293492869"</f>
        <v>53002023052915293492869</v>
      </c>
      <c r="C361" s="6" t="str">
        <f t="shared" si="19"/>
        <v>0106</v>
      </c>
      <c r="D361" s="6" t="s">
        <v>12</v>
      </c>
      <c r="E361" s="6" t="str">
        <f>"黎楚怡"</f>
        <v>黎楚怡</v>
      </c>
      <c r="F361" s="6" t="str">
        <f>"女"</f>
        <v>女</v>
      </c>
    </row>
    <row r="362" spans="1:6" ht="30" customHeight="1">
      <c r="A362" s="6">
        <v>360</v>
      </c>
      <c r="B362" s="6" t="str">
        <f>"53002023052817304588109"</f>
        <v>53002023052817304588109</v>
      </c>
      <c r="C362" s="6" t="str">
        <f t="shared" si="19"/>
        <v>0106</v>
      </c>
      <c r="D362" s="6" t="s">
        <v>12</v>
      </c>
      <c r="E362" s="6" t="str">
        <f>"林英"</f>
        <v>林英</v>
      </c>
      <c r="F362" s="6" t="str">
        <f>"女"</f>
        <v>女</v>
      </c>
    </row>
    <row r="363" spans="1:6" ht="30" customHeight="1">
      <c r="A363" s="6">
        <v>361</v>
      </c>
      <c r="B363" s="6" t="str">
        <f>"53002023052920320394563"</f>
        <v>53002023052920320394563</v>
      </c>
      <c r="C363" s="6" t="str">
        <f t="shared" si="19"/>
        <v>0106</v>
      </c>
      <c r="D363" s="6" t="s">
        <v>12</v>
      </c>
      <c r="E363" s="6" t="str">
        <f>"余碧卉"</f>
        <v>余碧卉</v>
      </c>
      <c r="F363" s="6" t="str">
        <f>"女"</f>
        <v>女</v>
      </c>
    </row>
    <row r="364" spans="1:6" ht="30" customHeight="1">
      <c r="A364" s="6">
        <v>362</v>
      </c>
      <c r="B364" s="6" t="str">
        <f>"53002023052919533594382"</f>
        <v>53002023052919533594382</v>
      </c>
      <c r="C364" s="6" t="str">
        <f t="shared" si="19"/>
        <v>0106</v>
      </c>
      <c r="D364" s="6" t="s">
        <v>12</v>
      </c>
      <c r="E364" s="6" t="str">
        <f>"何民佐"</f>
        <v>何民佐</v>
      </c>
      <c r="F364" s="6" t="str">
        <f>"男"</f>
        <v>男</v>
      </c>
    </row>
    <row r="365" spans="1:6" ht="30" customHeight="1">
      <c r="A365" s="6">
        <v>363</v>
      </c>
      <c r="B365" s="6" t="str">
        <f>"53002023052921051394735"</f>
        <v>53002023052921051394735</v>
      </c>
      <c r="C365" s="6" t="str">
        <f t="shared" si="19"/>
        <v>0106</v>
      </c>
      <c r="D365" s="6" t="s">
        <v>12</v>
      </c>
      <c r="E365" s="6" t="str">
        <f>"徐彤"</f>
        <v>徐彤</v>
      </c>
      <c r="F365" s="6" t="str">
        <f aca="true" t="shared" si="22" ref="F365:F377">"女"</f>
        <v>女</v>
      </c>
    </row>
    <row r="366" spans="1:6" ht="30" customHeight="1">
      <c r="A366" s="6">
        <v>364</v>
      </c>
      <c r="B366" s="6" t="str">
        <f>"53002023052819111088468"</f>
        <v>53002023052819111088468</v>
      </c>
      <c r="C366" s="6" t="str">
        <f t="shared" si="19"/>
        <v>0106</v>
      </c>
      <c r="D366" s="6" t="s">
        <v>12</v>
      </c>
      <c r="E366" s="6" t="str">
        <f>"邢燕"</f>
        <v>邢燕</v>
      </c>
      <c r="F366" s="6" t="str">
        <f t="shared" si="22"/>
        <v>女</v>
      </c>
    </row>
    <row r="367" spans="1:6" ht="30" customHeight="1">
      <c r="A367" s="6">
        <v>365</v>
      </c>
      <c r="B367" s="6" t="str">
        <f>"53002023052923381695564"</f>
        <v>53002023052923381695564</v>
      </c>
      <c r="C367" s="6" t="str">
        <f t="shared" si="19"/>
        <v>0106</v>
      </c>
      <c r="D367" s="6" t="s">
        <v>12</v>
      </c>
      <c r="E367" s="6" t="str">
        <f>"黎俊诗"</f>
        <v>黎俊诗</v>
      </c>
      <c r="F367" s="6" t="str">
        <f t="shared" si="22"/>
        <v>女</v>
      </c>
    </row>
    <row r="368" spans="1:6" ht="30" customHeight="1">
      <c r="A368" s="6">
        <v>366</v>
      </c>
      <c r="B368" s="6" t="str">
        <f>"53002023052916211893290"</f>
        <v>53002023052916211893290</v>
      </c>
      <c r="C368" s="6" t="str">
        <f t="shared" si="19"/>
        <v>0106</v>
      </c>
      <c r="D368" s="6" t="s">
        <v>12</v>
      </c>
      <c r="E368" s="6" t="str">
        <f>"黎定妹"</f>
        <v>黎定妹</v>
      </c>
      <c r="F368" s="6" t="str">
        <f t="shared" si="22"/>
        <v>女</v>
      </c>
    </row>
    <row r="369" spans="1:6" ht="30" customHeight="1">
      <c r="A369" s="6">
        <v>367</v>
      </c>
      <c r="B369" s="6" t="str">
        <f>"53002023052921154294805"</f>
        <v>53002023052921154294805</v>
      </c>
      <c r="C369" s="6" t="str">
        <f t="shared" si="19"/>
        <v>0106</v>
      </c>
      <c r="D369" s="6" t="s">
        <v>12</v>
      </c>
      <c r="E369" s="6" t="str">
        <f>"邢文完"</f>
        <v>邢文完</v>
      </c>
      <c r="F369" s="6" t="str">
        <f t="shared" si="22"/>
        <v>女</v>
      </c>
    </row>
    <row r="370" spans="1:6" ht="30" customHeight="1">
      <c r="A370" s="6">
        <v>368</v>
      </c>
      <c r="B370" s="6" t="str">
        <f>"53002023053010424196798"</f>
        <v>53002023053010424196798</v>
      </c>
      <c r="C370" s="6" t="str">
        <f t="shared" si="19"/>
        <v>0106</v>
      </c>
      <c r="D370" s="6" t="s">
        <v>12</v>
      </c>
      <c r="E370" s="6" t="str">
        <f>"冯海平"</f>
        <v>冯海平</v>
      </c>
      <c r="F370" s="6" t="str">
        <f t="shared" si="22"/>
        <v>女</v>
      </c>
    </row>
    <row r="371" spans="1:6" ht="30" customHeight="1">
      <c r="A371" s="6">
        <v>369</v>
      </c>
      <c r="B371" s="6" t="str">
        <f>"53002023052814403087638"</f>
        <v>53002023052814403087638</v>
      </c>
      <c r="C371" s="6" t="str">
        <f t="shared" si="19"/>
        <v>0106</v>
      </c>
      <c r="D371" s="6" t="s">
        <v>12</v>
      </c>
      <c r="E371" s="6" t="str">
        <f>"谢晓霞"</f>
        <v>谢晓霞</v>
      </c>
      <c r="F371" s="6" t="str">
        <f t="shared" si="22"/>
        <v>女</v>
      </c>
    </row>
    <row r="372" spans="1:6" ht="30" customHeight="1">
      <c r="A372" s="6">
        <v>370</v>
      </c>
      <c r="B372" s="6" t="str">
        <f>"53002023052918264494006"</f>
        <v>53002023052918264494006</v>
      </c>
      <c r="C372" s="6" t="str">
        <f t="shared" si="19"/>
        <v>0106</v>
      </c>
      <c r="D372" s="6" t="s">
        <v>12</v>
      </c>
      <c r="E372" s="6" t="str">
        <f>"李誉丹"</f>
        <v>李誉丹</v>
      </c>
      <c r="F372" s="6" t="str">
        <f t="shared" si="22"/>
        <v>女</v>
      </c>
    </row>
    <row r="373" spans="1:6" ht="30" customHeight="1">
      <c r="A373" s="6">
        <v>371</v>
      </c>
      <c r="B373" s="6" t="str">
        <f>"53002023052715302485124"</f>
        <v>53002023052715302485124</v>
      </c>
      <c r="C373" s="6" t="str">
        <f t="shared" si="19"/>
        <v>0106</v>
      </c>
      <c r="D373" s="6" t="s">
        <v>12</v>
      </c>
      <c r="E373" s="6" t="str">
        <f>"董诗钰"</f>
        <v>董诗钰</v>
      </c>
      <c r="F373" s="6" t="str">
        <f t="shared" si="22"/>
        <v>女</v>
      </c>
    </row>
    <row r="374" spans="1:6" ht="30" customHeight="1">
      <c r="A374" s="6">
        <v>372</v>
      </c>
      <c r="B374" s="6" t="str">
        <f>"53002023053015054198322"</f>
        <v>53002023053015054198322</v>
      </c>
      <c r="C374" s="6" t="str">
        <f t="shared" si="19"/>
        <v>0106</v>
      </c>
      <c r="D374" s="6" t="s">
        <v>12</v>
      </c>
      <c r="E374" s="6" t="str">
        <f>"郑旋"</f>
        <v>郑旋</v>
      </c>
      <c r="F374" s="6" t="str">
        <f t="shared" si="22"/>
        <v>女</v>
      </c>
    </row>
    <row r="375" spans="1:6" ht="30" customHeight="1">
      <c r="A375" s="6">
        <v>373</v>
      </c>
      <c r="B375" s="6" t="str">
        <f>"53002023053016030798692"</f>
        <v>53002023053016030798692</v>
      </c>
      <c r="C375" s="6" t="str">
        <f t="shared" si="19"/>
        <v>0106</v>
      </c>
      <c r="D375" s="6" t="s">
        <v>12</v>
      </c>
      <c r="E375" s="6" t="str">
        <f>"谢丹"</f>
        <v>谢丹</v>
      </c>
      <c r="F375" s="6" t="str">
        <f t="shared" si="22"/>
        <v>女</v>
      </c>
    </row>
    <row r="376" spans="1:6" ht="30" customHeight="1">
      <c r="A376" s="6">
        <v>374</v>
      </c>
      <c r="B376" s="6" t="str">
        <f>"53002023053015075998339"</f>
        <v>53002023053015075998339</v>
      </c>
      <c r="C376" s="6" t="str">
        <f t="shared" si="19"/>
        <v>0106</v>
      </c>
      <c r="D376" s="6" t="s">
        <v>12</v>
      </c>
      <c r="E376" s="6" t="str">
        <f>"刘玉花"</f>
        <v>刘玉花</v>
      </c>
      <c r="F376" s="6" t="str">
        <f t="shared" si="22"/>
        <v>女</v>
      </c>
    </row>
    <row r="377" spans="1:6" ht="30" customHeight="1">
      <c r="A377" s="6">
        <v>375</v>
      </c>
      <c r="B377" s="6" t="str">
        <f>"53002023053016262698851"</f>
        <v>53002023053016262698851</v>
      </c>
      <c r="C377" s="6" t="str">
        <f t="shared" si="19"/>
        <v>0106</v>
      </c>
      <c r="D377" s="6" t="s">
        <v>12</v>
      </c>
      <c r="E377" s="6" t="str">
        <f>"莫启燕"</f>
        <v>莫启燕</v>
      </c>
      <c r="F377" s="6" t="str">
        <f t="shared" si="22"/>
        <v>女</v>
      </c>
    </row>
    <row r="378" spans="1:6" ht="30" customHeight="1">
      <c r="A378" s="6">
        <v>376</v>
      </c>
      <c r="B378" s="6" t="str">
        <f>"53002023053016091198733"</f>
        <v>53002023053016091198733</v>
      </c>
      <c r="C378" s="6" t="str">
        <f t="shared" si="19"/>
        <v>0106</v>
      </c>
      <c r="D378" s="6" t="s">
        <v>12</v>
      </c>
      <c r="E378" s="6" t="str">
        <f>"陈泽塔"</f>
        <v>陈泽塔</v>
      </c>
      <c r="F378" s="6" t="str">
        <f>"男"</f>
        <v>男</v>
      </c>
    </row>
    <row r="379" spans="1:6" ht="30" customHeight="1">
      <c r="A379" s="6">
        <v>377</v>
      </c>
      <c r="B379" s="6" t="str">
        <f>"53002023053017222299190"</f>
        <v>53002023053017222299190</v>
      </c>
      <c r="C379" s="6" t="str">
        <f t="shared" si="19"/>
        <v>0106</v>
      </c>
      <c r="D379" s="6" t="s">
        <v>12</v>
      </c>
      <c r="E379" s="6" t="str">
        <f>"李香妮"</f>
        <v>李香妮</v>
      </c>
      <c r="F379" s="6" t="str">
        <f aca="true" t="shared" si="23" ref="F379:F395">"女"</f>
        <v>女</v>
      </c>
    </row>
    <row r="380" spans="1:6" ht="30" customHeight="1">
      <c r="A380" s="6">
        <v>378</v>
      </c>
      <c r="B380" s="6" t="str">
        <f>"53002023053017453699317"</f>
        <v>53002023053017453699317</v>
      </c>
      <c r="C380" s="6" t="str">
        <f t="shared" si="19"/>
        <v>0106</v>
      </c>
      <c r="D380" s="6" t="s">
        <v>12</v>
      </c>
      <c r="E380" s="6" t="str">
        <f>"黄小燕"</f>
        <v>黄小燕</v>
      </c>
      <c r="F380" s="6" t="str">
        <f t="shared" si="23"/>
        <v>女</v>
      </c>
    </row>
    <row r="381" spans="1:6" ht="30" customHeight="1">
      <c r="A381" s="6">
        <v>379</v>
      </c>
      <c r="B381" s="6" t="str">
        <f>"53002023052807180786733"</f>
        <v>53002023052807180786733</v>
      </c>
      <c r="C381" s="6" t="str">
        <f t="shared" si="19"/>
        <v>0106</v>
      </c>
      <c r="D381" s="6" t="s">
        <v>12</v>
      </c>
      <c r="E381" s="6" t="str">
        <f>"周慧珍"</f>
        <v>周慧珍</v>
      </c>
      <c r="F381" s="6" t="str">
        <f t="shared" si="23"/>
        <v>女</v>
      </c>
    </row>
    <row r="382" spans="1:6" ht="30" customHeight="1">
      <c r="A382" s="6">
        <v>380</v>
      </c>
      <c r="B382" s="6" t="str">
        <f>"53002023053019365599770"</f>
        <v>53002023053019365599770</v>
      </c>
      <c r="C382" s="6" t="str">
        <f t="shared" si="19"/>
        <v>0106</v>
      </c>
      <c r="D382" s="6" t="s">
        <v>12</v>
      </c>
      <c r="E382" s="6" t="str">
        <f>"周灯知"</f>
        <v>周灯知</v>
      </c>
      <c r="F382" s="6" t="str">
        <f t="shared" si="23"/>
        <v>女</v>
      </c>
    </row>
    <row r="383" spans="1:6" ht="30" customHeight="1">
      <c r="A383" s="6">
        <v>381</v>
      </c>
      <c r="B383" s="6" t="str">
        <f>"53002023052910205990680"</f>
        <v>53002023052910205990680</v>
      </c>
      <c r="C383" s="6" t="str">
        <f t="shared" si="19"/>
        <v>0106</v>
      </c>
      <c r="D383" s="6" t="s">
        <v>12</v>
      </c>
      <c r="E383" s="6" t="str">
        <f>"周小兰"</f>
        <v>周小兰</v>
      </c>
      <c r="F383" s="6" t="str">
        <f t="shared" si="23"/>
        <v>女</v>
      </c>
    </row>
    <row r="384" spans="1:6" ht="30" customHeight="1">
      <c r="A384" s="6">
        <v>382</v>
      </c>
      <c r="B384" s="6" t="str">
        <f>"53002023052916240493312"</f>
        <v>53002023052916240493312</v>
      </c>
      <c r="C384" s="6" t="str">
        <f t="shared" si="19"/>
        <v>0106</v>
      </c>
      <c r="D384" s="6" t="s">
        <v>12</v>
      </c>
      <c r="E384" s="6" t="str">
        <f>"符开彩"</f>
        <v>符开彩</v>
      </c>
      <c r="F384" s="6" t="str">
        <f t="shared" si="23"/>
        <v>女</v>
      </c>
    </row>
    <row r="385" spans="1:6" ht="30" customHeight="1">
      <c r="A385" s="6">
        <v>383</v>
      </c>
      <c r="B385" s="6" t="str">
        <f>"53002023052713550684817"</f>
        <v>53002023052713550684817</v>
      </c>
      <c r="C385" s="6" t="str">
        <f t="shared" si="19"/>
        <v>0106</v>
      </c>
      <c r="D385" s="6" t="s">
        <v>12</v>
      </c>
      <c r="E385" s="6" t="str">
        <f>"符兰秀"</f>
        <v>符兰秀</v>
      </c>
      <c r="F385" s="6" t="str">
        <f t="shared" si="23"/>
        <v>女</v>
      </c>
    </row>
    <row r="386" spans="1:6" ht="30" customHeight="1">
      <c r="A386" s="6">
        <v>384</v>
      </c>
      <c r="B386" s="6" t="str">
        <f>"530020230530210636100187"</f>
        <v>530020230530210636100187</v>
      </c>
      <c r="C386" s="6" t="str">
        <f t="shared" si="19"/>
        <v>0106</v>
      </c>
      <c r="D386" s="6" t="s">
        <v>12</v>
      </c>
      <c r="E386" s="6" t="str">
        <f>"廖小娴"</f>
        <v>廖小娴</v>
      </c>
      <c r="F386" s="6" t="str">
        <f t="shared" si="23"/>
        <v>女</v>
      </c>
    </row>
    <row r="387" spans="1:6" ht="30" customHeight="1">
      <c r="A387" s="6">
        <v>385</v>
      </c>
      <c r="B387" s="6" t="str">
        <f>"53002023052813443887515"</f>
        <v>53002023052813443887515</v>
      </c>
      <c r="C387" s="6" t="str">
        <f aca="true" t="shared" si="24" ref="C387:C428">"0106"</f>
        <v>0106</v>
      </c>
      <c r="D387" s="6" t="s">
        <v>12</v>
      </c>
      <c r="E387" s="6" t="str">
        <f>"高柳南"</f>
        <v>高柳南</v>
      </c>
      <c r="F387" s="6" t="str">
        <f t="shared" si="23"/>
        <v>女</v>
      </c>
    </row>
    <row r="388" spans="1:6" ht="30" customHeight="1">
      <c r="A388" s="6">
        <v>386</v>
      </c>
      <c r="B388" s="6" t="str">
        <f>"53002023052913004592033"</f>
        <v>53002023052913004592033</v>
      </c>
      <c r="C388" s="6" t="str">
        <f t="shared" si="24"/>
        <v>0106</v>
      </c>
      <c r="D388" s="6" t="s">
        <v>12</v>
      </c>
      <c r="E388" s="6" t="str">
        <f>"罗晓欣"</f>
        <v>罗晓欣</v>
      </c>
      <c r="F388" s="6" t="str">
        <f t="shared" si="23"/>
        <v>女</v>
      </c>
    </row>
    <row r="389" spans="1:6" ht="30" customHeight="1">
      <c r="A389" s="6">
        <v>387</v>
      </c>
      <c r="B389" s="6" t="str">
        <f>"53002023053012291097547"</f>
        <v>53002023053012291097547</v>
      </c>
      <c r="C389" s="6" t="str">
        <f t="shared" si="24"/>
        <v>0106</v>
      </c>
      <c r="D389" s="6" t="s">
        <v>12</v>
      </c>
      <c r="E389" s="6" t="str">
        <f>"张芳梅"</f>
        <v>张芳梅</v>
      </c>
      <c r="F389" s="6" t="str">
        <f t="shared" si="23"/>
        <v>女</v>
      </c>
    </row>
    <row r="390" spans="1:6" ht="30" customHeight="1">
      <c r="A390" s="6">
        <v>388</v>
      </c>
      <c r="B390" s="6" t="str">
        <f>"530020230530231347100812"</f>
        <v>530020230530231347100812</v>
      </c>
      <c r="C390" s="6" t="str">
        <f t="shared" si="24"/>
        <v>0106</v>
      </c>
      <c r="D390" s="6" t="s">
        <v>12</v>
      </c>
      <c r="E390" s="6" t="str">
        <f>"王小琴"</f>
        <v>王小琴</v>
      </c>
      <c r="F390" s="6" t="str">
        <f t="shared" si="23"/>
        <v>女</v>
      </c>
    </row>
    <row r="391" spans="1:6" ht="30" customHeight="1">
      <c r="A391" s="6">
        <v>389</v>
      </c>
      <c r="B391" s="6" t="str">
        <f>"530020230531085643101306"</f>
        <v>530020230531085643101306</v>
      </c>
      <c r="C391" s="6" t="str">
        <f t="shared" si="24"/>
        <v>0106</v>
      </c>
      <c r="D391" s="6" t="s">
        <v>12</v>
      </c>
      <c r="E391" s="6" t="str">
        <f>"王雪妮"</f>
        <v>王雪妮</v>
      </c>
      <c r="F391" s="6" t="str">
        <f t="shared" si="23"/>
        <v>女</v>
      </c>
    </row>
    <row r="392" spans="1:6" ht="30" customHeight="1">
      <c r="A392" s="6">
        <v>390</v>
      </c>
      <c r="B392" s="6" t="str">
        <f>"53002023053015111498353"</f>
        <v>53002023053015111498353</v>
      </c>
      <c r="C392" s="6" t="str">
        <f t="shared" si="24"/>
        <v>0106</v>
      </c>
      <c r="D392" s="6" t="s">
        <v>12</v>
      </c>
      <c r="E392" s="6" t="str">
        <f>"郭圣汝"</f>
        <v>郭圣汝</v>
      </c>
      <c r="F392" s="6" t="str">
        <f t="shared" si="23"/>
        <v>女</v>
      </c>
    </row>
    <row r="393" spans="1:6" ht="30" customHeight="1">
      <c r="A393" s="6">
        <v>391</v>
      </c>
      <c r="B393" s="6" t="str">
        <f>"53002023052922580595401"</f>
        <v>53002023052922580595401</v>
      </c>
      <c r="C393" s="6" t="str">
        <f t="shared" si="24"/>
        <v>0106</v>
      </c>
      <c r="D393" s="6" t="s">
        <v>12</v>
      </c>
      <c r="E393" s="6" t="str">
        <f>"王萍"</f>
        <v>王萍</v>
      </c>
      <c r="F393" s="6" t="str">
        <f t="shared" si="23"/>
        <v>女</v>
      </c>
    </row>
    <row r="394" spans="1:6" ht="30" customHeight="1">
      <c r="A394" s="6">
        <v>392</v>
      </c>
      <c r="B394" s="6" t="str">
        <f>"530020230531094506101653"</f>
        <v>530020230531094506101653</v>
      </c>
      <c r="C394" s="6" t="str">
        <f t="shared" si="24"/>
        <v>0106</v>
      </c>
      <c r="D394" s="6" t="s">
        <v>12</v>
      </c>
      <c r="E394" s="6" t="str">
        <f>"董美妤"</f>
        <v>董美妤</v>
      </c>
      <c r="F394" s="6" t="str">
        <f t="shared" si="23"/>
        <v>女</v>
      </c>
    </row>
    <row r="395" spans="1:6" ht="30" customHeight="1">
      <c r="A395" s="6">
        <v>393</v>
      </c>
      <c r="B395" s="6" t="str">
        <f>"530020230531105001102114"</f>
        <v>530020230531105001102114</v>
      </c>
      <c r="C395" s="6" t="str">
        <f t="shared" si="24"/>
        <v>0106</v>
      </c>
      <c r="D395" s="6" t="s">
        <v>12</v>
      </c>
      <c r="E395" s="6" t="str">
        <f>"董翠浪"</f>
        <v>董翠浪</v>
      </c>
      <c r="F395" s="6" t="str">
        <f t="shared" si="23"/>
        <v>女</v>
      </c>
    </row>
    <row r="396" spans="1:6" ht="30" customHeight="1">
      <c r="A396" s="6">
        <v>394</v>
      </c>
      <c r="B396" s="6" t="str">
        <f>"53002023052816563788018"</f>
        <v>53002023052816563788018</v>
      </c>
      <c r="C396" s="6" t="str">
        <f t="shared" si="24"/>
        <v>0106</v>
      </c>
      <c r="D396" s="6" t="s">
        <v>12</v>
      </c>
      <c r="E396" s="6" t="str">
        <f>"李黔勇"</f>
        <v>李黔勇</v>
      </c>
      <c r="F396" s="6" t="str">
        <f>"男"</f>
        <v>男</v>
      </c>
    </row>
    <row r="397" spans="1:6" ht="30" customHeight="1">
      <c r="A397" s="6">
        <v>395</v>
      </c>
      <c r="B397" s="6" t="str">
        <f>"53002023053011584697394"</f>
        <v>53002023053011584697394</v>
      </c>
      <c r="C397" s="6" t="str">
        <f t="shared" si="24"/>
        <v>0106</v>
      </c>
      <c r="D397" s="6" t="s">
        <v>12</v>
      </c>
      <c r="E397" s="6" t="str">
        <f>"周小妙"</f>
        <v>周小妙</v>
      </c>
      <c r="F397" s="6" t="str">
        <f>"女"</f>
        <v>女</v>
      </c>
    </row>
    <row r="398" spans="1:6" ht="30" customHeight="1">
      <c r="A398" s="6">
        <v>396</v>
      </c>
      <c r="B398" s="6" t="str">
        <f>"530020230531154139103404"</f>
        <v>530020230531154139103404</v>
      </c>
      <c r="C398" s="6" t="str">
        <f t="shared" si="24"/>
        <v>0106</v>
      </c>
      <c r="D398" s="6" t="s">
        <v>12</v>
      </c>
      <c r="E398" s="6" t="str">
        <f>"郭学海"</f>
        <v>郭学海</v>
      </c>
      <c r="F398" s="6" t="str">
        <f>"男"</f>
        <v>男</v>
      </c>
    </row>
    <row r="399" spans="1:6" ht="30" customHeight="1">
      <c r="A399" s="6">
        <v>397</v>
      </c>
      <c r="B399" s="6" t="str">
        <f>"53002023052810532187056"</f>
        <v>53002023052810532187056</v>
      </c>
      <c r="C399" s="6" t="str">
        <f t="shared" si="24"/>
        <v>0106</v>
      </c>
      <c r="D399" s="6" t="s">
        <v>12</v>
      </c>
      <c r="E399" s="6" t="str">
        <f>"李小燕"</f>
        <v>李小燕</v>
      </c>
      <c r="F399" s="6" t="str">
        <f>"女"</f>
        <v>女</v>
      </c>
    </row>
    <row r="400" spans="1:6" ht="30" customHeight="1">
      <c r="A400" s="6">
        <v>398</v>
      </c>
      <c r="B400" s="6" t="str">
        <f>"53002023053016290598867"</f>
        <v>53002023053016290598867</v>
      </c>
      <c r="C400" s="6" t="str">
        <f t="shared" si="24"/>
        <v>0106</v>
      </c>
      <c r="D400" s="6" t="s">
        <v>12</v>
      </c>
      <c r="E400" s="6" t="str">
        <f>"赵春娇"</f>
        <v>赵春娇</v>
      </c>
      <c r="F400" s="6" t="str">
        <f>"女"</f>
        <v>女</v>
      </c>
    </row>
    <row r="401" spans="1:6" ht="30" customHeight="1">
      <c r="A401" s="6">
        <v>399</v>
      </c>
      <c r="B401" s="6" t="str">
        <f>"530020230531165939103809"</f>
        <v>530020230531165939103809</v>
      </c>
      <c r="C401" s="6" t="str">
        <f t="shared" si="24"/>
        <v>0106</v>
      </c>
      <c r="D401" s="6" t="s">
        <v>12</v>
      </c>
      <c r="E401" s="6" t="str">
        <f>"符永程"</f>
        <v>符永程</v>
      </c>
      <c r="F401" s="6" t="str">
        <f>"男"</f>
        <v>男</v>
      </c>
    </row>
    <row r="402" spans="1:6" ht="30" customHeight="1">
      <c r="A402" s="6">
        <v>400</v>
      </c>
      <c r="B402" s="6" t="str">
        <f>"530020230531173136103941"</f>
        <v>530020230531173136103941</v>
      </c>
      <c r="C402" s="6" t="str">
        <f t="shared" si="24"/>
        <v>0106</v>
      </c>
      <c r="D402" s="6" t="s">
        <v>12</v>
      </c>
      <c r="E402" s="6" t="str">
        <f>"符云星"</f>
        <v>符云星</v>
      </c>
      <c r="F402" s="6" t="str">
        <f aca="true" t="shared" si="25" ref="F402:F429">"女"</f>
        <v>女</v>
      </c>
    </row>
    <row r="403" spans="1:6" ht="30" customHeight="1">
      <c r="A403" s="6">
        <v>401</v>
      </c>
      <c r="B403" s="6" t="str">
        <f>"530020230531174820103999"</f>
        <v>530020230531174820103999</v>
      </c>
      <c r="C403" s="6" t="str">
        <f t="shared" si="24"/>
        <v>0106</v>
      </c>
      <c r="D403" s="6" t="s">
        <v>12</v>
      </c>
      <c r="E403" s="6" t="str">
        <f>"苏丽晓"</f>
        <v>苏丽晓</v>
      </c>
      <c r="F403" s="6" t="str">
        <f t="shared" si="25"/>
        <v>女</v>
      </c>
    </row>
    <row r="404" spans="1:6" ht="30" customHeight="1">
      <c r="A404" s="6">
        <v>402</v>
      </c>
      <c r="B404" s="6" t="str">
        <f>"530020230531180521104061"</f>
        <v>530020230531180521104061</v>
      </c>
      <c r="C404" s="6" t="str">
        <f t="shared" si="24"/>
        <v>0106</v>
      </c>
      <c r="D404" s="6" t="s">
        <v>12</v>
      </c>
      <c r="E404" s="6" t="str">
        <f>"李妹妹"</f>
        <v>李妹妹</v>
      </c>
      <c r="F404" s="6" t="str">
        <f t="shared" si="25"/>
        <v>女</v>
      </c>
    </row>
    <row r="405" spans="1:6" ht="30" customHeight="1">
      <c r="A405" s="6">
        <v>403</v>
      </c>
      <c r="B405" s="6" t="str">
        <f>"530020230531180918104072"</f>
        <v>530020230531180918104072</v>
      </c>
      <c r="C405" s="6" t="str">
        <f t="shared" si="24"/>
        <v>0106</v>
      </c>
      <c r="D405" s="6" t="s">
        <v>12</v>
      </c>
      <c r="E405" s="6" t="str">
        <f>"陈燕"</f>
        <v>陈燕</v>
      </c>
      <c r="F405" s="6" t="str">
        <f t="shared" si="25"/>
        <v>女</v>
      </c>
    </row>
    <row r="406" spans="1:6" ht="30" customHeight="1">
      <c r="A406" s="6">
        <v>404</v>
      </c>
      <c r="B406" s="6" t="str">
        <f>"53002023052921364594939"</f>
        <v>53002023052921364594939</v>
      </c>
      <c r="C406" s="6" t="str">
        <f t="shared" si="24"/>
        <v>0106</v>
      </c>
      <c r="D406" s="6" t="s">
        <v>12</v>
      </c>
      <c r="E406" s="6" t="str">
        <f>"符紫雯"</f>
        <v>符紫雯</v>
      </c>
      <c r="F406" s="6" t="str">
        <f t="shared" si="25"/>
        <v>女</v>
      </c>
    </row>
    <row r="407" spans="1:6" ht="30" customHeight="1">
      <c r="A407" s="6">
        <v>405</v>
      </c>
      <c r="B407" s="6" t="str">
        <f>"530020230531192344104267"</f>
        <v>530020230531192344104267</v>
      </c>
      <c r="C407" s="6" t="str">
        <f t="shared" si="24"/>
        <v>0106</v>
      </c>
      <c r="D407" s="6" t="s">
        <v>12</v>
      </c>
      <c r="E407" s="6" t="str">
        <f>"谢升婕"</f>
        <v>谢升婕</v>
      </c>
      <c r="F407" s="6" t="str">
        <f t="shared" si="25"/>
        <v>女</v>
      </c>
    </row>
    <row r="408" spans="1:6" ht="30" customHeight="1">
      <c r="A408" s="6">
        <v>406</v>
      </c>
      <c r="B408" s="6" t="str">
        <f>"53002023052919024194150"</f>
        <v>53002023052919024194150</v>
      </c>
      <c r="C408" s="6" t="str">
        <f t="shared" si="24"/>
        <v>0106</v>
      </c>
      <c r="D408" s="6" t="s">
        <v>12</v>
      </c>
      <c r="E408" s="6" t="str">
        <f>"许炳菲"</f>
        <v>许炳菲</v>
      </c>
      <c r="F408" s="6" t="str">
        <f t="shared" si="25"/>
        <v>女</v>
      </c>
    </row>
    <row r="409" spans="1:6" ht="30" customHeight="1">
      <c r="A409" s="6">
        <v>407</v>
      </c>
      <c r="B409" s="6" t="str">
        <f>"530020230531223002104869"</f>
        <v>530020230531223002104869</v>
      </c>
      <c r="C409" s="6" t="str">
        <f t="shared" si="24"/>
        <v>0106</v>
      </c>
      <c r="D409" s="6" t="s">
        <v>12</v>
      </c>
      <c r="E409" s="6" t="str">
        <f>"周晶晶"</f>
        <v>周晶晶</v>
      </c>
      <c r="F409" s="6" t="str">
        <f t="shared" si="25"/>
        <v>女</v>
      </c>
    </row>
    <row r="410" spans="1:6" ht="30" customHeight="1">
      <c r="A410" s="6">
        <v>408</v>
      </c>
      <c r="B410" s="6" t="str">
        <f>"530020230531225331104966"</f>
        <v>530020230531225331104966</v>
      </c>
      <c r="C410" s="6" t="str">
        <f t="shared" si="24"/>
        <v>0106</v>
      </c>
      <c r="D410" s="6" t="s">
        <v>12</v>
      </c>
      <c r="E410" s="6" t="str">
        <f>"蔡小瑜"</f>
        <v>蔡小瑜</v>
      </c>
      <c r="F410" s="6" t="str">
        <f t="shared" si="25"/>
        <v>女</v>
      </c>
    </row>
    <row r="411" spans="1:6" ht="30" customHeight="1">
      <c r="A411" s="6">
        <v>409</v>
      </c>
      <c r="B411" s="6" t="str">
        <f>"53002023053015064698327"</f>
        <v>53002023053015064698327</v>
      </c>
      <c r="C411" s="6" t="str">
        <f t="shared" si="24"/>
        <v>0106</v>
      </c>
      <c r="D411" s="6" t="s">
        <v>12</v>
      </c>
      <c r="E411" s="6" t="str">
        <f>"符晓凤"</f>
        <v>符晓凤</v>
      </c>
      <c r="F411" s="6" t="str">
        <f t="shared" si="25"/>
        <v>女</v>
      </c>
    </row>
    <row r="412" spans="1:6" ht="30" customHeight="1">
      <c r="A412" s="6">
        <v>410</v>
      </c>
      <c r="B412" s="6" t="str">
        <f>"530020230601090422105433"</f>
        <v>530020230601090422105433</v>
      </c>
      <c r="C412" s="6" t="str">
        <f t="shared" si="24"/>
        <v>0106</v>
      </c>
      <c r="D412" s="6" t="s">
        <v>12</v>
      </c>
      <c r="E412" s="6" t="str">
        <f>"邓诗慧"</f>
        <v>邓诗慧</v>
      </c>
      <c r="F412" s="6" t="str">
        <f t="shared" si="25"/>
        <v>女</v>
      </c>
    </row>
    <row r="413" spans="1:6" ht="30" customHeight="1">
      <c r="A413" s="6">
        <v>411</v>
      </c>
      <c r="B413" s="6" t="str">
        <f>"530020230601083119105309"</f>
        <v>530020230601083119105309</v>
      </c>
      <c r="C413" s="6" t="str">
        <f t="shared" si="24"/>
        <v>0106</v>
      </c>
      <c r="D413" s="6" t="s">
        <v>12</v>
      </c>
      <c r="E413" s="6" t="str">
        <f>"林蔓蕾"</f>
        <v>林蔓蕾</v>
      </c>
      <c r="F413" s="6" t="str">
        <f t="shared" si="25"/>
        <v>女</v>
      </c>
    </row>
    <row r="414" spans="1:6" ht="30" customHeight="1">
      <c r="A414" s="6">
        <v>412</v>
      </c>
      <c r="B414" s="6" t="str">
        <f>"53002023053018571799610"</f>
        <v>53002023053018571799610</v>
      </c>
      <c r="C414" s="6" t="str">
        <f t="shared" si="24"/>
        <v>0106</v>
      </c>
      <c r="D414" s="6" t="s">
        <v>12</v>
      </c>
      <c r="E414" s="6" t="str">
        <f>"谭慧艳"</f>
        <v>谭慧艳</v>
      </c>
      <c r="F414" s="6" t="str">
        <f t="shared" si="25"/>
        <v>女</v>
      </c>
    </row>
    <row r="415" spans="1:6" ht="30" customHeight="1">
      <c r="A415" s="6">
        <v>413</v>
      </c>
      <c r="B415" s="6" t="str">
        <f>"530020230531001108100963"</f>
        <v>530020230531001108100963</v>
      </c>
      <c r="C415" s="6" t="str">
        <f t="shared" si="24"/>
        <v>0106</v>
      </c>
      <c r="D415" s="6" t="s">
        <v>12</v>
      </c>
      <c r="E415" s="6" t="str">
        <f>"陈春金"</f>
        <v>陈春金</v>
      </c>
      <c r="F415" s="6" t="str">
        <f t="shared" si="25"/>
        <v>女</v>
      </c>
    </row>
    <row r="416" spans="1:6" ht="30" customHeight="1">
      <c r="A416" s="6">
        <v>414</v>
      </c>
      <c r="B416" s="6" t="str">
        <f>"530020230601092220105566"</f>
        <v>530020230601092220105566</v>
      </c>
      <c r="C416" s="6" t="str">
        <f t="shared" si="24"/>
        <v>0106</v>
      </c>
      <c r="D416" s="6" t="s">
        <v>12</v>
      </c>
      <c r="E416" s="6" t="str">
        <f>"朱玉敏"</f>
        <v>朱玉敏</v>
      </c>
      <c r="F416" s="6" t="str">
        <f t="shared" si="25"/>
        <v>女</v>
      </c>
    </row>
    <row r="417" spans="1:6" ht="30" customHeight="1">
      <c r="A417" s="6">
        <v>415</v>
      </c>
      <c r="B417" s="6" t="str">
        <f>"53002023052915301392874"</f>
        <v>53002023052915301392874</v>
      </c>
      <c r="C417" s="6" t="str">
        <f t="shared" si="24"/>
        <v>0106</v>
      </c>
      <c r="D417" s="6" t="s">
        <v>12</v>
      </c>
      <c r="E417" s="6" t="str">
        <f>"徐宝贝"</f>
        <v>徐宝贝</v>
      </c>
      <c r="F417" s="6" t="str">
        <f t="shared" si="25"/>
        <v>女</v>
      </c>
    </row>
    <row r="418" spans="1:6" ht="30" customHeight="1">
      <c r="A418" s="6">
        <v>416</v>
      </c>
      <c r="B418" s="6" t="str">
        <f>"530020230601133309106944"</f>
        <v>530020230601133309106944</v>
      </c>
      <c r="C418" s="6" t="str">
        <f t="shared" si="24"/>
        <v>0106</v>
      </c>
      <c r="D418" s="6" t="s">
        <v>12</v>
      </c>
      <c r="E418" s="6" t="str">
        <f>"黄沛沛"</f>
        <v>黄沛沛</v>
      </c>
      <c r="F418" s="6" t="str">
        <f t="shared" si="25"/>
        <v>女</v>
      </c>
    </row>
    <row r="419" spans="1:6" ht="30" customHeight="1">
      <c r="A419" s="6">
        <v>417</v>
      </c>
      <c r="B419" s="6" t="str">
        <f>"530020230531212332104640"</f>
        <v>530020230531212332104640</v>
      </c>
      <c r="C419" s="6" t="str">
        <f t="shared" si="24"/>
        <v>0106</v>
      </c>
      <c r="D419" s="6" t="s">
        <v>12</v>
      </c>
      <c r="E419" s="6" t="str">
        <f>"薛迪文"</f>
        <v>薛迪文</v>
      </c>
      <c r="F419" s="6" t="str">
        <f t="shared" si="25"/>
        <v>女</v>
      </c>
    </row>
    <row r="420" spans="1:6" ht="30" customHeight="1">
      <c r="A420" s="6">
        <v>418</v>
      </c>
      <c r="B420" s="6" t="str">
        <f>"530020230601220416108777"</f>
        <v>530020230601220416108777</v>
      </c>
      <c r="C420" s="6" t="str">
        <f t="shared" si="24"/>
        <v>0106</v>
      </c>
      <c r="D420" s="6" t="s">
        <v>12</v>
      </c>
      <c r="E420" s="6" t="str">
        <f>"徐长女"</f>
        <v>徐长女</v>
      </c>
      <c r="F420" s="6" t="str">
        <f t="shared" si="25"/>
        <v>女</v>
      </c>
    </row>
    <row r="421" spans="1:6" ht="30" customHeight="1">
      <c r="A421" s="6">
        <v>419</v>
      </c>
      <c r="B421" s="6" t="str">
        <f>"53002023053012212197500"</f>
        <v>53002023053012212197500</v>
      </c>
      <c r="C421" s="6" t="str">
        <f t="shared" si="24"/>
        <v>0106</v>
      </c>
      <c r="D421" s="6" t="s">
        <v>12</v>
      </c>
      <c r="E421" s="6" t="str">
        <f>"梁德娟"</f>
        <v>梁德娟</v>
      </c>
      <c r="F421" s="6" t="str">
        <f t="shared" si="25"/>
        <v>女</v>
      </c>
    </row>
    <row r="422" spans="1:6" ht="30" customHeight="1">
      <c r="A422" s="6">
        <v>420</v>
      </c>
      <c r="B422" s="6" t="str">
        <f>"530020230601150903107276"</f>
        <v>530020230601150903107276</v>
      </c>
      <c r="C422" s="6" t="str">
        <f t="shared" si="24"/>
        <v>0106</v>
      </c>
      <c r="D422" s="6" t="s">
        <v>12</v>
      </c>
      <c r="E422" s="6" t="str">
        <f>"黄佳谊"</f>
        <v>黄佳谊</v>
      </c>
      <c r="F422" s="6" t="str">
        <f t="shared" si="25"/>
        <v>女</v>
      </c>
    </row>
    <row r="423" spans="1:6" ht="30" customHeight="1">
      <c r="A423" s="6">
        <v>421</v>
      </c>
      <c r="B423" s="6" t="str">
        <f>"530020230601215428108735"</f>
        <v>530020230601215428108735</v>
      </c>
      <c r="C423" s="6" t="str">
        <f t="shared" si="24"/>
        <v>0106</v>
      </c>
      <c r="D423" s="6" t="s">
        <v>12</v>
      </c>
      <c r="E423" s="6" t="str">
        <f>"李丽珠"</f>
        <v>李丽珠</v>
      </c>
      <c r="F423" s="6" t="str">
        <f t="shared" si="25"/>
        <v>女</v>
      </c>
    </row>
    <row r="424" spans="1:6" ht="30" customHeight="1">
      <c r="A424" s="6">
        <v>422</v>
      </c>
      <c r="B424" s="6" t="str">
        <f>"53002023053016455398970"</f>
        <v>53002023053016455398970</v>
      </c>
      <c r="C424" s="6" t="str">
        <f t="shared" si="24"/>
        <v>0106</v>
      </c>
      <c r="D424" s="6" t="s">
        <v>12</v>
      </c>
      <c r="E424" s="6" t="str">
        <f>"周美慧"</f>
        <v>周美慧</v>
      </c>
      <c r="F424" s="6" t="str">
        <f t="shared" si="25"/>
        <v>女</v>
      </c>
    </row>
    <row r="425" spans="1:6" ht="30" customHeight="1">
      <c r="A425" s="6">
        <v>423</v>
      </c>
      <c r="B425" s="6" t="str">
        <f>"530020230602093052109579"</f>
        <v>530020230602093052109579</v>
      </c>
      <c r="C425" s="6" t="str">
        <f t="shared" si="24"/>
        <v>0106</v>
      </c>
      <c r="D425" s="6" t="s">
        <v>12</v>
      </c>
      <c r="E425" s="6" t="str">
        <f>"林志芬"</f>
        <v>林志芬</v>
      </c>
      <c r="F425" s="6" t="str">
        <f t="shared" si="25"/>
        <v>女</v>
      </c>
    </row>
    <row r="426" spans="1:6" ht="30" customHeight="1">
      <c r="A426" s="6">
        <v>424</v>
      </c>
      <c r="B426" s="6" t="str">
        <f>"530020230602074507109298"</f>
        <v>530020230602074507109298</v>
      </c>
      <c r="C426" s="6" t="str">
        <f t="shared" si="24"/>
        <v>0106</v>
      </c>
      <c r="D426" s="6" t="s">
        <v>12</v>
      </c>
      <c r="E426" s="6" t="str">
        <f>"吴晓霞"</f>
        <v>吴晓霞</v>
      </c>
      <c r="F426" s="6" t="str">
        <f t="shared" si="25"/>
        <v>女</v>
      </c>
    </row>
    <row r="427" spans="1:6" ht="30" customHeight="1">
      <c r="A427" s="6">
        <v>425</v>
      </c>
      <c r="B427" s="6" t="str">
        <f>"530020230602103803109855"</f>
        <v>530020230602103803109855</v>
      </c>
      <c r="C427" s="6" t="str">
        <f t="shared" si="24"/>
        <v>0106</v>
      </c>
      <c r="D427" s="6" t="s">
        <v>12</v>
      </c>
      <c r="E427" s="6" t="str">
        <f>"陈桂来"</f>
        <v>陈桂来</v>
      </c>
      <c r="F427" s="6" t="str">
        <f t="shared" si="25"/>
        <v>女</v>
      </c>
    </row>
    <row r="428" spans="1:6" ht="30" customHeight="1">
      <c r="A428" s="6">
        <v>426</v>
      </c>
      <c r="B428" s="6" t="str">
        <f>"530020230601230243108995"</f>
        <v>530020230601230243108995</v>
      </c>
      <c r="C428" s="6" t="str">
        <f t="shared" si="24"/>
        <v>0106</v>
      </c>
      <c r="D428" s="6" t="s">
        <v>12</v>
      </c>
      <c r="E428" s="6" t="str">
        <f>"刘乐乐"</f>
        <v>刘乐乐</v>
      </c>
      <c r="F428" s="6" t="str">
        <f t="shared" si="25"/>
        <v>女</v>
      </c>
    </row>
    <row r="429" spans="1:6" ht="30" customHeight="1">
      <c r="A429" s="6">
        <v>427</v>
      </c>
      <c r="B429" s="6" t="str">
        <f>"53002023052713505284800"</f>
        <v>53002023052713505284800</v>
      </c>
      <c r="C429" s="6" t="str">
        <f aca="true" t="shared" si="26" ref="C429:C492">"0107"</f>
        <v>0107</v>
      </c>
      <c r="D429" s="6" t="s">
        <v>13</v>
      </c>
      <c r="E429" s="6" t="str">
        <f>"李维玲"</f>
        <v>李维玲</v>
      </c>
      <c r="F429" s="6" t="str">
        <f t="shared" si="25"/>
        <v>女</v>
      </c>
    </row>
    <row r="430" spans="1:6" ht="30" customHeight="1">
      <c r="A430" s="6">
        <v>428</v>
      </c>
      <c r="B430" s="6" t="str">
        <f>"53002023052714211184886"</f>
        <v>53002023052714211184886</v>
      </c>
      <c r="C430" s="6" t="str">
        <f t="shared" si="26"/>
        <v>0107</v>
      </c>
      <c r="D430" s="6" t="s">
        <v>13</v>
      </c>
      <c r="E430" s="6" t="str">
        <f>"李学艺"</f>
        <v>李学艺</v>
      </c>
      <c r="F430" s="6" t="str">
        <f>"男"</f>
        <v>男</v>
      </c>
    </row>
    <row r="431" spans="1:6" ht="30" customHeight="1">
      <c r="A431" s="6">
        <v>429</v>
      </c>
      <c r="B431" s="6" t="str">
        <f>"53002023052715115385048"</f>
        <v>53002023052715115385048</v>
      </c>
      <c r="C431" s="6" t="str">
        <f t="shared" si="26"/>
        <v>0107</v>
      </c>
      <c r="D431" s="6" t="s">
        <v>13</v>
      </c>
      <c r="E431" s="6" t="str">
        <f>"陈丽英"</f>
        <v>陈丽英</v>
      </c>
      <c r="F431" s="6" t="str">
        <f>"女"</f>
        <v>女</v>
      </c>
    </row>
    <row r="432" spans="1:6" ht="30" customHeight="1">
      <c r="A432" s="6">
        <v>430</v>
      </c>
      <c r="B432" s="6" t="str">
        <f>"53002023052717143785473"</f>
        <v>53002023052717143785473</v>
      </c>
      <c r="C432" s="6" t="str">
        <f t="shared" si="26"/>
        <v>0107</v>
      </c>
      <c r="D432" s="6" t="s">
        <v>13</v>
      </c>
      <c r="E432" s="6" t="str">
        <f>"邱咏薇"</f>
        <v>邱咏薇</v>
      </c>
      <c r="F432" s="6" t="str">
        <f>"女"</f>
        <v>女</v>
      </c>
    </row>
    <row r="433" spans="1:6" ht="30" customHeight="1">
      <c r="A433" s="6">
        <v>431</v>
      </c>
      <c r="B433" s="6" t="str">
        <f>"53002023052718262285659"</f>
        <v>53002023052718262285659</v>
      </c>
      <c r="C433" s="6" t="str">
        <f t="shared" si="26"/>
        <v>0107</v>
      </c>
      <c r="D433" s="6" t="s">
        <v>13</v>
      </c>
      <c r="E433" s="6" t="str">
        <f>"陈芳燕"</f>
        <v>陈芳燕</v>
      </c>
      <c r="F433" s="6" t="str">
        <f>"女"</f>
        <v>女</v>
      </c>
    </row>
    <row r="434" spans="1:6" ht="30" customHeight="1">
      <c r="A434" s="6">
        <v>432</v>
      </c>
      <c r="B434" s="6" t="str">
        <f>"53002023052722175086366"</f>
        <v>53002023052722175086366</v>
      </c>
      <c r="C434" s="6" t="str">
        <f t="shared" si="26"/>
        <v>0107</v>
      </c>
      <c r="D434" s="6" t="s">
        <v>13</v>
      </c>
      <c r="E434" s="6" t="str">
        <f>"曾学美"</f>
        <v>曾学美</v>
      </c>
      <c r="F434" s="6" t="str">
        <f>"女"</f>
        <v>女</v>
      </c>
    </row>
    <row r="435" spans="1:6" ht="30" customHeight="1">
      <c r="A435" s="6">
        <v>433</v>
      </c>
      <c r="B435" s="6" t="str">
        <f>"53002023052711130384224"</f>
        <v>53002023052711130384224</v>
      </c>
      <c r="C435" s="6" t="str">
        <f t="shared" si="26"/>
        <v>0107</v>
      </c>
      <c r="D435" s="6" t="s">
        <v>13</v>
      </c>
      <c r="E435" s="6" t="str">
        <f>"陆发荣"</f>
        <v>陆发荣</v>
      </c>
      <c r="F435" s="6" t="str">
        <f>"男"</f>
        <v>男</v>
      </c>
    </row>
    <row r="436" spans="1:6" ht="30" customHeight="1">
      <c r="A436" s="6">
        <v>434</v>
      </c>
      <c r="B436" s="6" t="str">
        <f>"53002023052810492587040"</f>
        <v>53002023052810492587040</v>
      </c>
      <c r="C436" s="6" t="str">
        <f t="shared" si="26"/>
        <v>0107</v>
      </c>
      <c r="D436" s="6" t="s">
        <v>13</v>
      </c>
      <c r="E436" s="6" t="str">
        <f>"谢现坤"</f>
        <v>谢现坤</v>
      </c>
      <c r="F436" s="6" t="str">
        <f aca="true" t="shared" si="27" ref="F436:F454">"女"</f>
        <v>女</v>
      </c>
    </row>
    <row r="437" spans="1:6" ht="30" customHeight="1">
      <c r="A437" s="6">
        <v>435</v>
      </c>
      <c r="B437" s="6" t="str">
        <f>"53002023052812401887329"</f>
        <v>53002023052812401887329</v>
      </c>
      <c r="C437" s="6" t="str">
        <f t="shared" si="26"/>
        <v>0107</v>
      </c>
      <c r="D437" s="6" t="s">
        <v>13</v>
      </c>
      <c r="E437" s="6" t="str">
        <f>"陈冬迪"</f>
        <v>陈冬迪</v>
      </c>
      <c r="F437" s="6" t="str">
        <f t="shared" si="27"/>
        <v>女</v>
      </c>
    </row>
    <row r="438" spans="1:6" ht="30" customHeight="1">
      <c r="A438" s="6">
        <v>436</v>
      </c>
      <c r="B438" s="6" t="str">
        <f>"53002023052814465087647"</f>
        <v>53002023052814465087647</v>
      </c>
      <c r="C438" s="6" t="str">
        <f t="shared" si="26"/>
        <v>0107</v>
      </c>
      <c r="D438" s="6" t="s">
        <v>13</v>
      </c>
      <c r="E438" s="6" t="str">
        <f>"何发川"</f>
        <v>何发川</v>
      </c>
      <c r="F438" s="6" t="str">
        <f t="shared" si="27"/>
        <v>女</v>
      </c>
    </row>
    <row r="439" spans="1:6" ht="30" customHeight="1">
      <c r="A439" s="6">
        <v>437</v>
      </c>
      <c r="B439" s="6" t="str">
        <f>"53002023052814502187654"</f>
        <v>53002023052814502187654</v>
      </c>
      <c r="C439" s="6" t="str">
        <f t="shared" si="26"/>
        <v>0107</v>
      </c>
      <c r="D439" s="6" t="s">
        <v>13</v>
      </c>
      <c r="E439" s="6" t="str">
        <f>"刘慧英"</f>
        <v>刘慧英</v>
      </c>
      <c r="F439" s="6" t="str">
        <f t="shared" si="27"/>
        <v>女</v>
      </c>
    </row>
    <row r="440" spans="1:6" ht="30" customHeight="1">
      <c r="A440" s="6">
        <v>438</v>
      </c>
      <c r="B440" s="6" t="str">
        <f>"53002023052823154689239"</f>
        <v>53002023052823154689239</v>
      </c>
      <c r="C440" s="6" t="str">
        <f t="shared" si="26"/>
        <v>0107</v>
      </c>
      <c r="D440" s="6" t="s">
        <v>13</v>
      </c>
      <c r="E440" s="6" t="str">
        <f>"符芮帆"</f>
        <v>符芮帆</v>
      </c>
      <c r="F440" s="6" t="str">
        <f t="shared" si="27"/>
        <v>女</v>
      </c>
    </row>
    <row r="441" spans="1:6" ht="30" customHeight="1">
      <c r="A441" s="6">
        <v>439</v>
      </c>
      <c r="B441" s="6" t="str">
        <f>"53002023052816573088020"</f>
        <v>53002023052816573088020</v>
      </c>
      <c r="C441" s="6" t="str">
        <f t="shared" si="26"/>
        <v>0107</v>
      </c>
      <c r="D441" s="6" t="s">
        <v>13</v>
      </c>
      <c r="E441" s="6" t="str">
        <f>"王秀玲"</f>
        <v>王秀玲</v>
      </c>
      <c r="F441" s="6" t="str">
        <f t="shared" si="27"/>
        <v>女</v>
      </c>
    </row>
    <row r="442" spans="1:6" ht="30" customHeight="1">
      <c r="A442" s="6">
        <v>440</v>
      </c>
      <c r="B442" s="6" t="str">
        <f>"53002023052718125385630"</f>
        <v>53002023052718125385630</v>
      </c>
      <c r="C442" s="6" t="str">
        <f t="shared" si="26"/>
        <v>0107</v>
      </c>
      <c r="D442" s="6" t="s">
        <v>13</v>
      </c>
      <c r="E442" s="6" t="str">
        <f>"陈多翠"</f>
        <v>陈多翠</v>
      </c>
      <c r="F442" s="6" t="str">
        <f t="shared" si="27"/>
        <v>女</v>
      </c>
    </row>
    <row r="443" spans="1:6" ht="30" customHeight="1">
      <c r="A443" s="6">
        <v>441</v>
      </c>
      <c r="B443" s="6" t="str">
        <f>"53002023052908020589472"</f>
        <v>53002023052908020589472</v>
      </c>
      <c r="C443" s="6" t="str">
        <f t="shared" si="26"/>
        <v>0107</v>
      </c>
      <c r="D443" s="6" t="s">
        <v>13</v>
      </c>
      <c r="E443" s="6" t="str">
        <f>"廖梦琦"</f>
        <v>廖梦琦</v>
      </c>
      <c r="F443" s="6" t="str">
        <f t="shared" si="27"/>
        <v>女</v>
      </c>
    </row>
    <row r="444" spans="1:6" ht="30" customHeight="1">
      <c r="A444" s="6">
        <v>442</v>
      </c>
      <c r="B444" s="6" t="str">
        <f>"53002023052908223989537"</f>
        <v>53002023052908223989537</v>
      </c>
      <c r="C444" s="6" t="str">
        <f t="shared" si="26"/>
        <v>0107</v>
      </c>
      <c r="D444" s="6" t="s">
        <v>13</v>
      </c>
      <c r="E444" s="6" t="str">
        <f>"唐俊川"</f>
        <v>唐俊川</v>
      </c>
      <c r="F444" s="6" t="str">
        <f t="shared" si="27"/>
        <v>女</v>
      </c>
    </row>
    <row r="445" spans="1:6" ht="30" customHeight="1">
      <c r="A445" s="6">
        <v>443</v>
      </c>
      <c r="B445" s="6" t="str">
        <f>"53002023052908214789534"</f>
        <v>53002023052908214789534</v>
      </c>
      <c r="C445" s="6" t="str">
        <f t="shared" si="26"/>
        <v>0107</v>
      </c>
      <c r="D445" s="6" t="s">
        <v>13</v>
      </c>
      <c r="E445" s="6" t="str">
        <f>"赵明英"</f>
        <v>赵明英</v>
      </c>
      <c r="F445" s="6" t="str">
        <f t="shared" si="27"/>
        <v>女</v>
      </c>
    </row>
    <row r="446" spans="1:6" ht="30" customHeight="1">
      <c r="A446" s="6">
        <v>444</v>
      </c>
      <c r="B446" s="6" t="str">
        <f>"53002023052910032290479"</f>
        <v>53002023052910032290479</v>
      </c>
      <c r="C446" s="6" t="str">
        <f t="shared" si="26"/>
        <v>0107</v>
      </c>
      <c r="D446" s="6" t="s">
        <v>13</v>
      </c>
      <c r="E446" s="6" t="str">
        <f>"谢浩玲"</f>
        <v>谢浩玲</v>
      </c>
      <c r="F446" s="6" t="str">
        <f t="shared" si="27"/>
        <v>女</v>
      </c>
    </row>
    <row r="447" spans="1:6" ht="30" customHeight="1">
      <c r="A447" s="6">
        <v>445</v>
      </c>
      <c r="B447" s="6" t="str">
        <f>"53002023052910301690785"</f>
        <v>53002023052910301690785</v>
      </c>
      <c r="C447" s="6" t="str">
        <f t="shared" si="26"/>
        <v>0107</v>
      </c>
      <c r="D447" s="6" t="s">
        <v>13</v>
      </c>
      <c r="E447" s="6" t="str">
        <f>"符琪萱"</f>
        <v>符琪萱</v>
      </c>
      <c r="F447" s="6" t="str">
        <f t="shared" si="27"/>
        <v>女</v>
      </c>
    </row>
    <row r="448" spans="1:6" ht="30" customHeight="1">
      <c r="A448" s="6">
        <v>446</v>
      </c>
      <c r="B448" s="6" t="str">
        <f>"53002023052911051791174"</f>
        <v>53002023052911051791174</v>
      </c>
      <c r="C448" s="6" t="str">
        <f t="shared" si="26"/>
        <v>0107</v>
      </c>
      <c r="D448" s="6" t="s">
        <v>13</v>
      </c>
      <c r="E448" s="6" t="str">
        <f>"羊丽英"</f>
        <v>羊丽英</v>
      </c>
      <c r="F448" s="6" t="str">
        <f t="shared" si="27"/>
        <v>女</v>
      </c>
    </row>
    <row r="449" spans="1:6" ht="30" customHeight="1">
      <c r="A449" s="6">
        <v>447</v>
      </c>
      <c r="B449" s="6" t="str">
        <f>"53002023052912054091682"</f>
        <v>53002023052912054091682</v>
      </c>
      <c r="C449" s="6" t="str">
        <f t="shared" si="26"/>
        <v>0107</v>
      </c>
      <c r="D449" s="6" t="s">
        <v>13</v>
      </c>
      <c r="E449" s="6" t="str">
        <f>"黎金玉"</f>
        <v>黎金玉</v>
      </c>
      <c r="F449" s="6" t="str">
        <f t="shared" si="27"/>
        <v>女</v>
      </c>
    </row>
    <row r="450" spans="1:6" ht="30" customHeight="1">
      <c r="A450" s="6">
        <v>448</v>
      </c>
      <c r="B450" s="6" t="str">
        <f>"53002023052911561091614"</f>
        <v>53002023052911561091614</v>
      </c>
      <c r="C450" s="6" t="str">
        <f t="shared" si="26"/>
        <v>0107</v>
      </c>
      <c r="D450" s="6" t="s">
        <v>13</v>
      </c>
      <c r="E450" s="6" t="str">
        <f>"吴有莲"</f>
        <v>吴有莲</v>
      </c>
      <c r="F450" s="6" t="str">
        <f t="shared" si="27"/>
        <v>女</v>
      </c>
    </row>
    <row r="451" spans="1:6" ht="30" customHeight="1">
      <c r="A451" s="6">
        <v>449</v>
      </c>
      <c r="B451" s="6" t="str">
        <f>"53002023052912544992002"</f>
        <v>53002023052912544992002</v>
      </c>
      <c r="C451" s="6" t="str">
        <f t="shared" si="26"/>
        <v>0107</v>
      </c>
      <c r="D451" s="6" t="s">
        <v>13</v>
      </c>
      <c r="E451" s="6" t="str">
        <f>"苏小妹"</f>
        <v>苏小妹</v>
      </c>
      <c r="F451" s="6" t="str">
        <f t="shared" si="27"/>
        <v>女</v>
      </c>
    </row>
    <row r="452" spans="1:6" ht="30" customHeight="1">
      <c r="A452" s="6">
        <v>450</v>
      </c>
      <c r="B452" s="6" t="str">
        <f>"53002023052914090292373"</f>
        <v>53002023052914090292373</v>
      </c>
      <c r="C452" s="6" t="str">
        <f t="shared" si="26"/>
        <v>0107</v>
      </c>
      <c r="D452" s="6" t="s">
        <v>13</v>
      </c>
      <c r="E452" s="6" t="str">
        <f>"冯嫣"</f>
        <v>冯嫣</v>
      </c>
      <c r="F452" s="6" t="str">
        <f t="shared" si="27"/>
        <v>女</v>
      </c>
    </row>
    <row r="453" spans="1:6" ht="30" customHeight="1">
      <c r="A453" s="6">
        <v>451</v>
      </c>
      <c r="B453" s="6" t="str">
        <f>"53002023052910000190449"</f>
        <v>53002023052910000190449</v>
      </c>
      <c r="C453" s="6" t="str">
        <f t="shared" si="26"/>
        <v>0107</v>
      </c>
      <c r="D453" s="6" t="s">
        <v>13</v>
      </c>
      <c r="E453" s="6" t="str">
        <f>"贺亚萍"</f>
        <v>贺亚萍</v>
      </c>
      <c r="F453" s="6" t="str">
        <f t="shared" si="27"/>
        <v>女</v>
      </c>
    </row>
    <row r="454" spans="1:6" ht="30" customHeight="1">
      <c r="A454" s="6">
        <v>452</v>
      </c>
      <c r="B454" s="6" t="str">
        <f>"53002023052916291293345"</f>
        <v>53002023052916291293345</v>
      </c>
      <c r="C454" s="6" t="str">
        <f t="shared" si="26"/>
        <v>0107</v>
      </c>
      <c r="D454" s="6" t="s">
        <v>13</v>
      </c>
      <c r="E454" s="6" t="str">
        <f>"赵莎莎"</f>
        <v>赵莎莎</v>
      </c>
      <c r="F454" s="6" t="str">
        <f t="shared" si="27"/>
        <v>女</v>
      </c>
    </row>
    <row r="455" spans="1:6" ht="30" customHeight="1">
      <c r="A455" s="6">
        <v>453</v>
      </c>
      <c r="B455" s="6" t="str">
        <f>"53002023052916390193425"</f>
        <v>53002023052916390193425</v>
      </c>
      <c r="C455" s="6" t="str">
        <f t="shared" si="26"/>
        <v>0107</v>
      </c>
      <c r="D455" s="6" t="s">
        <v>13</v>
      </c>
      <c r="E455" s="6" t="str">
        <f>"廖忠基"</f>
        <v>廖忠基</v>
      </c>
      <c r="F455" s="6" t="str">
        <f>"男"</f>
        <v>男</v>
      </c>
    </row>
    <row r="456" spans="1:6" ht="30" customHeight="1">
      <c r="A456" s="6">
        <v>454</v>
      </c>
      <c r="B456" s="6" t="str">
        <f>"53002023052910165890646"</f>
        <v>53002023052910165890646</v>
      </c>
      <c r="C456" s="6" t="str">
        <f t="shared" si="26"/>
        <v>0107</v>
      </c>
      <c r="D456" s="6" t="s">
        <v>13</v>
      </c>
      <c r="E456" s="6" t="str">
        <f>"宋少萍"</f>
        <v>宋少萍</v>
      </c>
      <c r="F456" s="6" t="str">
        <f>"女"</f>
        <v>女</v>
      </c>
    </row>
    <row r="457" spans="1:6" ht="30" customHeight="1">
      <c r="A457" s="6">
        <v>455</v>
      </c>
      <c r="B457" s="6" t="str">
        <f>"53002023052910212990687"</f>
        <v>53002023052910212990687</v>
      </c>
      <c r="C457" s="6" t="str">
        <f t="shared" si="26"/>
        <v>0107</v>
      </c>
      <c r="D457" s="6" t="s">
        <v>13</v>
      </c>
      <c r="E457" s="6" t="str">
        <f>"张秋凌"</f>
        <v>张秋凌</v>
      </c>
      <c r="F457" s="6" t="str">
        <f>"女"</f>
        <v>女</v>
      </c>
    </row>
    <row r="458" spans="1:6" ht="30" customHeight="1">
      <c r="A458" s="6">
        <v>456</v>
      </c>
      <c r="B458" s="6" t="str">
        <f>"53002023052816235387921"</f>
        <v>53002023052816235387921</v>
      </c>
      <c r="C458" s="6" t="str">
        <f t="shared" si="26"/>
        <v>0107</v>
      </c>
      <c r="D458" s="6" t="s">
        <v>13</v>
      </c>
      <c r="E458" s="6" t="str">
        <f>"符发冠"</f>
        <v>符发冠</v>
      </c>
      <c r="F458" s="6" t="str">
        <f>"男"</f>
        <v>男</v>
      </c>
    </row>
    <row r="459" spans="1:6" ht="30" customHeight="1">
      <c r="A459" s="6">
        <v>457</v>
      </c>
      <c r="B459" s="6" t="str">
        <f>"53002023052917253493713"</f>
        <v>53002023052917253493713</v>
      </c>
      <c r="C459" s="6" t="str">
        <f t="shared" si="26"/>
        <v>0107</v>
      </c>
      <c r="D459" s="6" t="s">
        <v>13</v>
      </c>
      <c r="E459" s="6" t="str">
        <f>"李精翠"</f>
        <v>李精翠</v>
      </c>
      <c r="F459" s="6" t="str">
        <f aca="true" t="shared" si="28" ref="F459:F475">"女"</f>
        <v>女</v>
      </c>
    </row>
    <row r="460" spans="1:6" ht="30" customHeight="1">
      <c r="A460" s="6">
        <v>458</v>
      </c>
      <c r="B460" s="6" t="str">
        <f>"53002023052918373194056"</f>
        <v>53002023052918373194056</v>
      </c>
      <c r="C460" s="6" t="str">
        <f t="shared" si="26"/>
        <v>0107</v>
      </c>
      <c r="D460" s="6" t="s">
        <v>13</v>
      </c>
      <c r="E460" s="6" t="str">
        <f>"张在花"</f>
        <v>张在花</v>
      </c>
      <c r="F460" s="6" t="str">
        <f t="shared" si="28"/>
        <v>女</v>
      </c>
    </row>
    <row r="461" spans="1:6" ht="30" customHeight="1">
      <c r="A461" s="6">
        <v>459</v>
      </c>
      <c r="B461" s="6" t="str">
        <f>"53002023052919154494200"</f>
        <v>53002023052919154494200</v>
      </c>
      <c r="C461" s="6" t="str">
        <f t="shared" si="26"/>
        <v>0107</v>
      </c>
      <c r="D461" s="6" t="s">
        <v>13</v>
      </c>
      <c r="E461" s="6" t="str">
        <f>"王誉蓉"</f>
        <v>王誉蓉</v>
      </c>
      <c r="F461" s="6" t="str">
        <f t="shared" si="28"/>
        <v>女</v>
      </c>
    </row>
    <row r="462" spans="1:6" ht="30" customHeight="1">
      <c r="A462" s="6">
        <v>460</v>
      </c>
      <c r="B462" s="6" t="str">
        <f>"53002023052919015694147"</f>
        <v>53002023052919015694147</v>
      </c>
      <c r="C462" s="6" t="str">
        <f t="shared" si="26"/>
        <v>0107</v>
      </c>
      <c r="D462" s="6" t="s">
        <v>13</v>
      </c>
      <c r="E462" s="6" t="str">
        <f>"周清风"</f>
        <v>周清风</v>
      </c>
      <c r="F462" s="6" t="str">
        <f t="shared" si="28"/>
        <v>女</v>
      </c>
    </row>
    <row r="463" spans="1:6" ht="30" customHeight="1">
      <c r="A463" s="6">
        <v>461</v>
      </c>
      <c r="B463" s="6" t="str">
        <f>"53002023052921592195060"</f>
        <v>53002023052921592195060</v>
      </c>
      <c r="C463" s="6" t="str">
        <f t="shared" si="26"/>
        <v>0107</v>
      </c>
      <c r="D463" s="6" t="s">
        <v>13</v>
      </c>
      <c r="E463" s="6" t="str">
        <f>"苏丽雅"</f>
        <v>苏丽雅</v>
      </c>
      <c r="F463" s="6" t="str">
        <f t="shared" si="28"/>
        <v>女</v>
      </c>
    </row>
    <row r="464" spans="1:6" ht="30" customHeight="1">
      <c r="A464" s="6">
        <v>462</v>
      </c>
      <c r="B464" s="6" t="str">
        <f>"53002023052921335494914"</f>
        <v>53002023052921335494914</v>
      </c>
      <c r="C464" s="6" t="str">
        <f t="shared" si="26"/>
        <v>0107</v>
      </c>
      <c r="D464" s="6" t="s">
        <v>13</v>
      </c>
      <c r="E464" s="6" t="str">
        <f>"庞广灵"</f>
        <v>庞广灵</v>
      </c>
      <c r="F464" s="6" t="str">
        <f t="shared" si="28"/>
        <v>女</v>
      </c>
    </row>
    <row r="465" spans="1:6" ht="30" customHeight="1">
      <c r="A465" s="6">
        <v>463</v>
      </c>
      <c r="B465" s="6" t="str">
        <f>"53002023052922444395326"</f>
        <v>53002023052922444395326</v>
      </c>
      <c r="C465" s="6" t="str">
        <f t="shared" si="26"/>
        <v>0107</v>
      </c>
      <c r="D465" s="6" t="s">
        <v>13</v>
      </c>
      <c r="E465" s="6" t="str">
        <f>"王馨怡"</f>
        <v>王馨怡</v>
      </c>
      <c r="F465" s="6" t="str">
        <f t="shared" si="28"/>
        <v>女</v>
      </c>
    </row>
    <row r="466" spans="1:6" ht="30" customHeight="1">
      <c r="A466" s="6">
        <v>464</v>
      </c>
      <c r="B466" s="6" t="str">
        <f>"53002023052923343295552"</f>
        <v>53002023052923343295552</v>
      </c>
      <c r="C466" s="6" t="str">
        <f t="shared" si="26"/>
        <v>0107</v>
      </c>
      <c r="D466" s="6" t="s">
        <v>13</v>
      </c>
      <c r="E466" s="6" t="str">
        <f>"陈如微"</f>
        <v>陈如微</v>
      </c>
      <c r="F466" s="6" t="str">
        <f t="shared" si="28"/>
        <v>女</v>
      </c>
    </row>
    <row r="467" spans="1:6" ht="30" customHeight="1">
      <c r="A467" s="6">
        <v>465</v>
      </c>
      <c r="B467" s="6" t="str">
        <f>"53002023052923522095604"</f>
        <v>53002023052923522095604</v>
      </c>
      <c r="C467" s="6" t="str">
        <f t="shared" si="26"/>
        <v>0107</v>
      </c>
      <c r="D467" s="6" t="s">
        <v>13</v>
      </c>
      <c r="E467" s="6" t="str">
        <f>"吴小妹"</f>
        <v>吴小妹</v>
      </c>
      <c r="F467" s="6" t="str">
        <f t="shared" si="28"/>
        <v>女</v>
      </c>
    </row>
    <row r="468" spans="1:6" ht="30" customHeight="1">
      <c r="A468" s="6">
        <v>466</v>
      </c>
      <c r="B468" s="6" t="str">
        <f>"53002023053007285795779"</f>
        <v>53002023053007285795779</v>
      </c>
      <c r="C468" s="6" t="str">
        <f t="shared" si="26"/>
        <v>0107</v>
      </c>
      <c r="D468" s="6" t="s">
        <v>13</v>
      </c>
      <c r="E468" s="6" t="str">
        <f>"李梦妍"</f>
        <v>李梦妍</v>
      </c>
      <c r="F468" s="6" t="str">
        <f t="shared" si="28"/>
        <v>女</v>
      </c>
    </row>
    <row r="469" spans="1:6" ht="30" customHeight="1">
      <c r="A469" s="6">
        <v>467</v>
      </c>
      <c r="B469" s="6" t="str">
        <f>"53002023052918325294034"</f>
        <v>53002023052918325294034</v>
      </c>
      <c r="C469" s="6" t="str">
        <f t="shared" si="26"/>
        <v>0107</v>
      </c>
      <c r="D469" s="6" t="s">
        <v>13</v>
      </c>
      <c r="E469" s="6" t="str">
        <f>"符小倩"</f>
        <v>符小倩</v>
      </c>
      <c r="F469" s="6" t="str">
        <f t="shared" si="28"/>
        <v>女</v>
      </c>
    </row>
    <row r="470" spans="1:6" ht="30" customHeight="1">
      <c r="A470" s="6">
        <v>468</v>
      </c>
      <c r="B470" s="6" t="str">
        <f>"53002023053009231096170"</f>
        <v>53002023053009231096170</v>
      </c>
      <c r="C470" s="6" t="str">
        <f t="shared" si="26"/>
        <v>0107</v>
      </c>
      <c r="D470" s="6" t="s">
        <v>13</v>
      </c>
      <c r="E470" s="6" t="str">
        <f>"麦娜"</f>
        <v>麦娜</v>
      </c>
      <c r="F470" s="6" t="str">
        <f t="shared" si="28"/>
        <v>女</v>
      </c>
    </row>
    <row r="471" spans="1:6" ht="30" customHeight="1">
      <c r="A471" s="6">
        <v>469</v>
      </c>
      <c r="B471" s="6" t="str">
        <f>"53002023053010404296780"</f>
        <v>53002023053010404296780</v>
      </c>
      <c r="C471" s="6" t="str">
        <f t="shared" si="26"/>
        <v>0107</v>
      </c>
      <c r="D471" s="6" t="s">
        <v>13</v>
      </c>
      <c r="E471" s="6" t="str">
        <f>"王霄琼"</f>
        <v>王霄琼</v>
      </c>
      <c r="F471" s="6" t="str">
        <f t="shared" si="28"/>
        <v>女</v>
      </c>
    </row>
    <row r="472" spans="1:6" ht="30" customHeight="1">
      <c r="A472" s="6">
        <v>470</v>
      </c>
      <c r="B472" s="6" t="str">
        <f>"53002023053011064297007"</f>
        <v>53002023053011064297007</v>
      </c>
      <c r="C472" s="6" t="str">
        <f t="shared" si="26"/>
        <v>0107</v>
      </c>
      <c r="D472" s="6" t="s">
        <v>13</v>
      </c>
      <c r="E472" s="6" t="str">
        <f>"王盈"</f>
        <v>王盈</v>
      </c>
      <c r="F472" s="6" t="str">
        <f t="shared" si="28"/>
        <v>女</v>
      </c>
    </row>
    <row r="473" spans="1:6" ht="30" customHeight="1">
      <c r="A473" s="6">
        <v>471</v>
      </c>
      <c r="B473" s="6" t="str">
        <f>"53002023052911271791357"</f>
        <v>53002023052911271791357</v>
      </c>
      <c r="C473" s="6" t="str">
        <f t="shared" si="26"/>
        <v>0107</v>
      </c>
      <c r="D473" s="6" t="s">
        <v>13</v>
      </c>
      <c r="E473" s="6" t="str">
        <f>"蔡月燕"</f>
        <v>蔡月燕</v>
      </c>
      <c r="F473" s="6" t="str">
        <f t="shared" si="28"/>
        <v>女</v>
      </c>
    </row>
    <row r="474" spans="1:6" ht="30" customHeight="1">
      <c r="A474" s="6">
        <v>472</v>
      </c>
      <c r="B474" s="6" t="str">
        <f>"53002023053014462398201"</f>
        <v>53002023053014462398201</v>
      </c>
      <c r="C474" s="6" t="str">
        <f t="shared" si="26"/>
        <v>0107</v>
      </c>
      <c r="D474" s="6" t="s">
        <v>13</v>
      </c>
      <c r="E474" s="6" t="str">
        <f>"陈雪娇"</f>
        <v>陈雪娇</v>
      </c>
      <c r="F474" s="6" t="str">
        <f t="shared" si="28"/>
        <v>女</v>
      </c>
    </row>
    <row r="475" spans="1:6" ht="30" customHeight="1">
      <c r="A475" s="6">
        <v>473</v>
      </c>
      <c r="B475" s="6" t="str">
        <f>"53002023053015481998602"</f>
        <v>53002023053015481998602</v>
      </c>
      <c r="C475" s="6" t="str">
        <f t="shared" si="26"/>
        <v>0107</v>
      </c>
      <c r="D475" s="6" t="s">
        <v>13</v>
      </c>
      <c r="E475" s="6" t="str">
        <f>"林丽祺"</f>
        <v>林丽祺</v>
      </c>
      <c r="F475" s="6" t="str">
        <f t="shared" si="28"/>
        <v>女</v>
      </c>
    </row>
    <row r="476" spans="1:6" ht="30" customHeight="1">
      <c r="A476" s="6">
        <v>474</v>
      </c>
      <c r="B476" s="6" t="str">
        <f>"53002023053015560198652"</f>
        <v>53002023053015560198652</v>
      </c>
      <c r="C476" s="6" t="str">
        <f t="shared" si="26"/>
        <v>0107</v>
      </c>
      <c r="D476" s="6" t="s">
        <v>13</v>
      </c>
      <c r="E476" s="6" t="str">
        <f>"朱才潘"</f>
        <v>朱才潘</v>
      </c>
      <c r="F476" s="6" t="str">
        <f>"男"</f>
        <v>男</v>
      </c>
    </row>
    <row r="477" spans="1:6" ht="30" customHeight="1">
      <c r="A477" s="6">
        <v>475</v>
      </c>
      <c r="B477" s="6" t="str">
        <f>"53002023052909293190093"</f>
        <v>53002023052909293190093</v>
      </c>
      <c r="C477" s="6" t="str">
        <f t="shared" si="26"/>
        <v>0107</v>
      </c>
      <c r="D477" s="6" t="s">
        <v>13</v>
      </c>
      <c r="E477" s="6" t="str">
        <f>"黎菲"</f>
        <v>黎菲</v>
      </c>
      <c r="F477" s="6" t="str">
        <f aca="true" t="shared" si="29" ref="F477:F482">"女"</f>
        <v>女</v>
      </c>
    </row>
    <row r="478" spans="1:6" ht="30" customHeight="1">
      <c r="A478" s="6">
        <v>476</v>
      </c>
      <c r="B478" s="6" t="str">
        <f>"53002023053000175095660"</f>
        <v>53002023053000175095660</v>
      </c>
      <c r="C478" s="6" t="str">
        <f t="shared" si="26"/>
        <v>0107</v>
      </c>
      <c r="D478" s="6" t="s">
        <v>13</v>
      </c>
      <c r="E478" s="6" t="str">
        <f>"王玉妃"</f>
        <v>王玉妃</v>
      </c>
      <c r="F478" s="6" t="str">
        <f t="shared" si="29"/>
        <v>女</v>
      </c>
    </row>
    <row r="479" spans="1:6" ht="30" customHeight="1">
      <c r="A479" s="6">
        <v>477</v>
      </c>
      <c r="B479" s="6" t="str">
        <f>"53002023053017215499188"</f>
        <v>53002023053017215499188</v>
      </c>
      <c r="C479" s="6" t="str">
        <f t="shared" si="26"/>
        <v>0107</v>
      </c>
      <c r="D479" s="6" t="s">
        <v>13</v>
      </c>
      <c r="E479" s="6" t="str">
        <f>"符薰涵"</f>
        <v>符薰涵</v>
      </c>
      <c r="F479" s="6" t="str">
        <f t="shared" si="29"/>
        <v>女</v>
      </c>
    </row>
    <row r="480" spans="1:6" ht="30" customHeight="1">
      <c r="A480" s="6">
        <v>478</v>
      </c>
      <c r="B480" s="6" t="str">
        <f>"53002023053018040499390"</f>
        <v>53002023053018040499390</v>
      </c>
      <c r="C480" s="6" t="str">
        <f t="shared" si="26"/>
        <v>0107</v>
      </c>
      <c r="D480" s="6" t="s">
        <v>13</v>
      </c>
      <c r="E480" s="6" t="str">
        <f>"邢玉虹"</f>
        <v>邢玉虹</v>
      </c>
      <c r="F480" s="6" t="str">
        <f t="shared" si="29"/>
        <v>女</v>
      </c>
    </row>
    <row r="481" spans="1:6" ht="30" customHeight="1">
      <c r="A481" s="6">
        <v>479</v>
      </c>
      <c r="B481" s="6" t="str">
        <f>"53002023052811485587203"</f>
        <v>53002023052811485587203</v>
      </c>
      <c r="C481" s="6" t="str">
        <f t="shared" si="26"/>
        <v>0107</v>
      </c>
      <c r="D481" s="6" t="s">
        <v>13</v>
      </c>
      <c r="E481" s="6" t="str">
        <f>"董壮娥"</f>
        <v>董壮娥</v>
      </c>
      <c r="F481" s="6" t="str">
        <f t="shared" si="29"/>
        <v>女</v>
      </c>
    </row>
    <row r="482" spans="1:6" ht="30" customHeight="1">
      <c r="A482" s="6">
        <v>480</v>
      </c>
      <c r="B482" s="6" t="str">
        <f>"53002023053010341696717"</f>
        <v>53002023053010341696717</v>
      </c>
      <c r="C482" s="6" t="str">
        <f t="shared" si="26"/>
        <v>0107</v>
      </c>
      <c r="D482" s="6" t="s">
        <v>13</v>
      </c>
      <c r="E482" s="6" t="str">
        <f>"陈婆燕"</f>
        <v>陈婆燕</v>
      </c>
      <c r="F482" s="6" t="str">
        <f t="shared" si="29"/>
        <v>女</v>
      </c>
    </row>
    <row r="483" spans="1:6" ht="30" customHeight="1">
      <c r="A483" s="6">
        <v>481</v>
      </c>
      <c r="B483" s="6" t="str">
        <f>"53002023053019391399780"</f>
        <v>53002023053019391399780</v>
      </c>
      <c r="C483" s="6" t="str">
        <f t="shared" si="26"/>
        <v>0107</v>
      </c>
      <c r="D483" s="6" t="s">
        <v>13</v>
      </c>
      <c r="E483" s="6" t="str">
        <f>"赵衍珥"</f>
        <v>赵衍珥</v>
      </c>
      <c r="F483" s="6" t="str">
        <f>"男"</f>
        <v>男</v>
      </c>
    </row>
    <row r="484" spans="1:6" ht="30" customHeight="1">
      <c r="A484" s="6">
        <v>482</v>
      </c>
      <c r="B484" s="6" t="str">
        <f>"53002023052920184594492"</f>
        <v>53002023052920184594492</v>
      </c>
      <c r="C484" s="6" t="str">
        <f t="shared" si="26"/>
        <v>0107</v>
      </c>
      <c r="D484" s="6" t="s">
        <v>13</v>
      </c>
      <c r="E484" s="6" t="str">
        <f>"蔡月翠"</f>
        <v>蔡月翠</v>
      </c>
      <c r="F484" s="6" t="str">
        <f aca="true" t="shared" si="30" ref="F484:F489">"女"</f>
        <v>女</v>
      </c>
    </row>
    <row r="485" spans="1:6" ht="30" customHeight="1">
      <c r="A485" s="6">
        <v>483</v>
      </c>
      <c r="B485" s="6" t="str">
        <f>"53002023053020133999953"</f>
        <v>53002023053020133999953</v>
      </c>
      <c r="C485" s="6" t="str">
        <f t="shared" si="26"/>
        <v>0107</v>
      </c>
      <c r="D485" s="6" t="s">
        <v>13</v>
      </c>
      <c r="E485" s="6" t="str">
        <f>"刘上娜"</f>
        <v>刘上娜</v>
      </c>
      <c r="F485" s="6" t="str">
        <f t="shared" si="30"/>
        <v>女</v>
      </c>
    </row>
    <row r="486" spans="1:6" ht="30" customHeight="1">
      <c r="A486" s="6">
        <v>484</v>
      </c>
      <c r="B486" s="6" t="str">
        <f>"530020230530213816100341"</f>
        <v>530020230530213816100341</v>
      </c>
      <c r="C486" s="6" t="str">
        <f t="shared" si="26"/>
        <v>0107</v>
      </c>
      <c r="D486" s="6" t="s">
        <v>13</v>
      </c>
      <c r="E486" s="6" t="str">
        <f>"黄慧欣"</f>
        <v>黄慧欣</v>
      </c>
      <c r="F486" s="6" t="str">
        <f t="shared" si="30"/>
        <v>女</v>
      </c>
    </row>
    <row r="487" spans="1:6" ht="30" customHeight="1">
      <c r="A487" s="6">
        <v>485</v>
      </c>
      <c r="B487" s="6" t="str">
        <f>"530020230530222206100577"</f>
        <v>530020230530222206100577</v>
      </c>
      <c r="C487" s="6" t="str">
        <f t="shared" si="26"/>
        <v>0107</v>
      </c>
      <c r="D487" s="6" t="s">
        <v>13</v>
      </c>
      <c r="E487" s="6" t="str">
        <f>"张雅婷"</f>
        <v>张雅婷</v>
      </c>
      <c r="F487" s="6" t="str">
        <f t="shared" si="30"/>
        <v>女</v>
      </c>
    </row>
    <row r="488" spans="1:6" ht="30" customHeight="1">
      <c r="A488" s="6">
        <v>486</v>
      </c>
      <c r="B488" s="6" t="str">
        <f>"53002023053017124099142"</f>
        <v>53002023053017124099142</v>
      </c>
      <c r="C488" s="6" t="str">
        <f t="shared" si="26"/>
        <v>0107</v>
      </c>
      <c r="D488" s="6" t="s">
        <v>13</v>
      </c>
      <c r="E488" s="6" t="str">
        <f>"李佳进"</f>
        <v>李佳进</v>
      </c>
      <c r="F488" s="6" t="str">
        <f t="shared" si="30"/>
        <v>女</v>
      </c>
    </row>
    <row r="489" spans="1:6" ht="30" customHeight="1">
      <c r="A489" s="6">
        <v>487</v>
      </c>
      <c r="B489" s="6" t="str">
        <f>"530020230531121224102568"</f>
        <v>530020230531121224102568</v>
      </c>
      <c r="C489" s="6" t="str">
        <f t="shared" si="26"/>
        <v>0107</v>
      </c>
      <c r="D489" s="6" t="s">
        <v>13</v>
      </c>
      <c r="E489" s="6" t="str">
        <f>"岑思佳"</f>
        <v>岑思佳</v>
      </c>
      <c r="F489" s="6" t="str">
        <f t="shared" si="30"/>
        <v>女</v>
      </c>
    </row>
    <row r="490" spans="1:6" ht="30" customHeight="1">
      <c r="A490" s="6">
        <v>488</v>
      </c>
      <c r="B490" s="6" t="str">
        <f>"53002023053010303096687"</f>
        <v>53002023053010303096687</v>
      </c>
      <c r="C490" s="6" t="str">
        <f t="shared" si="26"/>
        <v>0107</v>
      </c>
      <c r="D490" s="6" t="s">
        <v>13</v>
      </c>
      <c r="E490" s="6" t="str">
        <f>"李琼学"</f>
        <v>李琼学</v>
      </c>
      <c r="F490" s="6" t="str">
        <f>"男"</f>
        <v>男</v>
      </c>
    </row>
    <row r="491" spans="1:6" ht="30" customHeight="1">
      <c r="A491" s="6">
        <v>489</v>
      </c>
      <c r="B491" s="6" t="str">
        <f>"53002023053012154797468"</f>
        <v>53002023053012154797468</v>
      </c>
      <c r="C491" s="6" t="str">
        <f t="shared" si="26"/>
        <v>0107</v>
      </c>
      <c r="D491" s="6" t="s">
        <v>13</v>
      </c>
      <c r="E491" s="6" t="str">
        <f>"黄国玲"</f>
        <v>黄国玲</v>
      </c>
      <c r="F491" s="6" t="str">
        <f aca="true" t="shared" si="31" ref="F491:F499">"女"</f>
        <v>女</v>
      </c>
    </row>
    <row r="492" spans="1:6" ht="30" customHeight="1">
      <c r="A492" s="6">
        <v>490</v>
      </c>
      <c r="B492" s="6" t="str">
        <f>"53002023052814515887662"</f>
        <v>53002023052814515887662</v>
      </c>
      <c r="C492" s="6" t="str">
        <f t="shared" si="26"/>
        <v>0107</v>
      </c>
      <c r="D492" s="6" t="s">
        <v>13</v>
      </c>
      <c r="E492" s="6" t="str">
        <f>"王小云"</f>
        <v>王小云</v>
      </c>
      <c r="F492" s="6" t="str">
        <f t="shared" si="31"/>
        <v>女</v>
      </c>
    </row>
    <row r="493" spans="1:6" ht="30" customHeight="1">
      <c r="A493" s="6">
        <v>491</v>
      </c>
      <c r="B493" s="6" t="str">
        <f>"530020230531153813103390"</f>
        <v>530020230531153813103390</v>
      </c>
      <c r="C493" s="6" t="str">
        <f aca="true" t="shared" si="32" ref="C493:C515">"0107"</f>
        <v>0107</v>
      </c>
      <c r="D493" s="6" t="s">
        <v>13</v>
      </c>
      <c r="E493" s="6" t="str">
        <f>"翁云惠"</f>
        <v>翁云惠</v>
      </c>
      <c r="F493" s="6" t="str">
        <f t="shared" si="31"/>
        <v>女</v>
      </c>
    </row>
    <row r="494" spans="1:6" ht="30" customHeight="1">
      <c r="A494" s="6">
        <v>492</v>
      </c>
      <c r="B494" s="6" t="str">
        <f>"530020230531160137103504"</f>
        <v>530020230531160137103504</v>
      </c>
      <c r="C494" s="6" t="str">
        <f t="shared" si="32"/>
        <v>0107</v>
      </c>
      <c r="D494" s="6" t="s">
        <v>13</v>
      </c>
      <c r="E494" s="6" t="str">
        <f>"王丽"</f>
        <v>王丽</v>
      </c>
      <c r="F494" s="6" t="str">
        <f t="shared" si="31"/>
        <v>女</v>
      </c>
    </row>
    <row r="495" spans="1:6" ht="30" customHeight="1">
      <c r="A495" s="6">
        <v>493</v>
      </c>
      <c r="B495" s="6" t="str">
        <f>"53002023053009411396310"</f>
        <v>53002023053009411396310</v>
      </c>
      <c r="C495" s="6" t="str">
        <f t="shared" si="32"/>
        <v>0107</v>
      </c>
      <c r="D495" s="6" t="s">
        <v>13</v>
      </c>
      <c r="E495" s="6" t="str">
        <f>"陈梅"</f>
        <v>陈梅</v>
      </c>
      <c r="F495" s="6" t="str">
        <f t="shared" si="31"/>
        <v>女</v>
      </c>
    </row>
    <row r="496" spans="1:6" ht="30" customHeight="1">
      <c r="A496" s="6">
        <v>494</v>
      </c>
      <c r="B496" s="6" t="str">
        <f>"530020230531161858103597"</f>
        <v>530020230531161858103597</v>
      </c>
      <c r="C496" s="6" t="str">
        <f t="shared" si="32"/>
        <v>0107</v>
      </c>
      <c r="D496" s="6" t="s">
        <v>13</v>
      </c>
      <c r="E496" s="6" t="str">
        <f>"陈眉丽"</f>
        <v>陈眉丽</v>
      </c>
      <c r="F496" s="6" t="str">
        <f t="shared" si="31"/>
        <v>女</v>
      </c>
    </row>
    <row r="497" spans="1:6" ht="30" customHeight="1">
      <c r="A497" s="6">
        <v>495</v>
      </c>
      <c r="B497" s="6" t="str">
        <f>"530020230531220511104792"</f>
        <v>530020230531220511104792</v>
      </c>
      <c r="C497" s="6" t="str">
        <f t="shared" si="32"/>
        <v>0107</v>
      </c>
      <c r="D497" s="6" t="s">
        <v>13</v>
      </c>
      <c r="E497" s="6" t="str">
        <f>"符玉娘"</f>
        <v>符玉娘</v>
      </c>
      <c r="F497" s="6" t="str">
        <f t="shared" si="31"/>
        <v>女</v>
      </c>
    </row>
    <row r="498" spans="1:6" ht="30" customHeight="1">
      <c r="A498" s="6">
        <v>496</v>
      </c>
      <c r="B498" s="6" t="str">
        <f>"530020230531210151104566"</f>
        <v>530020230531210151104566</v>
      </c>
      <c r="C498" s="6" t="str">
        <f t="shared" si="32"/>
        <v>0107</v>
      </c>
      <c r="D498" s="6" t="s">
        <v>13</v>
      </c>
      <c r="E498" s="6" t="str">
        <f>"陈美爱"</f>
        <v>陈美爱</v>
      </c>
      <c r="F498" s="6" t="str">
        <f t="shared" si="31"/>
        <v>女</v>
      </c>
    </row>
    <row r="499" spans="1:6" ht="30" customHeight="1">
      <c r="A499" s="6">
        <v>497</v>
      </c>
      <c r="B499" s="6" t="str">
        <f>"53002023052811165187118"</f>
        <v>53002023052811165187118</v>
      </c>
      <c r="C499" s="6" t="str">
        <f t="shared" si="32"/>
        <v>0107</v>
      </c>
      <c r="D499" s="6" t="s">
        <v>13</v>
      </c>
      <c r="E499" s="6" t="str">
        <f>"陈丹"</f>
        <v>陈丹</v>
      </c>
      <c r="F499" s="6" t="str">
        <f t="shared" si="31"/>
        <v>女</v>
      </c>
    </row>
    <row r="500" spans="1:6" ht="30" customHeight="1">
      <c r="A500" s="6">
        <v>498</v>
      </c>
      <c r="B500" s="6" t="str">
        <f>"530020230531073802101114"</f>
        <v>530020230531073802101114</v>
      </c>
      <c r="C500" s="6" t="str">
        <f t="shared" si="32"/>
        <v>0107</v>
      </c>
      <c r="D500" s="6" t="s">
        <v>13</v>
      </c>
      <c r="E500" s="6" t="str">
        <f>"王涛"</f>
        <v>王涛</v>
      </c>
      <c r="F500" s="6" t="str">
        <f>"男"</f>
        <v>男</v>
      </c>
    </row>
    <row r="501" spans="1:6" ht="30" customHeight="1">
      <c r="A501" s="6">
        <v>499</v>
      </c>
      <c r="B501" s="6" t="str">
        <f>"530020230601145334107219"</f>
        <v>530020230601145334107219</v>
      </c>
      <c r="C501" s="6" t="str">
        <f t="shared" si="32"/>
        <v>0107</v>
      </c>
      <c r="D501" s="6" t="s">
        <v>13</v>
      </c>
      <c r="E501" s="6" t="str">
        <f>"章玲"</f>
        <v>章玲</v>
      </c>
      <c r="F501" s="6" t="str">
        <f aca="true" t="shared" si="33" ref="F501:F515">"女"</f>
        <v>女</v>
      </c>
    </row>
    <row r="502" spans="1:6" ht="30" customHeight="1">
      <c r="A502" s="6">
        <v>500</v>
      </c>
      <c r="B502" s="6" t="str">
        <f>"530020230601151808107330"</f>
        <v>530020230601151808107330</v>
      </c>
      <c r="C502" s="6" t="str">
        <f t="shared" si="32"/>
        <v>0107</v>
      </c>
      <c r="D502" s="6" t="s">
        <v>13</v>
      </c>
      <c r="E502" s="6" t="str">
        <f>"林芳"</f>
        <v>林芳</v>
      </c>
      <c r="F502" s="6" t="str">
        <f t="shared" si="33"/>
        <v>女</v>
      </c>
    </row>
    <row r="503" spans="1:6" ht="30" customHeight="1">
      <c r="A503" s="6">
        <v>501</v>
      </c>
      <c r="B503" s="6" t="str">
        <f>"530020230601161904107601"</f>
        <v>530020230601161904107601</v>
      </c>
      <c r="C503" s="6" t="str">
        <f t="shared" si="32"/>
        <v>0107</v>
      </c>
      <c r="D503" s="6" t="s">
        <v>13</v>
      </c>
      <c r="E503" s="6" t="str">
        <f>"刘亚银"</f>
        <v>刘亚银</v>
      </c>
      <c r="F503" s="6" t="str">
        <f t="shared" si="33"/>
        <v>女</v>
      </c>
    </row>
    <row r="504" spans="1:6" ht="30" customHeight="1">
      <c r="A504" s="6">
        <v>502</v>
      </c>
      <c r="B504" s="6" t="str">
        <f>"530020230601170329107804"</f>
        <v>530020230601170329107804</v>
      </c>
      <c r="C504" s="6" t="str">
        <f t="shared" si="32"/>
        <v>0107</v>
      </c>
      <c r="D504" s="6" t="s">
        <v>13</v>
      </c>
      <c r="E504" s="6" t="str">
        <f>"黎阿娇"</f>
        <v>黎阿娇</v>
      </c>
      <c r="F504" s="6" t="str">
        <f t="shared" si="33"/>
        <v>女</v>
      </c>
    </row>
    <row r="505" spans="1:6" ht="30" customHeight="1">
      <c r="A505" s="6">
        <v>503</v>
      </c>
      <c r="B505" s="6" t="str">
        <f>"530020230530232928100864"</f>
        <v>530020230530232928100864</v>
      </c>
      <c r="C505" s="6" t="str">
        <f t="shared" si="32"/>
        <v>0107</v>
      </c>
      <c r="D505" s="6" t="s">
        <v>13</v>
      </c>
      <c r="E505" s="6" t="str">
        <f>"吉高婷"</f>
        <v>吉高婷</v>
      </c>
      <c r="F505" s="6" t="str">
        <f t="shared" si="33"/>
        <v>女</v>
      </c>
    </row>
    <row r="506" spans="1:6" ht="30" customHeight="1">
      <c r="A506" s="6">
        <v>504</v>
      </c>
      <c r="B506" s="6" t="str">
        <f>"530020230602005611109205"</f>
        <v>530020230602005611109205</v>
      </c>
      <c r="C506" s="6" t="str">
        <f t="shared" si="32"/>
        <v>0107</v>
      </c>
      <c r="D506" s="6" t="s">
        <v>13</v>
      </c>
      <c r="E506" s="6" t="str">
        <f>"黄星"</f>
        <v>黄星</v>
      </c>
      <c r="F506" s="6" t="str">
        <f t="shared" si="33"/>
        <v>女</v>
      </c>
    </row>
    <row r="507" spans="1:6" ht="30" customHeight="1">
      <c r="A507" s="6">
        <v>505</v>
      </c>
      <c r="B507" s="6" t="str">
        <f>"530020230602090144109460"</f>
        <v>530020230602090144109460</v>
      </c>
      <c r="C507" s="6" t="str">
        <f t="shared" si="32"/>
        <v>0107</v>
      </c>
      <c r="D507" s="6" t="s">
        <v>13</v>
      </c>
      <c r="E507" s="6" t="str">
        <f>"梁星灿"</f>
        <v>梁星灿</v>
      </c>
      <c r="F507" s="6" t="str">
        <f t="shared" si="33"/>
        <v>女</v>
      </c>
    </row>
    <row r="508" spans="1:6" ht="30" customHeight="1">
      <c r="A508" s="6">
        <v>506</v>
      </c>
      <c r="B508" s="6" t="str">
        <f>"530020230602072542109282"</f>
        <v>530020230602072542109282</v>
      </c>
      <c r="C508" s="6" t="str">
        <f t="shared" si="32"/>
        <v>0107</v>
      </c>
      <c r="D508" s="6" t="s">
        <v>13</v>
      </c>
      <c r="E508" s="6" t="str">
        <f>"赵壮丽"</f>
        <v>赵壮丽</v>
      </c>
      <c r="F508" s="6" t="str">
        <f t="shared" si="33"/>
        <v>女</v>
      </c>
    </row>
    <row r="509" spans="1:6" ht="30" customHeight="1">
      <c r="A509" s="6">
        <v>507</v>
      </c>
      <c r="B509" s="6" t="str">
        <f>"530020230602091304109500"</f>
        <v>530020230602091304109500</v>
      </c>
      <c r="C509" s="6" t="str">
        <f t="shared" si="32"/>
        <v>0107</v>
      </c>
      <c r="D509" s="6" t="s">
        <v>13</v>
      </c>
      <c r="E509" s="6" t="str">
        <f>"陈花香"</f>
        <v>陈花香</v>
      </c>
      <c r="F509" s="6" t="str">
        <f t="shared" si="33"/>
        <v>女</v>
      </c>
    </row>
    <row r="510" spans="1:6" ht="30" customHeight="1">
      <c r="A510" s="6">
        <v>508</v>
      </c>
      <c r="B510" s="6" t="str">
        <f>"530020230602075911109310"</f>
        <v>530020230602075911109310</v>
      </c>
      <c r="C510" s="6" t="str">
        <f t="shared" si="32"/>
        <v>0107</v>
      </c>
      <c r="D510" s="6" t="s">
        <v>13</v>
      </c>
      <c r="E510" s="6" t="str">
        <f>"李永容"</f>
        <v>李永容</v>
      </c>
      <c r="F510" s="6" t="str">
        <f t="shared" si="33"/>
        <v>女</v>
      </c>
    </row>
    <row r="511" spans="1:6" ht="30" customHeight="1">
      <c r="A511" s="6">
        <v>509</v>
      </c>
      <c r="B511" s="6" t="str">
        <f>"530020230602095145109660"</f>
        <v>530020230602095145109660</v>
      </c>
      <c r="C511" s="6" t="str">
        <f t="shared" si="32"/>
        <v>0107</v>
      </c>
      <c r="D511" s="6" t="s">
        <v>13</v>
      </c>
      <c r="E511" s="6" t="str">
        <f>"王翠莹"</f>
        <v>王翠莹</v>
      </c>
      <c r="F511" s="6" t="str">
        <f t="shared" si="33"/>
        <v>女</v>
      </c>
    </row>
    <row r="512" spans="1:6" ht="30" customHeight="1">
      <c r="A512" s="6">
        <v>510</v>
      </c>
      <c r="B512" s="6" t="str">
        <f>"530020230602001251109152"</f>
        <v>530020230602001251109152</v>
      </c>
      <c r="C512" s="6" t="str">
        <f t="shared" si="32"/>
        <v>0107</v>
      </c>
      <c r="D512" s="6" t="s">
        <v>13</v>
      </c>
      <c r="E512" s="6" t="str">
        <f>"李国英"</f>
        <v>李国英</v>
      </c>
      <c r="F512" s="6" t="str">
        <f t="shared" si="33"/>
        <v>女</v>
      </c>
    </row>
    <row r="513" spans="1:6" ht="30" customHeight="1">
      <c r="A513" s="6">
        <v>511</v>
      </c>
      <c r="B513" s="6" t="str">
        <f>"530020230602100258109701"</f>
        <v>530020230602100258109701</v>
      </c>
      <c r="C513" s="6" t="str">
        <f t="shared" si="32"/>
        <v>0107</v>
      </c>
      <c r="D513" s="6" t="s">
        <v>13</v>
      </c>
      <c r="E513" s="6" t="str">
        <f>"赵卓玲"</f>
        <v>赵卓玲</v>
      </c>
      <c r="F513" s="6" t="str">
        <f t="shared" si="33"/>
        <v>女</v>
      </c>
    </row>
    <row r="514" spans="1:6" ht="30" customHeight="1">
      <c r="A514" s="6">
        <v>512</v>
      </c>
      <c r="B514" s="6" t="str">
        <f>"530020230602110121109986"</f>
        <v>530020230602110121109986</v>
      </c>
      <c r="C514" s="6" t="str">
        <f t="shared" si="32"/>
        <v>0107</v>
      </c>
      <c r="D514" s="6" t="s">
        <v>13</v>
      </c>
      <c r="E514" s="6" t="str">
        <f>"羊娥萱"</f>
        <v>羊娥萱</v>
      </c>
      <c r="F514" s="6" t="str">
        <f t="shared" si="33"/>
        <v>女</v>
      </c>
    </row>
    <row r="515" spans="1:6" ht="30" customHeight="1">
      <c r="A515" s="6">
        <v>513</v>
      </c>
      <c r="B515" s="6" t="str">
        <f>"530020230602114220110151"</f>
        <v>530020230602114220110151</v>
      </c>
      <c r="C515" s="6" t="str">
        <f t="shared" si="32"/>
        <v>0107</v>
      </c>
      <c r="D515" s="6" t="s">
        <v>13</v>
      </c>
      <c r="E515" s="6" t="str">
        <f>"赵明妹"</f>
        <v>赵明妹</v>
      </c>
      <c r="F515" s="6" t="str">
        <f t="shared" si="33"/>
        <v>女</v>
      </c>
    </row>
    <row r="516" spans="1:6" ht="30" customHeight="1">
      <c r="A516" s="6">
        <v>514</v>
      </c>
      <c r="B516" s="6" t="str">
        <f>"53002023052710164683968"</f>
        <v>53002023052710164683968</v>
      </c>
      <c r="C516" s="6" t="str">
        <f aca="true" t="shared" si="34" ref="C516:C577">"0108"</f>
        <v>0108</v>
      </c>
      <c r="D516" s="6" t="s">
        <v>14</v>
      </c>
      <c r="E516" s="6" t="str">
        <f>"张发厚"</f>
        <v>张发厚</v>
      </c>
      <c r="F516" s="6" t="str">
        <f>"男"</f>
        <v>男</v>
      </c>
    </row>
    <row r="517" spans="1:6" ht="30" customHeight="1">
      <c r="A517" s="6">
        <v>515</v>
      </c>
      <c r="B517" s="6" t="str">
        <f>"53002023052712261084498"</f>
        <v>53002023052712261084498</v>
      </c>
      <c r="C517" s="6" t="str">
        <f t="shared" si="34"/>
        <v>0108</v>
      </c>
      <c r="D517" s="6" t="s">
        <v>14</v>
      </c>
      <c r="E517" s="6" t="str">
        <f>"许妃"</f>
        <v>许妃</v>
      </c>
      <c r="F517" s="6" t="str">
        <f>"女"</f>
        <v>女</v>
      </c>
    </row>
    <row r="518" spans="1:6" ht="30" customHeight="1">
      <c r="A518" s="6">
        <v>516</v>
      </c>
      <c r="B518" s="6" t="str">
        <f>"53002023052719472485874"</f>
        <v>53002023052719472485874</v>
      </c>
      <c r="C518" s="6" t="str">
        <f t="shared" si="34"/>
        <v>0108</v>
      </c>
      <c r="D518" s="6" t="s">
        <v>14</v>
      </c>
      <c r="E518" s="6" t="str">
        <f>"陈艳"</f>
        <v>陈艳</v>
      </c>
      <c r="F518" s="6" t="str">
        <f>"女"</f>
        <v>女</v>
      </c>
    </row>
    <row r="519" spans="1:6" ht="30" customHeight="1">
      <c r="A519" s="6">
        <v>517</v>
      </c>
      <c r="B519" s="6" t="str">
        <f>"53002023052721194986193"</f>
        <v>53002023052721194986193</v>
      </c>
      <c r="C519" s="6" t="str">
        <f t="shared" si="34"/>
        <v>0108</v>
      </c>
      <c r="D519" s="6" t="s">
        <v>14</v>
      </c>
      <c r="E519" s="6" t="str">
        <f>"盘桂兰"</f>
        <v>盘桂兰</v>
      </c>
      <c r="F519" s="6" t="str">
        <f>"女"</f>
        <v>女</v>
      </c>
    </row>
    <row r="520" spans="1:6" ht="30" customHeight="1">
      <c r="A520" s="6">
        <v>518</v>
      </c>
      <c r="B520" s="6" t="str">
        <f>"53002023052815251687757"</f>
        <v>53002023052815251687757</v>
      </c>
      <c r="C520" s="6" t="str">
        <f t="shared" si="34"/>
        <v>0108</v>
      </c>
      <c r="D520" s="6" t="s">
        <v>14</v>
      </c>
      <c r="E520" s="6" t="str">
        <f>"陈春艳"</f>
        <v>陈春艳</v>
      </c>
      <c r="F520" s="6" t="str">
        <f>"女"</f>
        <v>女</v>
      </c>
    </row>
    <row r="521" spans="1:6" ht="30" customHeight="1">
      <c r="A521" s="6">
        <v>519</v>
      </c>
      <c r="B521" s="6" t="str">
        <f>"53002023052711503284379"</f>
        <v>53002023052711503284379</v>
      </c>
      <c r="C521" s="6" t="str">
        <f t="shared" si="34"/>
        <v>0108</v>
      </c>
      <c r="D521" s="6" t="s">
        <v>14</v>
      </c>
      <c r="E521" s="6" t="str">
        <f>"邱优"</f>
        <v>邱优</v>
      </c>
      <c r="F521" s="6" t="str">
        <f>"男"</f>
        <v>男</v>
      </c>
    </row>
    <row r="522" spans="1:6" ht="30" customHeight="1">
      <c r="A522" s="6">
        <v>520</v>
      </c>
      <c r="B522" s="6" t="str">
        <f>"53002023052817400688179"</f>
        <v>53002023052817400688179</v>
      </c>
      <c r="C522" s="6" t="str">
        <f t="shared" si="34"/>
        <v>0108</v>
      </c>
      <c r="D522" s="6" t="s">
        <v>14</v>
      </c>
      <c r="E522" s="6" t="str">
        <f>"林容花"</f>
        <v>林容花</v>
      </c>
      <c r="F522" s="6" t="str">
        <f>"女"</f>
        <v>女</v>
      </c>
    </row>
    <row r="523" spans="1:6" ht="30" customHeight="1">
      <c r="A523" s="6">
        <v>521</v>
      </c>
      <c r="B523" s="6" t="str">
        <f>"53002023052819462688550"</f>
        <v>53002023052819462688550</v>
      </c>
      <c r="C523" s="6" t="str">
        <f t="shared" si="34"/>
        <v>0108</v>
      </c>
      <c r="D523" s="6" t="s">
        <v>14</v>
      </c>
      <c r="E523" s="6" t="str">
        <f>"郭杜娟"</f>
        <v>郭杜娟</v>
      </c>
      <c r="F523" s="6" t="str">
        <f>"女"</f>
        <v>女</v>
      </c>
    </row>
    <row r="524" spans="1:6" ht="30" customHeight="1">
      <c r="A524" s="6">
        <v>522</v>
      </c>
      <c r="B524" s="6" t="str">
        <f>"53002023052821555588978"</f>
        <v>53002023052821555588978</v>
      </c>
      <c r="C524" s="6" t="str">
        <f t="shared" si="34"/>
        <v>0108</v>
      </c>
      <c r="D524" s="6" t="s">
        <v>14</v>
      </c>
      <c r="E524" s="6" t="str">
        <f>"符春游"</f>
        <v>符春游</v>
      </c>
      <c r="F524" s="6" t="str">
        <f>"女"</f>
        <v>女</v>
      </c>
    </row>
    <row r="525" spans="1:6" ht="30" customHeight="1">
      <c r="A525" s="6">
        <v>523</v>
      </c>
      <c r="B525" s="6" t="str">
        <f>"53002023052823000889196"</f>
        <v>53002023052823000889196</v>
      </c>
      <c r="C525" s="6" t="str">
        <f t="shared" si="34"/>
        <v>0108</v>
      </c>
      <c r="D525" s="6" t="s">
        <v>14</v>
      </c>
      <c r="E525" s="6" t="str">
        <f>"钟海彬"</f>
        <v>钟海彬</v>
      </c>
      <c r="F525" s="6" t="str">
        <f>"男"</f>
        <v>男</v>
      </c>
    </row>
    <row r="526" spans="1:6" ht="30" customHeight="1">
      <c r="A526" s="6">
        <v>524</v>
      </c>
      <c r="B526" s="6" t="str">
        <f>"53002023052817451988191"</f>
        <v>53002023052817451988191</v>
      </c>
      <c r="C526" s="6" t="str">
        <f t="shared" si="34"/>
        <v>0108</v>
      </c>
      <c r="D526" s="6" t="s">
        <v>14</v>
      </c>
      <c r="E526" s="6" t="str">
        <f>"吴曾康"</f>
        <v>吴曾康</v>
      </c>
      <c r="F526" s="6" t="str">
        <f>"男"</f>
        <v>男</v>
      </c>
    </row>
    <row r="527" spans="1:6" ht="30" customHeight="1">
      <c r="A527" s="6">
        <v>525</v>
      </c>
      <c r="B527" s="6" t="str">
        <f>"53002023052908102889501"</f>
        <v>53002023052908102889501</v>
      </c>
      <c r="C527" s="6" t="str">
        <f t="shared" si="34"/>
        <v>0108</v>
      </c>
      <c r="D527" s="6" t="s">
        <v>14</v>
      </c>
      <c r="E527" s="6" t="str">
        <f>"符晨贝"</f>
        <v>符晨贝</v>
      </c>
      <c r="F527" s="6" t="str">
        <f>"女"</f>
        <v>女</v>
      </c>
    </row>
    <row r="528" spans="1:6" ht="30" customHeight="1">
      <c r="A528" s="6">
        <v>526</v>
      </c>
      <c r="B528" s="6" t="str">
        <f>"53002023052909525490354"</f>
        <v>53002023052909525490354</v>
      </c>
      <c r="C528" s="6" t="str">
        <f t="shared" si="34"/>
        <v>0108</v>
      </c>
      <c r="D528" s="6" t="s">
        <v>14</v>
      </c>
      <c r="E528" s="6" t="str">
        <f>"符英玲"</f>
        <v>符英玲</v>
      </c>
      <c r="F528" s="6" t="str">
        <f>"女"</f>
        <v>女</v>
      </c>
    </row>
    <row r="529" spans="1:6" ht="30" customHeight="1">
      <c r="A529" s="6">
        <v>527</v>
      </c>
      <c r="B529" s="6" t="str">
        <f>"53002023052908131289510"</f>
        <v>53002023052908131289510</v>
      </c>
      <c r="C529" s="6" t="str">
        <f t="shared" si="34"/>
        <v>0108</v>
      </c>
      <c r="D529" s="6" t="s">
        <v>14</v>
      </c>
      <c r="E529" s="6" t="str">
        <f>"郄钰"</f>
        <v>郄钰</v>
      </c>
      <c r="F529" s="6" t="str">
        <f>"女"</f>
        <v>女</v>
      </c>
    </row>
    <row r="530" spans="1:6" ht="30" customHeight="1">
      <c r="A530" s="6">
        <v>528</v>
      </c>
      <c r="B530" s="6" t="str">
        <f>"53002023052910045190493"</f>
        <v>53002023052910045190493</v>
      </c>
      <c r="C530" s="6" t="str">
        <f t="shared" si="34"/>
        <v>0108</v>
      </c>
      <c r="D530" s="6" t="s">
        <v>14</v>
      </c>
      <c r="E530" s="6" t="str">
        <f>"余月香"</f>
        <v>余月香</v>
      </c>
      <c r="F530" s="6" t="str">
        <f>"女"</f>
        <v>女</v>
      </c>
    </row>
    <row r="531" spans="1:6" ht="30" customHeight="1">
      <c r="A531" s="6">
        <v>529</v>
      </c>
      <c r="B531" s="6" t="str">
        <f>"53002023052910231390710"</f>
        <v>53002023052910231390710</v>
      </c>
      <c r="C531" s="6" t="str">
        <f t="shared" si="34"/>
        <v>0108</v>
      </c>
      <c r="D531" s="6" t="s">
        <v>14</v>
      </c>
      <c r="E531" s="6" t="str">
        <f>"彭博伟"</f>
        <v>彭博伟</v>
      </c>
      <c r="F531" s="6" t="str">
        <f>"男"</f>
        <v>男</v>
      </c>
    </row>
    <row r="532" spans="1:6" ht="30" customHeight="1">
      <c r="A532" s="6">
        <v>530</v>
      </c>
      <c r="B532" s="6" t="str">
        <f>"53002023052719395285854"</f>
        <v>53002023052719395285854</v>
      </c>
      <c r="C532" s="6" t="str">
        <f t="shared" si="34"/>
        <v>0108</v>
      </c>
      <c r="D532" s="6" t="s">
        <v>14</v>
      </c>
      <c r="E532" s="6" t="str">
        <f>"彭锐"</f>
        <v>彭锐</v>
      </c>
      <c r="F532" s="6" t="str">
        <f>"男"</f>
        <v>男</v>
      </c>
    </row>
    <row r="533" spans="1:6" ht="30" customHeight="1">
      <c r="A533" s="6">
        <v>531</v>
      </c>
      <c r="B533" s="6" t="str">
        <f>"53002023052918340294040"</f>
        <v>53002023052918340294040</v>
      </c>
      <c r="C533" s="6" t="str">
        <f t="shared" si="34"/>
        <v>0108</v>
      </c>
      <c r="D533" s="6" t="s">
        <v>14</v>
      </c>
      <c r="E533" s="6" t="str">
        <f>"张英杏"</f>
        <v>张英杏</v>
      </c>
      <c r="F533" s="6" t="str">
        <f aca="true" t="shared" si="35" ref="F533:F545">"女"</f>
        <v>女</v>
      </c>
    </row>
    <row r="534" spans="1:6" ht="30" customHeight="1">
      <c r="A534" s="6">
        <v>532</v>
      </c>
      <c r="B534" s="6" t="str">
        <f>"53002023052720080585946"</f>
        <v>53002023052720080585946</v>
      </c>
      <c r="C534" s="6" t="str">
        <f t="shared" si="34"/>
        <v>0108</v>
      </c>
      <c r="D534" s="6" t="s">
        <v>14</v>
      </c>
      <c r="E534" s="6" t="str">
        <f>"符海情"</f>
        <v>符海情</v>
      </c>
      <c r="F534" s="6" t="str">
        <f t="shared" si="35"/>
        <v>女</v>
      </c>
    </row>
    <row r="535" spans="1:6" ht="30" customHeight="1">
      <c r="A535" s="6">
        <v>533</v>
      </c>
      <c r="B535" s="6" t="str">
        <f>"53002023052923401095568"</f>
        <v>53002023052923401095568</v>
      </c>
      <c r="C535" s="6" t="str">
        <f t="shared" si="34"/>
        <v>0108</v>
      </c>
      <c r="D535" s="6" t="s">
        <v>14</v>
      </c>
      <c r="E535" s="6" t="str">
        <f>"郑史冰"</f>
        <v>郑史冰</v>
      </c>
      <c r="F535" s="6" t="str">
        <f t="shared" si="35"/>
        <v>女</v>
      </c>
    </row>
    <row r="536" spans="1:6" ht="30" customHeight="1">
      <c r="A536" s="6">
        <v>534</v>
      </c>
      <c r="B536" s="6" t="str">
        <f>"53002023052909571490414"</f>
        <v>53002023052909571490414</v>
      </c>
      <c r="C536" s="6" t="str">
        <f t="shared" si="34"/>
        <v>0108</v>
      </c>
      <c r="D536" s="6" t="s">
        <v>14</v>
      </c>
      <c r="E536" s="6" t="str">
        <f>"林鑫"</f>
        <v>林鑫</v>
      </c>
      <c r="F536" s="6" t="str">
        <f t="shared" si="35"/>
        <v>女</v>
      </c>
    </row>
    <row r="537" spans="1:6" ht="30" customHeight="1">
      <c r="A537" s="6">
        <v>535</v>
      </c>
      <c r="B537" s="6" t="str">
        <f>"53002023053009045496026"</f>
        <v>53002023053009045496026</v>
      </c>
      <c r="C537" s="6" t="str">
        <f t="shared" si="34"/>
        <v>0108</v>
      </c>
      <c r="D537" s="6" t="s">
        <v>14</v>
      </c>
      <c r="E537" s="6" t="str">
        <f>"陈雯"</f>
        <v>陈雯</v>
      </c>
      <c r="F537" s="6" t="str">
        <f t="shared" si="35"/>
        <v>女</v>
      </c>
    </row>
    <row r="538" spans="1:6" ht="30" customHeight="1">
      <c r="A538" s="6">
        <v>536</v>
      </c>
      <c r="B538" s="6" t="str">
        <f>"53002023053010524496887"</f>
        <v>53002023053010524496887</v>
      </c>
      <c r="C538" s="6" t="str">
        <f t="shared" si="34"/>
        <v>0108</v>
      </c>
      <c r="D538" s="6" t="s">
        <v>14</v>
      </c>
      <c r="E538" s="6" t="str">
        <f>"符瑜"</f>
        <v>符瑜</v>
      </c>
      <c r="F538" s="6" t="str">
        <f t="shared" si="35"/>
        <v>女</v>
      </c>
    </row>
    <row r="539" spans="1:6" ht="30" customHeight="1">
      <c r="A539" s="6">
        <v>537</v>
      </c>
      <c r="B539" s="6" t="str">
        <f>"53002023053011084297029"</f>
        <v>53002023053011084297029</v>
      </c>
      <c r="C539" s="6" t="str">
        <f t="shared" si="34"/>
        <v>0108</v>
      </c>
      <c r="D539" s="6" t="s">
        <v>14</v>
      </c>
      <c r="E539" s="6" t="str">
        <f>"李静"</f>
        <v>李静</v>
      </c>
      <c r="F539" s="6" t="str">
        <f t="shared" si="35"/>
        <v>女</v>
      </c>
    </row>
    <row r="540" spans="1:6" ht="30" customHeight="1">
      <c r="A540" s="6">
        <v>538</v>
      </c>
      <c r="B540" s="6" t="str">
        <f>"53002023053011575497387"</f>
        <v>53002023053011575497387</v>
      </c>
      <c r="C540" s="6" t="str">
        <f t="shared" si="34"/>
        <v>0108</v>
      </c>
      <c r="D540" s="6" t="s">
        <v>14</v>
      </c>
      <c r="E540" s="6" t="str">
        <f>"罗星雨"</f>
        <v>罗星雨</v>
      </c>
      <c r="F540" s="6" t="str">
        <f t="shared" si="35"/>
        <v>女</v>
      </c>
    </row>
    <row r="541" spans="1:6" ht="30" customHeight="1">
      <c r="A541" s="6">
        <v>539</v>
      </c>
      <c r="B541" s="6" t="str">
        <f>"53002023052912325191855"</f>
        <v>53002023052912325191855</v>
      </c>
      <c r="C541" s="6" t="str">
        <f t="shared" si="34"/>
        <v>0108</v>
      </c>
      <c r="D541" s="6" t="s">
        <v>14</v>
      </c>
      <c r="E541" s="6" t="str">
        <f>"叶映枚"</f>
        <v>叶映枚</v>
      </c>
      <c r="F541" s="6" t="str">
        <f t="shared" si="35"/>
        <v>女</v>
      </c>
    </row>
    <row r="542" spans="1:6" ht="30" customHeight="1">
      <c r="A542" s="6">
        <v>540</v>
      </c>
      <c r="B542" s="6" t="str">
        <f>"53002023053015340798503"</f>
        <v>53002023053015340798503</v>
      </c>
      <c r="C542" s="6" t="str">
        <f t="shared" si="34"/>
        <v>0108</v>
      </c>
      <c r="D542" s="6" t="s">
        <v>14</v>
      </c>
      <c r="E542" s="6" t="str">
        <f>"黎玉花"</f>
        <v>黎玉花</v>
      </c>
      <c r="F542" s="6" t="str">
        <f t="shared" si="35"/>
        <v>女</v>
      </c>
    </row>
    <row r="543" spans="1:6" ht="30" customHeight="1">
      <c r="A543" s="6">
        <v>541</v>
      </c>
      <c r="B543" s="6" t="str">
        <f>"53002023053015021298292"</f>
        <v>53002023053015021298292</v>
      </c>
      <c r="C543" s="6" t="str">
        <f t="shared" si="34"/>
        <v>0108</v>
      </c>
      <c r="D543" s="6" t="s">
        <v>14</v>
      </c>
      <c r="E543" s="6" t="str">
        <f>"林士琪"</f>
        <v>林士琪</v>
      </c>
      <c r="F543" s="6" t="str">
        <f t="shared" si="35"/>
        <v>女</v>
      </c>
    </row>
    <row r="544" spans="1:6" ht="30" customHeight="1">
      <c r="A544" s="6">
        <v>542</v>
      </c>
      <c r="B544" s="6" t="str">
        <f>"53002023052811590387226"</f>
        <v>53002023052811590387226</v>
      </c>
      <c r="C544" s="6" t="str">
        <f t="shared" si="34"/>
        <v>0108</v>
      </c>
      <c r="D544" s="6" t="s">
        <v>14</v>
      </c>
      <c r="E544" s="6" t="str">
        <f>"李寒"</f>
        <v>李寒</v>
      </c>
      <c r="F544" s="6" t="str">
        <f t="shared" si="35"/>
        <v>女</v>
      </c>
    </row>
    <row r="545" spans="1:6" ht="30" customHeight="1">
      <c r="A545" s="6">
        <v>543</v>
      </c>
      <c r="B545" s="6" t="str">
        <f>"53002023053016152498774"</f>
        <v>53002023053016152498774</v>
      </c>
      <c r="C545" s="6" t="str">
        <f t="shared" si="34"/>
        <v>0108</v>
      </c>
      <c r="D545" s="6" t="s">
        <v>14</v>
      </c>
      <c r="E545" s="6" t="str">
        <f>"丁友清"</f>
        <v>丁友清</v>
      </c>
      <c r="F545" s="6" t="str">
        <f t="shared" si="35"/>
        <v>女</v>
      </c>
    </row>
    <row r="546" spans="1:6" ht="30" customHeight="1">
      <c r="A546" s="6">
        <v>544</v>
      </c>
      <c r="B546" s="6" t="str">
        <f>"53002023053016515499016"</f>
        <v>53002023053016515499016</v>
      </c>
      <c r="C546" s="6" t="str">
        <f t="shared" si="34"/>
        <v>0108</v>
      </c>
      <c r="D546" s="6" t="s">
        <v>14</v>
      </c>
      <c r="E546" s="6" t="str">
        <f>"何永建"</f>
        <v>何永建</v>
      </c>
      <c r="F546" s="6" t="str">
        <f>"男"</f>
        <v>男</v>
      </c>
    </row>
    <row r="547" spans="1:6" ht="30" customHeight="1">
      <c r="A547" s="6">
        <v>545</v>
      </c>
      <c r="B547" s="6" t="str">
        <f>"53002023053017282499226"</f>
        <v>53002023053017282499226</v>
      </c>
      <c r="C547" s="6" t="str">
        <f t="shared" si="34"/>
        <v>0108</v>
      </c>
      <c r="D547" s="6" t="s">
        <v>14</v>
      </c>
      <c r="E547" s="6" t="str">
        <f>"许诗颖"</f>
        <v>许诗颖</v>
      </c>
      <c r="F547" s="6" t="str">
        <f aca="true" t="shared" si="36" ref="F547:F564">"女"</f>
        <v>女</v>
      </c>
    </row>
    <row r="548" spans="1:6" ht="30" customHeight="1">
      <c r="A548" s="6">
        <v>546</v>
      </c>
      <c r="B548" s="6" t="str">
        <f>"53002023052915422592981"</f>
        <v>53002023052915422592981</v>
      </c>
      <c r="C548" s="6" t="str">
        <f t="shared" si="34"/>
        <v>0108</v>
      </c>
      <c r="D548" s="6" t="s">
        <v>14</v>
      </c>
      <c r="E548" s="6" t="str">
        <f>"陈良秋"</f>
        <v>陈良秋</v>
      </c>
      <c r="F548" s="6" t="str">
        <f t="shared" si="36"/>
        <v>女</v>
      </c>
    </row>
    <row r="549" spans="1:6" ht="30" customHeight="1">
      <c r="A549" s="6">
        <v>547</v>
      </c>
      <c r="B549" s="6" t="str">
        <f>"53002023053017020199075"</f>
        <v>53002023053017020199075</v>
      </c>
      <c r="C549" s="6" t="str">
        <f t="shared" si="34"/>
        <v>0108</v>
      </c>
      <c r="D549" s="6" t="s">
        <v>14</v>
      </c>
      <c r="E549" s="6" t="str">
        <f>"王菲"</f>
        <v>王菲</v>
      </c>
      <c r="F549" s="6" t="str">
        <f t="shared" si="36"/>
        <v>女</v>
      </c>
    </row>
    <row r="550" spans="1:6" ht="30" customHeight="1">
      <c r="A550" s="6">
        <v>548</v>
      </c>
      <c r="B550" s="6" t="str">
        <f>"53002023053017224799193"</f>
        <v>53002023053017224799193</v>
      </c>
      <c r="C550" s="6" t="str">
        <f t="shared" si="34"/>
        <v>0108</v>
      </c>
      <c r="D550" s="6" t="s">
        <v>14</v>
      </c>
      <c r="E550" s="6" t="str">
        <f>"黄欣玲"</f>
        <v>黄欣玲</v>
      </c>
      <c r="F550" s="6" t="str">
        <f t="shared" si="36"/>
        <v>女</v>
      </c>
    </row>
    <row r="551" spans="1:6" ht="30" customHeight="1">
      <c r="A551" s="6">
        <v>549</v>
      </c>
      <c r="B551" s="6" t="str">
        <f>"530020230530203146100050"</f>
        <v>530020230530203146100050</v>
      </c>
      <c r="C551" s="6" t="str">
        <f t="shared" si="34"/>
        <v>0108</v>
      </c>
      <c r="D551" s="6" t="s">
        <v>14</v>
      </c>
      <c r="E551" s="6" t="str">
        <f>"吴雨桐"</f>
        <v>吴雨桐</v>
      </c>
      <c r="F551" s="6" t="str">
        <f t="shared" si="36"/>
        <v>女</v>
      </c>
    </row>
    <row r="552" spans="1:6" ht="30" customHeight="1">
      <c r="A552" s="6">
        <v>550</v>
      </c>
      <c r="B552" s="6" t="str">
        <f>"53002023052921070194753"</f>
        <v>53002023052921070194753</v>
      </c>
      <c r="C552" s="6" t="str">
        <f t="shared" si="34"/>
        <v>0108</v>
      </c>
      <c r="D552" s="6" t="s">
        <v>14</v>
      </c>
      <c r="E552" s="6" t="str">
        <f>"陈佳娟"</f>
        <v>陈佳娟</v>
      </c>
      <c r="F552" s="6" t="str">
        <f t="shared" si="36"/>
        <v>女</v>
      </c>
    </row>
    <row r="553" spans="1:6" ht="30" customHeight="1">
      <c r="A553" s="6">
        <v>551</v>
      </c>
      <c r="B553" s="6" t="str">
        <f>"530020230530222931100615"</f>
        <v>530020230530222931100615</v>
      </c>
      <c r="C553" s="6" t="str">
        <f t="shared" si="34"/>
        <v>0108</v>
      </c>
      <c r="D553" s="6" t="s">
        <v>14</v>
      </c>
      <c r="E553" s="6" t="str">
        <f>"张颖"</f>
        <v>张颖</v>
      </c>
      <c r="F553" s="6" t="str">
        <f t="shared" si="36"/>
        <v>女</v>
      </c>
    </row>
    <row r="554" spans="1:6" ht="30" customHeight="1">
      <c r="A554" s="6">
        <v>552</v>
      </c>
      <c r="B554" s="6" t="str">
        <f>"530020230531084657101268"</f>
        <v>530020230531084657101268</v>
      </c>
      <c r="C554" s="6" t="str">
        <f t="shared" si="34"/>
        <v>0108</v>
      </c>
      <c r="D554" s="6" t="s">
        <v>14</v>
      </c>
      <c r="E554" s="6" t="str">
        <f>"胡丹"</f>
        <v>胡丹</v>
      </c>
      <c r="F554" s="6" t="str">
        <f t="shared" si="36"/>
        <v>女</v>
      </c>
    </row>
    <row r="555" spans="1:6" ht="30" customHeight="1">
      <c r="A555" s="6">
        <v>553</v>
      </c>
      <c r="B555" s="6" t="str">
        <f>"530020230531132223102895"</f>
        <v>530020230531132223102895</v>
      </c>
      <c r="C555" s="6" t="str">
        <f t="shared" si="34"/>
        <v>0108</v>
      </c>
      <c r="D555" s="6" t="s">
        <v>14</v>
      </c>
      <c r="E555" s="6" t="str">
        <f>"李岩带"</f>
        <v>李岩带</v>
      </c>
      <c r="F555" s="6" t="str">
        <f t="shared" si="36"/>
        <v>女</v>
      </c>
    </row>
    <row r="556" spans="1:6" ht="30" customHeight="1">
      <c r="A556" s="6">
        <v>554</v>
      </c>
      <c r="B556" s="6" t="str">
        <f>"53002023053009332296252"</f>
        <v>53002023053009332296252</v>
      </c>
      <c r="C556" s="6" t="str">
        <f t="shared" si="34"/>
        <v>0108</v>
      </c>
      <c r="D556" s="6" t="s">
        <v>14</v>
      </c>
      <c r="E556" s="6" t="str">
        <f>"王乙如"</f>
        <v>王乙如</v>
      </c>
      <c r="F556" s="6" t="str">
        <f t="shared" si="36"/>
        <v>女</v>
      </c>
    </row>
    <row r="557" spans="1:6" ht="30" customHeight="1">
      <c r="A557" s="6">
        <v>555</v>
      </c>
      <c r="B557" s="6" t="str">
        <f>"53002023053019401699790"</f>
        <v>53002023053019401699790</v>
      </c>
      <c r="C557" s="6" t="str">
        <f t="shared" si="34"/>
        <v>0108</v>
      </c>
      <c r="D557" s="6" t="s">
        <v>14</v>
      </c>
      <c r="E557" s="6" t="str">
        <f>"张雪梅"</f>
        <v>张雪梅</v>
      </c>
      <c r="F557" s="6" t="str">
        <f t="shared" si="36"/>
        <v>女</v>
      </c>
    </row>
    <row r="558" spans="1:6" ht="30" customHeight="1">
      <c r="A558" s="6">
        <v>556</v>
      </c>
      <c r="B558" s="6" t="str">
        <f>"530020230531215702104765"</f>
        <v>530020230531215702104765</v>
      </c>
      <c r="C558" s="6" t="str">
        <f t="shared" si="34"/>
        <v>0108</v>
      </c>
      <c r="D558" s="6" t="s">
        <v>14</v>
      </c>
      <c r="E558" s="6" t="str">
        <f>"徐璟"</f>
        <v>徐璟</v>
      </c>
      <c r="F558" s="6" t="str">
        <f t="shared" si="36"/>
        <v>女</v>
      </c>
    </row>
    <row r="559" spans="1:6" ht="30" customHeight="1">
      <c r="A559" s="6">
        <v>557</v>
      </c>
      <c r="B559" s="6" t="str">
        <f>"530020230531193555104290"</f>
        <v>530020230531193555104290</v>
      </c>
      <c r="C559" s="6" t="str">
        <f t="shared" si="34"/>
        <v>0108</v>
      </c>
      <c r="D559" s="6" t="s">
        <v>14</v>
      </c>
      <c r="E559" s="6" t="str">
        <f>"吴蕾蕾"</f>
        <v>吴蕾蕾</v>
      </c>
      <c r="F559" s="6" t="str">
        <f t="shared" si="36"/>
        <v>女</v>
      </c>
    </row>
    <row r="560" spans="1:6" ht="30" customHeight="1">
      <c r="A560" s="6">
        <v>558</v>
      </c>
      <c r="B560" s="6" t="str">
        <f>"530020230531223608104890"</f>
        <v>530020230531223608104890</v>
      </c>
      <c r="C560" s="6" t="str">
        <f t="shared" si="34"/>
        <v>0108</v>
      </c>
      <c r="D560" s="6" t="s">
        <v>14</v>
      </c>
      <c r="E560" s="6" t="str">
        <f>"李桂姣"</f>
        <v>李桂姣</v>
      </c>
      <c r="F560" s="6" t="str">
        <f t="shared" si="36"/>
        <v>女</v>
      </c>
    </row>
    <row r="561" spans="1:6" ht="30" customHeight="1">
      <c r="A561" s="6">
        <v>559</v>
      </c>
      <c r="B561" s="6" t="str">
        <f>"530020230530213340100311"</f>
        <v>530020230530213340100311</v>
      </c>
      <c r="C561" s="6" t="str">
        <f t="shared" si="34"/>
        <v>0108</v>
      </c>
      <c r="D561" s="6" t="s">
        <v>14</v>
      </c>
      <c r="E561" s="6" t="str">
        <f>"符卓燕"</f>
        <v>符卓燕</v>
      </c>
      <c r="F561" s="6" t="str">
        <f t="shared" si="36"/>
        <v>女</v>
      </c>
    </row>
    <row r="562" spans="1:6" ht="30" customHeight="1">
      <c r="A562" s="6">
        <v>560</v>
      </c>
      <c r="B562" s="6" t="str">
        <f>"530020230601073721105212"</f>
        <v>530020230601073721105212</v>
      </c>
      <c r="C562" s="6" t="str">
        <f t="shared" si="34"/>
        <v>0108</v>
      </c>
      <c r="D562" s="6" t="s">
        <v>14</v>
      </c>
      <c r="E562" s="6" t="str">
        <f>"谭美翠"</f>
        <v>谭美翠</v>
      </c>
      <c r="F562" s="6" t="str">
        <f t="shared" si="36"/>
        <v>女</v>
      </c>
    </row>
    <row r="563" spans="1:6" ht="30" customHeight="1">
      <c r="A563" s="6">
        <v>561</v>
      </c>
      <c r="B563" s="6" t="str">
        <f>"53002023052718475785707"</f>
        <v>53002023052718475785707</v>
      </c>
      <c r="C563" s="6" t="str">
        <f t="shared" si="34"/>
        <v>0108</v>
      </c>
      <c r="D563" s="6" t="s">
        <v>14</v>
      </c>
      <c r="E563" s="6" t="str">
        <f>"郑胜蓝"</f>
        <v>郑胜蓝</v>
      </c>
      <c r="F563" s="6" t="str">
        <f t="shared" si="36"/>
        <v>女</v>
      </c>
    </row>
    <row r="564" spans="1:6" ht="30" customHeight="1">
      <c r="A564" s="6">
        <v>562</v>
      </c>
      <c r="B564" s="6" t="str">
        <f>"530020230601110958106304"</f>
        <v>530020230601110958106304</v>
      </c>
      <c r="C564" s="6" t="str">
        <f t="shared" si="34"/>
        <v>0108</v>
      </c>
      <c r="D564" s="6" t="s">
        <v>14</v>
      </c>
      <c r="E564" s="6" t="str">
        <f>"林丽婷"</f>
        <v>林丽婷</v>
      </c>
      <c r="F564" s="6" t="str">
        <f t="shared" si="36"/>
        <v>女</v>
      </c>
    </row>
    <row r="565" spans="1:6" ht="30" customHeight="1">
      <c r="A565" s="6">
        <v>563</v>
      </c>
      <c r="B565" s="6" t="str">
        <f>"53002023052717041885434"</f>
        <v>53002023052717041885434</v>
      </c>
      <c r="C565" s="6" t="str">
        <f t="shared" si="34"/>
        <v>0108</v>
      </c>
      <c r="D565" s="6" t="s">
        <v>14</v>
      </c>
      <c r="E565" s="6" t="str">
        <f>"张乃子"</f>
        <v>张乃子</v>
      </c>
      <c r="F565" s="6" t="str">
        <f>"男"</f>
        <v>男</v>
      </c>
    </row>
    <row r="566" spans="1:6" ht="30" customHeight="1">
      <c r="A566" s="6">
        <v>564</v>
      </c>
      <c r="B566" s="6" t="str">
        <f>"530020230601152237107347"</f>
        <v>530020230601152237107347</v>
      </c>
      <c r="C566" s="6" t="str">
        <f t="shared" si="34"/>
        <v>0108</v>
      </c>
      <c r="D566" s="6" t="s">
        <v>14</v>
      </c>
      <c r="E566" s="6" t="str">
        <f>"黄晓璨"</f>
        <v>黄晓璨</v>
      </c>
      <c r="F566" s="6" t="str">
        <f>"女"</f>
        <v>女</v>
      </c>
    </row>
    <row r="567" spans="1:6" ht="30" customHeight="1">
      <c r="A567" s="6">
        <v>565</v>
      </c>
      <c r="B567" s="6" t="str">
        <f>"53002023052909400190208"</f>
        <v>53002023052909400190208</v>
      </c>
      <c r="C567" s="6" t="str">
        <f t="shared" si="34"/>
        <v>0108</v>
      </c>
      <c r="D567" s="6" t="s">
        <v>14</v>
      </c>
      <c r="E567" s="6" t="str">
        <f>"王灵巧"</f>
        <v>王灵巧</v>
      </c>
      <c r="F567" s="6" t="str">
        <f>"女"</f>
        <v>女</v>
      </c>
    </row>
    <row r="568" spans="1:6" ht="30" customHeight="1">
      <c r="A568" s="6">
        <v>566</v>
      </c>
      <c r="B568" s="6" t="str">
        <f>"530020230601000727105102"</f>
        <v>530020230601000727105102</v>
      </c>
      <c r="C568" s="6" t="str">
        <f t="shared" si="34"/>
        <v>0108</v>
      </c>
      <c r="D568" s="6" t="s">
        <v>14</v>
      </c>
      <c r="E568" s="6" t="str">
        <f>"陈小鸿"</f>
        <v>陈小鸿</v>
      </c>
      <c r="F568" s="6" t="str">
        <f>"男"</f>
        <v>男</v>
      </c>
    </row>
    <row r="569" spans="1:6" ht="30" customHeight="1">
      <c r="A569" s="6">
        <v>567</v>
      </c>
      <c r="B569" s="6" t="str">
        <f>"530020230601125929106824"</f>
        <v>530020230601125929106824</v>
      </c>
      <c r="C569" s="6" t="str">
        <f t="shared" si="34"/>
        <v>0108</v>
      </c>
      <c r="D569" s="6" t="s">
        <v>14</v>
      </c>
      <c r="E569" s="6" t="str">
        <f>"苏文珊"</f>
        <v>苏文珊</v>
      </c>
      <c r="F569" s="6" t="str">
        <f>"女"</f>
        <v>女</v>
      </c>
    </row>
    <row r="570" spans="1:6" ht="30" customHeight="1">
      <c r="A570" s="6">
        <v>568</v>
      </c>
      <c r="B570" s="6" t="str">
        <f>"53002023053011480097333"</f>
        <v>53002023053011480097333</v>
      </c>
      <c r="C570" s="6" t="str">
        <f t="shared" si="34"/>
        <v>0108</v>
      </c>
      <c r="D570" s="6" t="s">
        <v>14</v>
      </c>
      <c r="E570" s="6" t="str">
        <f>"王秀宇"</f>
        <v>王秀宇</v>
      </c>
      <c r="F570" s="6" t="str">
        <f>"女"</f>
        <v>女</v>
      </c>
    </row>
    <row r="571" spans="1:6" ht="30" customHeight="1">
      <c r="A571" s="6">
        <v>569</v>
      </c>
      <c r="B571" s="6" t="str">
        <f>"530020230601223749108924"</f>
        <v>530020230601223749108924</v>
      </c>
      <c r="C571" s="6" t="str">
        <f t="shared" si="34"/>
        <v>0108</v>
      </c>
      <c r="D571" s="6" t="s">
        <v>14</v>
      </c>
      <c r="E571" s="6" t="str">
        <f>"邓依"</f>
        <v>邓依</v>
      </c>
      <c r="F571" s="6" t="str">
        <f>"女"</f>
        <v>女</v>
      </c>
    </row>
    <row r="572" spans="1:6" ht="30" customHeight="1">
      <c r="A572" s="6">
        <v>570</v>
      </c>
      <c r="B572" s="6" t="str">
        <f>"530020230601163718107690"</f>
        <v>530020230601163718107690</v>
      </c>
      <c r="C572" s="6" t="str">
        <f t="shared" si="34"/>
        <v>0108</v>
      </c>
      <c r="D572" s="6" t="s">
        <v>14</v>
      </c>
      <c r="E572" s="6" t="str">
        <f>"王白倩"</f>
        <v>王白倩</v>
      </c>
      <c r="F572" s="6" t="str">
        <f>"女"</f>
        <v>女</v>
      </c>
    </row>
    <row r="573" spans="1:6" ht="30" customHeight="1">
      <c r="A573" s="6">
        <v>571</v>
      </c>
      <c r="B573" s="6" t="str">
        <f>"530020230601215735108751"</f>
        <v>530020230601215735108751</v>
      </c>
      <c r="C573" s="6" t="str">
        <f t="shared" si="34"/>
        <v>0108</v>
      </c>
      <c r="D573" s="6" t="s">
        <v>14</v>
      </c>
      <c r="E573" s="6" t="str">
        <f>"林建永"</f>
        <v>林建永</v>
      </c>
      <c r="F573" s="6" t="str">
        <f>"男"</f>
        <v>男</v>
      </c>
    </row>
    <row r="574" spans="1:6" ht="30" customHeight="1">
      <c r="A574" s="6">
        <v>572</v>
      </c>
      <c r="B574" s="6" t="str">
        <f>"530020230601222130108860"</f>
        <v>530020230601222130108860</v>
      </c>
      <c r="C574" s="6" t="str">
        <f t="shared" si="34"/>
        <v>0108</v>
      </c>
      <c r="D574" s="6" t="s">
        <v>14</v>
      </c>
      <c r="E574" s="6" t="str">
        <f>"羊代香"</f>
        <v>羊代香</v>
      </c>
      <c r="F574" s="6" t="str">
        <f>"女"</f>
        <v>女</v>
      </c>
    </row>
    <row r="575" spans="1:6" ht="30" customHeight="1">
      <c r="A575" s="6">
        <v>573</v>
      </c>
      <c r="B575" s="6" t="str">
        <f>"530020230602095514109674"</f>
        <v>530020230602095514109674</v>
      </c>
      <c r="C575" s="6" t="str">
        <f t="shared" si="34"/>
        <v>0108</v>
      </c>
      <c r="D575" s="6" t="s">
        <v>14</v>
      </c>
      <c r="E575" s="6" t="str">
        <f>"王珠恋"</f>
        <v>王珠恋</v>
      </c>
      <c r="F575" s="6" t="str">
        <f>"女"</f>
        <v>女</v>
      </c>
    </row>
    <row r="576" spans="1:6" ht="30" customHeight="1">
      <c r="A576" s="6">
        <v>574</v>
      </c>
      <c r="B576" s="6" t="str">
        <f>"530020230601230740109020"</f>
        <v>530020230601230740109020</v>
      </c>
      <c r="C576" s="6" t="str">
        <f t="shared" si="34"/>
        <v>0108</v>
      </c>
      <c r="D576" s="6" t="s">
        <v>14</v>
      </c>
      <c r="E576" s="6" t="str">
        <f>"符河东"</f>
        <v>符河东</v>
      </c>
      <c r="F576" s="6" t="str">
        <f>"男"</f>
        <v>男</v>
      </c>
    </row>
    <row r="577" spans="1:6" ht="30" customHeight="1">
      <c r="A577" s="6">
        <v>575</v>
      </c>
      <c r="B577" s="6" t="str">
        <f>"53002023052710442684095"</f>
        <v>53002023052710442684095</v>
      </c>
      <c r="C577" s="6" t="str">
        <f t="shared" si="34"/>
        <v>0108</v>
      </c>
      <c r="D577" s="6" t="s">
        <v>14</v>
      </c>
      <c r="E577" s="6" t="str">
        <f>"孙淑贤"</f>
        <v>孙淑贤</v>
      </c>
      <c r="F577" s="6" t="str">
        <f>"女"</f>
        <v>女</v>
      </c>
    </row>
    <row r="578" spans="1:6" ht="30" customHeight="1">
      <c r="A578" s="6">
        <v>576</v>
      </c>
      <c r="B578" s="6" t="str">
        <f>"53002023052712254584497"</f>
        <v>53002023052712254584497</v>
      </c>
      <c r="C578" s="6" t="str">
        <f aca="true" t="shared" si="37" ref="C578:C640">"0109"</f>
        <v>0109</v>
      </c>
      <c r="D578" s="6" t="s">
        <v>15</v>
      </c>
      <c r="E578" s="6" t="str">
        <f>"陈丽梅"</f>
        <v>陈丽梅</v>
      </c>
      <c r="F578" s="6" t="str">
        <f>"女"</f>
        <v>女</v>
      </c>
    </row>
    <row r="579" spans="1:6" ht="30" customHeight="1">
      <c r="A579" s="6">
        <v>577</v>
      </c>
      <c r="B579" s="6" t="str">
        <f>"53002023052713141084662"</f>
        <v>53002023052713141084662</v>
      </c>
      <c r="C579" s="6" t="str">
        <f t="shared" si="37"/>
        <v>0109</v>
      </c>
      <c r="D579" s="6" t="s">
        <v>15</v>
      </c>
      <c r="E579" s="6" t="str">
        <f>"文传庆"</f>
        <v>文传庆</v>
      </c>
      <c r="F579" s="6" t="str">
        <f>"男"</f>
        <v>男</v>
      </c>
    </row>
    <row r="580" spans="1:6" ht="30" customHeight="1">
      <c r="A580" s="6">
        <v>578</v>
      </c>
      <c r="B580" s="6" t="str">
        <f>"53002023052718140685635"</f>
        <v>53002023052718140685635</v>
      </c>
      <c r="C580" s="6" t="str">
        <f t="shared" si="37"/>
        <v>0109</v>
      </c>
      <c r="D580" s="6" t="s">
        <v>15</v>
      </c>
      <c r="E580" s="6" t="str">
        <f>"王国兴"</f>
        <v>王国兴</v>
      </c>
      <c r="F580" s="6" t="str">
        <f>"男"</f>
        <v>男</v>
      </c>
    </row>
    <row r="581" spans="1:6" ht="30" customHeight="1">
      <c r="A581" s="6">
        <v>579</v>
      </c>
      <c r="B581" s="6" t="str">
        <f>"53002023052717550785592"</f>
        <v>53002023052717550785592</v>
      </c>
      <c r="C581" s="6" t="str">
        <f t="shared" si="37"/>
        <v>0109</v>
      </c>
      <c r="D581" s="6" t="s">
        <v>15</v>
      </c>
      <c r="E581" s="6" t="str">
        <f>"王安帅"</f>
        <v>王安帅</v>
      </c>
      <c r="F581" s="6" t="str">
        <f>"男"</f>
        <v>男</v>
      </c>
    </row>
    <row r="582" spans="1:6" ht="30" customHeight="1">
      <c r="A582" s="6">
        <v>580</v>
      </c>
      <c r="B582" s="6" t="str">
        <f>"53002023052720224985981"</f>
        <v>53002023052720224985981</v>
      </c>
      <c r="C582" s="6" t="str">
        <f t="shared" si="37"/>
        <v>0109</v>
      </c>
      <c r="D582" s="6" t="s">
        <v>15</v>
      </c>
      <c r="E582" s="6" t="str">
        <f>"周静静"</f>
        <v>周静静</v>
      </c>
      <c r="F582" s="6" t="str">
        <f aca="true" t="shared" si="38" ref="F582:F587">"女"</f>
        <v>女</v>
      </c>
    </row>
    <row r="583" spans="1:6" ht="30" customHeight="1">
      <c r="A583" s="6">
        <v>581</v>
      </c>
      <c r="B583" s="6" t="str">
        <f>"53002023052720322186021"</f>
        <v>53002023052720322186021</v>
      </c>
      <c r="C583" s="6" t="str">
        <f t="shared" si="37"/>
        <v>0109</v>
      </c>
      <c r="D583" s="6" t="s">
        <v>15</v>
      </c>
      <c r="E583" s="6" t="str">
        <f>"陈夏珠"</f>
        <v>陈夏珠</v>
      </c>
      <c r="F583" s="6" t="str">
        <f t="shared" si="38"/>
        <v>女</v>
      </c>
    </row>
    <row r="584" spans="1:6" ht="30" customHeight="1">
      <c r="A584" s="6">
        <v>582</v>
      </c>
      <c r="B584" s="6" t="str">
        <f>"53002023052720384386040"</f>
        <v>53002023052720384386040</v>
      </c>
      <c r="C584" s="6" t="str">
        <f t="shared" si="37"/>
        <v>0109</v>
      </c>
      <c r="D584" s="6" t="s">
        <v>15</v>
      </c>
      <c r="E584" s="6" t="str">
        <f>"吴晓珍"</f>
        <v>吴晓珍</v>
      </c>
      <c r="F584" s="6" t="str">
        <f t="shared" si="38"/>
        <v>女</v>
      </c>
    </row>
    <row r="585" spans="1:6" ht="30" customHeight="1">
      <c r="A585" s="6">
        <v>583</v>
      </c>
      <c r="B585" s="6" t="str">
        <f>"53002023052720315386019"</f>
        <v>53002023052720315386019</v>
      </c>
      <c r="C585" s="6" t="str">
        <f t="shared" si="37"/>
        <v>0109</v>
      </c>
      <c r="D585" s="6" t="s">
        <v>15</v>
      </c>
      <c r="E585" s="6" t="str">
        <f>"羊美丽"</f>
        <v>羊美丽</v>
      </c>
      <c r="F585" s="6" t="str">
        <f t="shared" si="38"/>
        <v>女</v>
      </c>
    </row>
    <row r="586" spans="1:6" ht="30" customHeight="1">
      <c r="A586" s="6">
        <v>584</v>
      </c>
      <c r="B586" s="6" t="str">
        <f>"53002023052807310386735"</f>
        <v>53002023052807310386735</v>
      </c>
      <c r="C586" s="6" t="str">
        <f t="shared" si="37"/>
        <v>0109</v>
      </c>
      <c r="D586" s="6" t="s">
        <v>15</v>
      </c>
      <c r="E586" s="6" t="str">
        <f>"林飞转"</f>
        <v>林飞转</v>
      </c>
      <c r="F586" s="6" t="str">
        <f t="shared" si="38"/>
        <v>女</v>
      </c>
    </row>
    <row r="587" spans="1:6" ht="30" customHeight="1">
      <c r="A587" s="6">
        <v>585</v>
      </c>
      <c r="B587" s="6" t="str">
        <f>"53002023052812475187349"</f>
        <v>53002023052812475187349</v>
      </c>
      <c r="C587" s="6" t="str">
        <f t="shared" si="37"/>
        <v>0109</v>
      </c>
      <c r="D587" s="6" t="s">
        <v>15</v>
      </c>
      <c r="E587" s="6" t="str">
        <f>"李寅姣"</f>
        <v>李寅姣</v>
      </c>
      <c r="F587" s="6" t="str">
        <f t="shared" si="38"/>
        <v>女</v>
      </c>
    </row>
    <row r="588" spans="1:6" ht="30" customHeight="1">
      <c r="A588" s="6">
        <v>586</v>
      </c>
      <c r="B588" s="6" t="str">
        <f>"53002023052815425387801"</f>
        <v>53002023052815425387801</v>
      </c>
      <c r="C588" s="6" t="str">
        <f t="shared" si="37"/>
        <v>0109</v>
      </c>
      <c r="D588" s="6" t="s">
        <v>15</v>
      </c>
      <c r="E588" s="6" t="str">
        <f>"黄卓行"</f>
        <v>黄卓行</v>
      </c>
      <c r="F588" s="6" t="str">
        <f>"男"</f>
        <v>男</v>
      </c>
    </row>
    <row r="589" spans="1:6" ht="30" customHeight="1">
      <c r="A589" s="6">
        <v>587</v>
      </c>
      <c r="B589" s="6" t="str">
        <f>"53002023052819385888530"</f>
        <v>53002023052819385888530</v>
      </c>
      <c r="C589" s="6" t="str">
        <f t="shared" si="37"/>
        <v>0109</v>
      </c>
      <c r="D589" s="6" t="s">
        <v>15</v>
      </c>
      <c r="E589" s="6" t="str">
        <f>"郑政"</f>
        <v>郑政</v>
      </c>
      <c r="F589" s="6" t="str">
        <f>"男"</f>
        <v>男</v>
      </c>
    </row>
    <row r="590" spans="1:6" ht="30" customHeight="1">
      <c r="A590" s="6">
        <v>588</v>
      </c>
      <c r="B590" s="6" t="str">
        <f>"53002023052819322488513"</f>
        <v>53002023052819322488513</v>
      </c>
      <c r="C590" s="6" t="str">
        <f t="shared" si="37"/>
        <v>0109</v>
      </c>
      <c r="D590" s="6" t="s">
        <v>15</v>
      </c>
      <c r="E590" s="6" t="str">
        <f>"罗玉玉"</f>
        <v>罗玉玉</v>
      </c>
      <c r="F590" s="6" t="str">
        <f aca="true" t="shared" si="39" ref="F590:F605">"女"</f>
        <v>女</v>
      </c>
    </row>
    <row r="591" spans="1:6" ht="30" customHeight="1">
      <c r="A591" s="6">
        <v>589</v>
      </c>
      <c r="B591" s="6" t="str">
        <f>"53002023052819413088534"</f>
        <v>53002023052819413088534</v>
      </c>
      <c r="C591" s="6" t="str">
        <f t="shared" si="37"/>
        <v>0109</v>
      </c>
      <c r="D591" s="6" t="s">
        <v>15</v>
      </c>
      <c r="E591" s="6" t="str">
        <f>"符玉玫"</f>
        <v>符玉玫</v>
      </c>
      <c r="F591" s="6" t="str">
        <f t="shared" si="39"/>
        <v>女</v>
      </c>
    </row>
    <row r="592" spans="1:6" ht="30" customHeight="1">
      <c r="A592" s="6">
        <v>590</v>
      </c>
      <c r="B592" s="6" t="str">
        <f>"53002023052722081086344"</f>
        <v>53002023052722081086344</v>
      </c>
      <c r="C592" s="6" t="str">
        <f t="shared" si="37"/>
        <v>0109</v>
      </c>
      <c r="D592" s="6" t="s">
        <v>15</v>
      </c>
      <c r="E592" s="6" t="str">
        <f>"刘凡"</f>
        <v>刘凡</v>
      </c>
      <c r="F592" s="6" t="str">
        <f t="shared" si="39"/>
        <v>女</v>
      </c>
    </row>
    <row r="593" spans="1:6" ht="30" customHeight="1">
      <c r="A593" s="6">
        <v>591</v>
      </c>
      <c r="B593" s="6" t="str">
        <f>"53002023052823310589279"</f>
        <v>53002023052823310589279</v>
      </c>
      <c r="C593" s="6" t="str">
        <f t="shared" si="37"/>
        <v>0109</v>
      </c>
      <c r="D593" s="6" t="s">
        <v>15</v>
      </c>
      <c r="E593" s="6" t="str">
        <f>"罗萍萍"</f>
        <v>罗萍萍</v>
      </c>
      <c r="F593" s="6" t="str">
        <f t="shared" si="39"/>
        <v>女</v>
      </c>
    </row>
    <row r="594" spans="1:6" ht="30" customHeight="1">
      <c r="A594" s="6">
        <v>592</v>
      </c>
      <c r="B594" s="6" t="str">
        <f>"53002023052719565885909"</f>
        <v>53002023052719565885909</v>
      </c>
      <c r="C594" s="6" t="str">
        <f t="shared" si="37"/>
        <v>0109</v>
      </c>
      <c r="D594" s="6" t="s">
        <v>15</v>
      </c>
      <c r="E594" s="6" t="str">
        <f>"符李燕"</f>
        <v>符李燕</v>
      </c>
      <c r="F594" s="6" t="str">
        <f t="shared" si="39"/>
        <v>女</v>
      </c>
    </row>
    <row r="595" spans="1:6" ht="30" customHeight="1">
      <c r="A595" s="6">
        <v>593</v>
      </c>
      <c r="B595" s="6" t="str">
        <f>"53002023052909321490121"</f>
        <v>53002023052909321490121</v>
      </c>
      <c r="C595" s="6" t="str">
        <f t="shared" si="37"/>
        <v>0109</v>
      </c>
      <c r="D595" s="6" t="s">
        <v>15</v>
      </c>
      <c r="E595" s="6" t="str">
        <f>"符春蕾"</f>
        <v>符春蕾</v>
      </c>
      <c r="F595" s="6" t="str">
        <f t="shared" si="39"/>
        <v>女</v>
      </c>
    </row>
    <row r="596" spans="1:6" ht="30" customHeight="1">
      <c r="A596" s="6">
        <v>594</v>
      </c>
      <c r="B596" s="6" t="str">
        <f>"53002023052909581290425"</f>
        <v>53002023052909581290425</v>
      </c>
      <c r="C596" s="6" t="str">
        <f t="shared" si="37"/>
        <v>0109</v>
      </c>
      <c r="D596" s="6" t="s">
        <v>15</v>
      </c>
      <c r="E596" s="6" t="str">
        <f>"龙嫔嫔"</f>
        <v>龙嫔嫔</v>
      </c>
      <c r="F596" s="6" t="str">
        <f t="shared" si="39"/>
        <v>女</v>
      </c>
    </row>
    <row r="597" spans="1:6" ht="30" customHeight="1">
      <c r="A597" s="6">
        <v>595</v>
      </c>
      <c r="B597" s="6" t="str">
        <f>"53002023052908592589676"</f>
        <v>53002023052908592589676</v>
      </c>
      <c r="C597" s="6" t="str">
        <f t="shared" si="37"/>
        <v>0109</v>
      </c>
      <c r="D597" s="6" t="s">
        <v>15</v>
      </c>
      <c r="E597" s="6" t="str">
        <f>"卢惠"</f>
        <v>卢惠</v>
      </c>
      <c r="F597" s="6" t="str">
        <f t="shared" si="39"/>
        <v>女</v>
      </c>
    </row>
    <row r="598" spans="1:6" ht="30" customHeight="1">
      <c r="A598" s="6">
        <v>596</v>
      </c>
      <c r="B598" s="6" t="str">
        <f>"53002023052814272187612"</f>
        <v>53002023052814272187612</v>
      </c>
      <c r="C598" s="6" t="str">
        <f t="shared" si="37"/>
        <v>0109</v>
      </c>
      <c r="D598" s="6" t="s">
        <v>15</v>
      </c>
      <c r="E598" s="6" t="str">
        <f>"刘月秀"</f>
        <v>刘月秀</v>
      </c>
      <c r="F598" s="6" t="str">
        <f t="shared" si="39"/>
        <v>女</v>
      </c>
    </row>
    <row r="599" spans="1:6" ht="30" customHeight="1">
      <c r="A599" s="6">
        <v>597</v>
      </c>
      <c r="B599" s="6" t="str">
        <f>"53002023052913121792099"</f>
        <v>53002023052913121792099</v>
      </c>
      <c r="C599" s="6" t="str">
        <f t="shared" si="37"/>
        <v>0109</v>
      </c>
      <c r="D599" s="6" t="s">
        <v>15</v>
      </c>
      <c r="E599" s="6" t="str">
        <f>"吴造云"</f>
        <v>吴造云</v>
      </c>
      <c r="F599" s="6" t="str">
        <f t="shared" si="39"/>
        <v>女</v>
      </c>
    </row>
    <row r="600" spans="1:6" ht="30" customHeight="1">
      <c r="A600" s="6">
        <v>598</v>
      </c>
      <c r="B600" s="6" t="str">
        <f>"53002023052722480386458"</f>
        <v>53002023052722480386458</v>
      </c>
      <c r="C600" s="6" t="str">
        <f t="shared" si="37"/>
        <v>0109</v>
      </c>
      <c r="D600" s="6" t="s">
        <v>15</v>
      </c>
      <c r="E600" s="6" t="str">
        <f>"林朱玲"</f>
        <v>林朱玲</v>
      </c>
      <c r="F600" s="6" t="str">
        <f t="shared" si="39"/>
        <v>女</v>
      </c>
    </row>
    <row r="601" spans="1:6" ht="30" customHeight="1">
      <c r="A601" s="6">
        <v>599</v>
      </c>
      <c r="B601" s="6" t="str">
        <f>"53002023052915255292842"</f>
        <v>53002023052915255292842</v>
      </c>
      <c r="C601" s="6" t="str">
        <f t="shared" si="37"/>
        <v>0109</v>
      </c>
      <c r="D601" s="6" t="s">
        <v>15</v>
      </c>
      <c r="E601" s="6" t="str">
        <f>"叶妍妍"</f>
        <v>叶妍妍</v>
      </c>
      <c r="F601" s="6" t="str">
        <f t="shared" si="39"/>
        <v>女</v>
      </c>
    </row>
    <row r="602" spans="1:6" ht="30" customHeight="1">
      <c r="A602" s="6">
        <v>600</v>
      </c>
      <c r="B602" s="6" t="str">
        <f>"53002023052910530091049"</f>
        <v>53002023052910530091049</v>
      </c>
      <c r="C602" s="6" t="str">
        <f t="shared" si="37"/>
        <v>0109</v>
      </c>
      <c r="D602" s="6" t="s">
        <v>15</v>
      </c>
      <c r="E602" s="6" t="str">
        <f>"朱正娲"</f>
        <v>朱正娲</v>
      </c>
      <c r="F602" s="6" t="str">
        <f t="shared" si="39"/>
        <v>女</v>
      </c>
    </row>
    <row r="603" spans="1:6" ht="30" customHeight="1">
      <c r="A603" s="6">
        <v>601</v>
      </c>
      <c r="B603" s="6" t="str">
        <f>"53002023052916082593193"</f>
        <v>53002023052916082593193</v>
      </c>
      <c r="C603" s="6" t="str">
        <f t="shared" si="37"/>
        <v>0109</v>
      </c>
      <c r="D603" s="6" t="s">
        <v>15</v>
      </c>
      <c r="E603" s="6" t="str">
        <f>"陈季香"</f>
        <v>陈季香</v>
      </c>
      <c r="F603" s="6" t="str">
        <f t="shared" si="39"/>
        <v>女</v>
      </c>
    </row>
    <row r="604" spans="1:6" ht="30" customHeight="1">
      <c r="A604" s="6">
        <v>602</v>
      </c>
      <c r="B604" s="6" t="str">
        <f>"53002023052916090593198"</f>
        <v>53002023052916090593198</v>
      </c>
      <c r="C604" s="6" t="str">
        <f t="shared" si="37"/>
        <v>0109</v>
      </c>
      <c r="D604" s="6" t="s">
        <v>15</v>
      </c>
      <c r="E604" s="6" t="str">
        <f>"张才欢"</f>
        <v>张才欢</v>
      </c>
      <c r="F604" s="6" t="str">
        <f t="shared" si="39"/>
        <v>女</v>
      </c>
    </row>
    <row r="605" spans="1:6" ht="30" customHeight="1">
      <c r="A605" s="6">
        <v>603</v>
      </c>
      <c r="B605" s="6" t="str">
        <f>"53002023052910153890625"</f>
        <v>53002023052910153890625</v>
      </c>
      <c r="C605" s="6" t="str">
        <f t="shared" si="37"/>
        <v>0109</v>
      </c>
      <c r="D605" s="6" t="s">
        <v>15</v>
      </c>
      <c r="E605" s="6" t="str">
        <f>"徐凤翔"</f>
        <v>徐凤翔</v>
      </c>
      <c r="F605" s="6" t="str">
        <f t="shared" si="39"/>
        <v>女</v>
      </c>
    </row>
    <row r="606" spans="1:6" ht="30" customHeight="1">
      <c r="A606" s="6">
        <v>604</v>
      </c>
      <c r="B606" s="6" t="str">
        <f>"53002023052917191993684"</f>
        <v>53002023052917191993684</v>
      </c>
      <c r="C606" s="6" t="str">
        <f t="shared" si="37"/>
        <v>0109</v>
      </c>
      <c r="D606" s="6" t="s">
        <v>15</v>
      </c>
      <c r="E606" s="6" t="str">
        <f>"黎贵荣"</f>
        <v>黎贵荣</v>
      </c>
      <c r="F606" s="6" t="str">
        <f>"男"</f>
        <v>男</v>
      </c>
    </row>
    <row r="607" spans="1:6" ht="30" customHeight="1">
      <c r="A607" s="6">
        <v>605</v>
      </c>
      <c r="B607" s="6" t="str">
        <f>"53002023052915003192664"</f>
        <v>53002023052915003192664</v>
      </c>
      <c r="C607" s="6" t="str">
        <f t="shared" si="37"/>
        <v>0109</v>
      </c>
      <c r="D607" s="6" t="s">
        <v>15</v>
      </c>
      <c r="E607" s="6" t="str">
        <f>"洪艳琪"</f>
        <v>洪艳琪</v>
      </c>
      <c r="F607" s="6" t="str">
        <f>"女"</f>
        <v>女</v>
      </c>
    </row>
    <row r="608" spans="1:6" ht="30" customHeight="1">
      <c r="A608" s="6">
        <v>606</v>
      </c>
      <c r="B608" s="6" t="str">
        <f>"53002023052910152990624"</f>
        <v>53002023052910152990624</v>
      </c>
      <c r="C608" s="6" t="str">
        <f t="shared" si="37"/>
        <v>0109</v>
      </c>
      <c r="D608" s="6" t="s">
        <v>15</v>
      </c>
      <c r="E608" s="6" t="str">
        <f>"吴万桃"</f>
        <v>吴万桃</v>
      </c>
      <c r="F608" s="6" t="str">
        <f>"女"</f>
        <v>女</v>
      </c>
    </row>
    <row r="609" spans="1:6" ht="30" customHeight="1">
      <c r="A609" s="6">
        <v>607</v>
      </c>
      <c r="B609" s="6" t="str">
        <f>"53002023052710102383935"</f>
        <v>53002023052710102383935</v>
      </c>
      <c r="C609" s="6" t="str">
        <f t="shared" si="37"/>
        <v>0109</v>
      </c>
      <c r="D609" s="6" t="s">
        <v>15</v>
      </c>
      <c r="E609" s="6" t="str">
        <f>"何武"</f>
        <v>何武</v>
      </c>
      <c r="F609" s="6" t="str">
        <f>"男"</f>
        <v>男</v>
      </c>
    </row>
    <row r="610" spans="1:6" ht="30" customHeight="1">
      <c r="A610" s="6">
        <v>608</v>
      </c>
      <c r="B610" s="6" t="str">
        <f>"53002023052922490695347"</f>
        <v>53002023052922490695347</v>
      </c>
      <c r="C610" s="6" t="str">
        <f t="shared" si="37"/>
        <v>0109</v>
      </c>
      <c r="D610" s="6" t="s">
        <v>15</v>
      </c>
      <c r="E610" s="6" t="str">
        <f>"何秋连"</f>
        <v>何秋连</v>
      </c>
      <c r="F610" s="6" t="str">
        <f>"女"</f>
        <v>女</v>
      </c>
    </row>
    <row r="611" spans="1:6" ht="30" customHeight="1">
      <c r="A611" s="6">
        <v>609</v>
      </c>
      <c r="B611" s="6" t="str">
        <f>"53002023052923555595614"</f>
        <v>53002023052923555595614</v>
      </c>
      <c r="C611" s="6" t="str">
        <f t="shared" si="37"/>
        <v>0109</v>
      </c>
      <c r="D611" s="6" t="s">
        <v>15</v>
      </c>
      <c r="E611" s="6" t="str">
        <f>"王菘"</f>
        <v>王菘</v>
      </c>
      <c r="F611" s="6" t="str">
        <f>"男"</f>
        <v>男</v>
      </c>
    </row>
    <row r="612" spans="1:6" ht="30" customHeight="1">
      <c r="A612" s="6">
        <v>610</v>
      </c>
      <c r="B612" s="6" t="str">
        <f>"53002023053013125697805"</f>
        <v>53002023053013125697805</v>
      </c>
      <c r="C612" s="6" t="str">
        <f t="shared" si="37"/>
        <v>0109</v>
      </c>
      <c r="D612" s="6" t="s">
        <v>15</v>
      </c>
      <c r="E612" s="6" t="str">
        <f>"符家婷"</f>
        <v>符家婷</v>
      </c>
      <c r="F612" s="6" t="str">
        <f aca="true" t="shared" si="40" ref="F612:F620">"女"</f>
        <v>女</v>
      </c>
    </row>
    <row r="613" spans="1:6" ht="30" customHeight="1">
      <c r="A613" s="6">
        <v>611</v>
      </c>
      <c r="B613" s="6" t="str">
        <f>"53002023052922251395213"</f>
        <v>53002023052922251395213</v>
      </c>
      <c r="C613" s="6" t="str">
        <f t="shared" si="37"/>
        <v>0109</v>
      </c>
      <c r="D613" s="6" t="s">
        <v>15</v>
      </c>
      <c r="E613" s="6" t="str">
        <f>"符善庆"</f>
        <v>符善庆</v>
      </c>
      <c r="F613" s="6" t="str">
        <f t="shared" si="40"/>
        <v>女</v>
      </c>
    </row>
    <row r="614" spans="1:6" ht="30" customHeight="1">
      <c r="A614" s="6">
        <v>612</v>
      </c>
      <c r="B614" s="6" t="str">
        <f>"53002023053016364698911"</f>
        <v>53002023053016364698911</v>
      </c>
      <c r="C614" s="6" t="str">
        <f t="shared" si="37"/>
        <v>0109</v>
      </c>
      <c r="D614" s="6" t="s">
        <v>15</v>
      </c>
      <c r="E614" s="6" t="str">
        <f>"吴周妮"</f>
        <v>吴周妮</v>
      </c>
      <c r="F614" s="6" t="str">
        <f t="shared" si="40"/>
        <v>女</v>
      </c>
    </row>
    <row r="615" spans="1:6" ht="30" customHeight="1">
      <c r="A615" s="6">
        <v>613</v>
      </c>
      <c r="B615" s="6" t="str">
        <f>"53002023053016325298888"</f>
        <v>53002023053016325298888</v>
      </c>
      <c r="C615" s="6" t="str">
        <f t="shared" si="37"/>
        <v>0109</v>
      </c>
      <c r="D615" s="6" t="s">
        <v>15</v>
      </c>
      <c r="E615" s="6" t="str">
        <f>"周清青"</f>
        <v>周清青</v>
      </c>
      <c r="F615" s="6" t="str">
        <f t="shared" si="40"/>
        <v>女</v>
      </c>
    </row>
    <row r="616" spans="1:6" ht="30" customHeight="1">
      <c r="A616" s="6">
        <v>614</v>
      </c>
      <c r="B616" s="6" t="str">
        <f>"53002023053018005199377"</f>
        <v>53002023053018005199377</v>
      </c>
      <c r="C616" s="6" t="str">
        <f t="shared" si="37"/>
        <v>0109</v>
      </c>
      <c r="D616" s="6" t="s">
        <v>15</v>
      </c>
      <c r="E616" s="6" t="str">
        <f>"万宁"</f>
        <v>万宁</v>
      </c>
      <c r="F616" s="6" t="str">
        <f t="shared" si="40"/>
        <v>女</v>
      </c>
    </row>
    <row r="617" spans="1:6" ht="30" customHeight="1">
      <c r="A617" s="6">
        <v>615</v>
      </c>
      <c r="B617" s="6" t="str">
        <f>"53002023053018354299526"</f>
        <v>53002023053018354299526</v>
      </c>
      <c r="C617" s="6" t="str">
        <f t="shared" si="37"/>
        <v>0109</v>
      </c>
      <c r="D617" s="6" t="s">
        <v>15</v>
      </c>
      <c r="E617" s="6" t="str">
        <f>"王来银"</f>
        <v>王来银</v>
      </c>
      <c r="F617" s="6" t="str">
        <f t="shared" si="40"/>
        <v>女</v>
      </c>
    </row>
    <row r="618" spans="1:6" ht="30" customHeight="1">
      <c r="A618" s="6">
        <v>616</v>
      </c>
      <c r="B618" s="6" t="str">
        <f>"53002023053019000999623"</f>
        <v>53002023053019000999623</v>
      </c>
      <c r="C618" s="6" t="str">
        <f t="shared" si="37"/>
        <v>0109</v>
      </c>
      <c r="D618" s="6" t="s">
        <v>15</v>
      </c>
      <c r="E618" s="6" t="str">
        <f>"许华平"</f>
        <v>许华平</v>
      </c>
      <c r="F618" s="6" t="str">
        <f t="shared" si="40"/>
        <v>女</v>
      </c>
    </row>
    <row r="619" spans="1:6" ht="30" customHeight="1">
      <c r="A619" s="6">
        <v>617</v>
      </c>
      <c r="B619" s="6" t="str">
        <f>"53002023052816260887925"</f>
        <v>53002023052816260887925</v>
      </c>
      <c r="C619" s="6" t="str">
        <f t="shared" si="37"/>
        <v>0109</v>
      </c>
      <c r="D619" s="6" t="s">
        <v>15</v>
      </c>
      <c r="E619" s="6" t="str">
        <f>"符燕威"</f>
        <v>符燕威</v>
      </c>
      <c r="F619" s="6" t="str">
        <f t="shared" si="40"/>
        <v>女</v>
      </c>
    </row>
    <row r="620" spans="1:6" ht="30" customHeight="1">
      <c r="A620" s="6">
        <v>618</v>
      </c>
      <c r="B620" s="6" t="str">
        <f>"530020230530211906100244"</f>
        <v>530020230530211906100244</v>
      </c>
      <c r="C620" s="6" t="str">
        <f t="shared" si="37"/>
        <v>0109</v>
      </c>
      <c r="D620" s="6" t="s">
        <v>15</v>
      </c>
      <c r="E620" s="6" t="str">
        <f>"罗英梅"</f>
        <v>罗英梅</v>
      </c>
      <c r="F620" s="6" t="str">
        <f t="shared" si="40"/>
        <v>女</v>
      </c>
    </row>
    <row r="621" spans="1:6" ht="30" customHeight="1">
      <c r="A621" s="6">
        <v>619</v>
      </c>
      <c r="B621" s="6" t="str">
        <f>"53002023053019255199729"</f>
        <v>53002023053019255199729</v>
      </c>
      <c r="C621" s="6" t="str">
        <f t="shared" si="37"/>
        <v>0109</v>
      </c>
      <c r="D621" s="6" t="s">
        <v>15</v>
      </c>
      <c r="E621" s="6" t="str">
        <f>"符明凯"</f>
        <v>符明凯</v>
      </c>
      <c r="F621" s="6" t="str">
        <f>"男"</f>
        <v>男</v>
      </c>
    </row>
    <row r="622" spans="1:6" ht="30" customHeight="1">
      <c r="A622" s="6">
        <v>620</v>
      </c>
      <c r="B622" s="6" t="str">
        <f>"53002023053010371596752"</f>
        <v>53002023053010371596752</v>
      </c>
      <c r="C622" s="6" t="str">
        <f t="shared" si="37"/>
        <v>0109</v>
      </c>
      <c r="D622" s="6" t="s">
        <v>15</v>
      </c>
      <c r="E622" s="6" t="str">
        <f>"王春香"</f>
        <v>王春香</v>
      </c>
      <c r="F622" s="6" t="str">
        <f aca="true" t="shared" si="41" ref="F622:F635">"女"</f>
        <v>女</v>
      </c>
    </row>
    <row r="623" spans="1:6" ht="30" customHeight="1">
      <c r="A623" s="6">
        <v>621</v>
      </c>
      <c r="B623" s="6" t="str">
        <f>"53002023052910232990712"</f>
        <v>53002023052910232990712</v>
      </c>
      <c r="C623" s="6" t="str">
        <f t="shared" si="37"/>
        <v>0109</v>
      </c>
      <c r="D623" s="6" t="s">
        <v>15</v>
      </c>
      <c r="E623" s="6" t="str">
        <f>"杨玉秀"</f>
        <v>杨玉秀</v>
      </c>
      <c r="F623" s="6" t="str">
        <f t="shared" si="41"/>
        <v>女</v>
      </c>
    </row>
    <row r="624" spans="1:6" ht="30" customHeight="1">
      <c r="A624" s="6">
        <v>622</v>
      </c>
      <c r="B624" s="6" t="str">
        <f>"53002023053016463598973"</f>
        <v>53002023053016463598973</v>
      </c>
      <c r="C624" s="6" t="str">
        <f t="shared" si="37"/>
        <v>0109</v>
      </c>
      <c r="D624" s="6" t="s">
        <v>15</v>
      </c>
      <c r="E624" s="6" t="str">
        <f>"余霜敏"</f>
        <v>余霜敏</v>
      </c>
      <c r="F624" s="6" t="str">
        <f t="shared" si="41"/>
        <v>女</v>
      </c>
    </row>
    <row r="625" spans="1:6" ht="30" customHeight="1">
      <c r="A625" s="6">
        <v>623</v>
      </c>
      <c r="B625" s="6" t="str">
        <f>"530020230531121555102586"</f>
        <v>530020230531121555102586</v>
      </c>
      <c r="C625" s="6" t="str">
        <f t="shared" si="37"/>
        <v>0109</v>
      </c>
      <c r="D625" s="6" t="s">
        <v>15</v>
      </c>
      <c r="E625" s="6" t="str">
        <f>"陶莹"</f>
        <v>陶莹</v>
      </c>
      <c r="F625" s="6" t="str">
        <f t="shared" si="41"/>
        <v>女</v>
      </c>
    </row>
    <row r="626" spans="1:6" ht="30" customHeight="1">
      <c r="A626" s="6">
        <v>624</v>
      </c>
      <c r="B626" s="6" t="str">
        <f>"530020230531143446103103"</f>
        <v>530020230531143446103103</v>
      </c>
      <c r="C626" s="6" t="str">
        <f t="shared" si="37"/>
        <v>0109</v>
      </c>
      <c r="D626" s="6" t="s">
        <v>15</v>
      </c>
      <c r="E626" s="6" t="str">
        <f>"廖紫滢"</f>
        <v>廖紫滢</v>
      </c>
      <c r="F626" s="6" t="str">
        <f t="shared" si="41"/>
        <v>女</v>
      </c>
    </row>
    <row r="627" spans="1:6" ht="30" customHeight="1">
      <c r="A627" s="6">
        <v>625</v>
      </c>
      <c r="B627" s="6" t="str">
        <f>"530020230531111404102292"</f>
        <v>530020230531111404102292</v>
      </c>
      <c r="C627" s="6" t="str">
        <f t="shared" si="37"/>
        <v>0109</v>
      </c>
      <c r="D627" s="6" t="s">
        <v>15</v>
      </c>
      <c r="E627" s="6" t="str">
        <f>"张少珍"</f>
        <v>张少珍</v>
      </c>
      <c r="F627" s="6" t="str">
        <f t="shared" si="41"/>
        <v>女</v>
      </c>
    </row>
    <row r="628" spans="1:6" ht="30" customHeight="1">
      <c r="A628" s="6">
        <v>626</v>
      </c>
      <c r="B628" s="6" t="str">
        <f>"530020230531170647103843"</f>
        <v>530020230531170647103843</v>
      </c>
      <c r="C628" s="6" t="str">
        <f t="shared" si="37"/>
        <v>0109</v>
      </c>
      <c r="D628" s="6" t="s">
        <v>15</v>
      </c>
      <c r="E628" s="6" t="str">
        <f>"邢文婷"</f>
        <v>邢文婷</v>
      </c>
      <c r="F628" s="6" t="str">
        <f t="shared" si="41"/>
        <v>女</v>
      </c>
    </row>
    <row r="629" spans="1:6" ht="30" customHeight="1">
      <c r="A629" s="6">
        <v>627</v>
      </c>
      <c r="B629" s="6" t="str">
        <f>"530020230530214742100397"</f>
        <v>530020230530214742100397</v>
      </c>
      <c r="C629" s="6" t="str">
        <f t="shared" si="37"/>
        <v>0109</v>
      </c>
      <c r="D629" s="6" t="s">
        <v>15</v>
      </c>
      <c r="E629" s="6" t="str">
        <f>"廖万霞"</f>
        <v>廖万霞</v>
      </c>
      <c r="F629" s="6" t="str">
        <f t="shared" si="41"/>
        <v>女</v>
      </c>
    </row>
    <row r="630" spans="1:6" ht="30" customHeight="1">
      <c r="A630" s="6">
        <v>628</v>
      </c>
      <c r="B630" s="6" t="str">
        <f>"530020230531175747104034"</f>
        <v>530020230531175747104034</v>
      </c>
      <c r="C630" s="6" t="str">
        <f t="shared" si="37"/>
        <v>0109</v>
      </c>
      <c r="D630" s="6" t="s">
        <v>15</v>
      </c>
      <c r="E630" s="6" t="str">
        <f>"王芳紫"</f>
        <v>王芳紫</v>
      </c>
      <c r="F630" s="6" t="str">
        <f t="shared" si="41"/>
        <v>女</v>
      </c>
    </row>
    <row r="631" spans="1:6" ht="30" customHeight="1">
      <c r="A631" s="6">
        <v>629</v>
      </c>
      <c r="B631" s="6" t="str">
        <f>"53002023052920225694512"</f>
        <v>53002023052920225694512</v>
      </c>
      <c r="C631" s="6" t="str">
        <f t="shared" si="37"/>
        <v>0109</v>
      </c>
      <c r="D631" s="6" t="s">
        <v>15</v>
      </c>
      <c r="E631" s="6" t="str">
        <f>"赵春慧"</f>
        <v>赵春慧</v>
      </c>
      <c r="F631" s="6" t="str">
        <f t="shared" si="41"/>
        <v>女</v>
      </c>
    </row>
    <row r="632" spans="1:6" ht="30" customHeight="1">
      <c r="A632" s="6">
        <v>630</v>
      </c>
      <c r="B632" s="6" t="str">
        <f>"53002023052922261095220"</f>
        <v>53002023052922261095220</v>
      </c>
      <c r="C632" s="6" t="str">
        <f t="shared" si="37"/>
        <v>0109</v>
      </c>
      <c r="D632" s="6" t="s">
        <v>15</v>
      </c>
      <c r="E632" s="6" t="str">
        <f>"王月珠"</f>
        <v>王月珠</v>
      </c>
      <c r="F632" s="6" t="str">
        <f t="shared" si="41"/>
        <v>女</v>
      </c>
    </row>
    <row r="633" spans="1:6" ht="30" customHeight="1">
      <c r="A633" s="6">
        <v>631</v>
      </c>
      <c r="B633" s="6" t="str">
        <f>"530020230531200450104377"</f>
        <v>530020230531200450104377</v>
      </c>
      <c r="C633" s="6" t="str">
        <f t="shared" si="37"/>
        <v>0109</v>
      </c>
      <c r="D633" s="6" t="s">
        <v>15</v>
      </c>
      <c r="E633" s="6" t="str">
        <f>"陈星玲"</f>
        <v>陈星玲</v>
      </c>
      <c r="F633" s="6" t="str">
        <f t="shared" si="41"/>
        <v>女</v>
      </c>
    </row>
    <row r="634" spans="1:6" ht="30" customHeight="1">
      <c r="A634" s="6">
        <v>632</v>
      </c>
      <c r="B634" s="6" t="str">
        <f>"530020230531221134104812"</f>
        <v>530020230531221134104812</v>
      </c>
      <c r="C634" s="6" t="str">
        <f t="shared" si="37"/>
        <v>0109</v>
      </c>
      <c r="D634" s="6" t="s">
        <v>15</v>
      </c>
      <c r="E634" s="6" t="str">
        <f>"陈妹娟"</f>
        <v>陈妹娟</v>
      </c>
      <c r="F634" s="6" t="str">
        <f t="shared" si="41"/>
        <v>女</v>
      </c>
    </row>
    <row r="635" spans="1:6" ht="30" customHeight="1">
      <c r="A635" s="6">
        <v>633</v>
      </c>
      <c r="B635" s="6" t="str">
        <f>"53002023053011160897088"</f>
        <v>53002023053011160897088</v>
      </c>
      <c r="C635" s="6" t="str">
        <f t="shared" si="37"/>
        <v>0109</v>
      </c>
      <c r="D635" s="6" t="s">
        <v>15</v>
      </c>
      <c r="E635" s="6" t="str">
        <f>"黄蕊蕊"</f>
        <v>黄蕊蕊</v>
      </c>
      <c r="F635" s="6" t="str">
        <f t="shared" si="41"/>
        <v>女</v>
      </c>
    </row>
    <row r="636" spans="1:6" ht="30" customHeight="1">
      <c r="A636" s="6">
        <v>634</v>
      </c>
      <c r="B636" s="6" t="str">
        <f>"530020230601003618105134"</f>
        <v>530020230601003618105134</v>
      </c>
      <c r="C636" s="6" t="str">
        <f t="shared" si="37"/>
        <v>0109</v>
      </c>
      <c r="D636" s="6" t="s">
        <v>15</v>
      </c>
      <c r="E636" s="6" t="str">
        <f>"羊壮荣"</f>
        <v>羊壮荣</v>
      </c>
      <c r="F636" s="6" t="str">
        <f>"男"</f>
        <v>男</v>
      </c>
    </row>
    <row r="637" spans="1:6" ht="30" customHeight="1">
      <c r="A637" s="6">
        <v>635</v>
      </c>
      <c r="B637" s="6" t="str">
        <f>"53002023052922474195338"</f>
        <v>53002023052922474195338</v>
      </c>
      <c r="C637" s="6" t="str">
        <f t="shared" si="37"/>
        <v>0109</v>
      </c>
      <c r="D637" s="6" t="s">
        <v>15</v>
      </c>
      <c r="E637" s="6" t="str">
        <f>"梁春景"</f>
        <v>梁春景</v>
      </c>
      <c r="F637" s="6" t="str">
        <f>"男"</f>
        <v>男</v>
      </c>
    </row>
    <row r="638" spans="1:6" ht="30" customHeight="1">
      <c r="A638" s="6">
        <v>636</v>
      </c>
      <c r="B638" s="6" t="str">
        <f>"530020230601075653105230"</f>
        <v>530020230601075653105230</v>
      </c>
      <c r="C638" s="6" t="str">
        <f t="shared" si="37"/>
        <v>0109</v>
      </c>
      <c r="D638" s="6" t="s">
        <v>15</v>
      </c>
      <c r="E638" s="6" t="str">
        <f>"杨兰芝"</f>
        <v>杨兰芝</v>
      </c>
      <c r="F638" s="6" t="str">
        <f aca="true" t="shared" si="42" ref="F638:F647">"女"</f>
        <v>女</v>
      </c>
    </row>
    <row r="639" spans="1:6" ht="30" customHeight="1">
      <c r="A639" s="6">
        <v>637</v>
      </c>
      <c r="B639" s="6" t="str">
        <f>"530020230601104942106186"</f>
        <v>530020230601104942106186</v>
      </c>
      <c r="C639" s="6" t="str">
        <f t="shared" si="37"/>
        <v>0109</v>
      </c>
      <c r="D639" s="6" t="s">
        <v>15</v>
      </c>
      <c r="E639" s="6" t="str">
        <f>"唐玉琼"</f>
        <v>唐玉琼</v>
      </c>
      <c r="F639" s="6" t="str">
        <f t="shared" si="42"/>
        <v>女</v>
      </c>
    </row>
    <row r="640" spans="1:6" ht="30" customHeight="1">
      <c r="A640" s="6">
        <v>638</v>
      </c>
      <c r="B640" s="6" t="str">
        <f>"530020230601091729105536"</f>
        <v>530020230601091729105536</v>
      </c>
      <c r="C640" s="6" t="str">
        <f t="shared" si="37"/>
        <v>0109</v>
      </c>
      <c r="D640" s="6" t="s">
        <v>15</v>
      </c>
      <c r="E640" s="6" t="str">
        <f>"王春月"</f>
        <v>王春月</v>
      </c>
      <c r="F640" s="6" t="str">
        <f t="shared" si="42"/>
        <v>女</v>
      </c>
    </row>
    <row r="641" spans="1:6" ht="30" customHeight="1">
      <c r="A641" s="6">
        <v>639</v>
      </c>
      <c r="B641" s="6" t="str">
        <f>"530020230601002619105120"</f>
        <v>530020230601002619105120</v>
      </c>
      <c r="C641" s="6" t="str">
        <f aca="true" t="shared" si="43" ref="C641:C657">"0109"</f>
        <v>0109</v>
      </c>
      <c r="D641" s="6" t="s">
        <v>15</v>
      </c>
      <c r="E641" s="6" t="str">
        <f>"吴三女"</f>
        <v>吴三女</v>
      </c>
      <c r="F641" s="6" t="str">
        <f t="shared" si="42"/>
        <v>女</v>
      </c>
    </row>
    <row r="642" spans="1:6" ht="30" customHeight="1">
      <c r="A642" s="6">
        <v>640</v>
      </c>
      <c r="B642" s="6" t="str">
        <f>"53002023053019143299685"</f>
        <v>53002023053019143299685</v>
      </c>
      <c r="C642" s="6" t="str">
        <f t="shared" si="43"/>
        <v>0109</v>
      </c>
      <c r="D642" s="6" t="s">
        <v>15</v>
      </c>
      <c r="E642" s="6" t="str">
        <f>"吴昭璇"</f>
        <v>吴昭璇</v>
      </c>
      <c r="F642" s="6" t="str">
        <f t="shared" si="42"/>
        <v>女</v>
      </c>
    </row>
    <row r="643" spans="1:6" ht="30" customHeight="1">
      <c r="A643" s="6">
        <v>641</v>
      </c>
      <c r="B643" s="6" t="str">
        <f>"530020230531160656103531"</f>
        <v>530020230531160656103531</v>
      </c>
      <c r="C643" s="6" t="str">
        <f t="shared" si="43"/>
        <v>0109</v>
      </c>
      <c r="D643" s="6" t="s">
        <v>15</v>
      </c>
      <c r="E643" s="6" t="str">
        <f>"符凤花"</f>
        <v>符凤花</v>
      </c>
      <c r="F643" s="6" t="str">
        <f t="shared" si="42"/>
        <v>女</v>
      </c>
    </row>
    <row r="644" spans="1:6" ht="30" customHeight="1">
      <c r="A644" s="6">
        <v>642</v>
      </c>
      <c r="B644" s="6" t="str">
        <f>"53002023053009005295981"</f>
        <v>53002023053009005295981</v>
      </c>
      <c r="C644" s="6" t="str">
        <f t="shared" si="43"/>
        <v>0109</v>
      </c>
      <c r="D644" s="6" t="s">
        <v>15</v>
      </c>
      <c r="E644" s="6" t="str">
        <f>"曾海平"</f>
        <v>曾海平</v>
      </c>
      <c r="F644" s="6" t="str">
        <f t="shared" si="42"/>
        <v>女</v>
      </c>
    </row>
    <row r="645" spans="1:6" ht="30" customHeight="1">
      <c r="A645" s="6">
        <v>643</v>
      </c>
      <c r="B645" s="6" t="str">
        <f>"53002023052823163889241"</f>
        <v>53002023052823163889241</v>
      </c>
      <c r="C645" s="6" t="str">
        <f t="shared" si="43"/>
        <v>0109</v>
      </c>
      <c r="D645" s="6" t="s">
        <v>15</v>
      </c>
      <c r="E645" s="6" t="str">
        <f>"王子盈"</f>
        <v>王子盈</v>
      </c>
      <c r="F645" s="6" t="str">
        <f t="shared" si="42"/>
        <v>女</v>
      </c>
    </row>
    <row r="646" spans="1:6" ht="30" customHeight="1">
      <c r="A646" s="6">
        <v>644</v>
      </c>
      <c r="B646" s="6" t="str">
        <f>"53002023052911402491467"</f>
        <v>53002023052911402491467</v>
      </c>
      <c r="C646" s="6" t="str">
        <f t="shared" si="43"/>
        <v>0109</v>
      </c>
      <c r="D646" s="6" t="s">
        <v>15</v>
      </c>
      <c r="E646" s="6" t="str">
        <f>"范籽江"</f>
        <v>范籽江</v>
      </c>
      <c r="F646" s="6" t="str">
        <f t="shared" si="42"/>
        <v>女</v>
      </c>
    </row>
    <row r="647" spans="1:6" ht="30" customHeight="1">
      <c r="A647" s="6">
        <v>645</v>
      </c>
      <c r="B647" s="6" t="str">
        <f>"530020230601163259107673"</f>
        <v>530020230601163259107673</v>
      </c>
      <c r="C647" s="6" t="str">
        <f t="shared" si="43"/>
        <v>0109</v>
      </c>
      <c r="D647" s="6" t="s">
        <v>15</v>
      </c>
      <c r="E647" s="6" t="str">
        <f>"徐琼梅"</f>
        <v>徐琼梅</v>
      </c>
      <c r="F647" s="6" t="str">
        <f t="shared" si="42"/>
        <v>女</v>
      </c>
    </row>
    <row r="648" spans="1:6" ht="30" customHeight="1">
      <c r="A648" s="6">
        <v>646</v>
      </c>
      <c r="B648" s="6" t="str">
        <f>"530020230601164750107729"</f>
        <v>530020230601164750107729</v>
      </c>
      <c r="C648" s="6" t="str">
        <f t="shared" si="43"/>
        <v>0109</v>
      </c>
      <c r="D648" s="6" t="s">
        <v>15</v>
      </c>
      <c r="E648" s="6" t="str">
        <f>"代兴旺"</f>
        <v>代兴旺</v>
      </c>
      <c r="F648" s="6" t="str">
        <f>"男"</f>
        <v>男</v>
      </c>
    </row>
    <row r="649" spans="1:6" ht="30" customHeight="1">
      <c r="A649" s="6">
        <v>647</v>
      </c>
      <c r="B649" s="6" t="str">
        <f>"530020230601085154105351"</f>
        <v>530020230601085154105351</v>
      </c>
      <c r="C649" s="6" t="str">
        <f t="shared" si="43"/>
        <v>0109</v>
      </c>
      <c r="D649" s="6" t="s">
        <v>15</v>
      </c>
      <c r="E649" s="6" t="str">
        <f>"张丽霜"</f>
        <v>张丽霜</v>
      </c>
      <c r="F649" s="6" t="str">
        <f>"女"</f>
        <v>女</v>
      </c>
    </row>
    <row r="650" spans="1:6" ht="30" customHeight="1">
      <c r="A650" s="6">
        <v>648</v>
      </c>
      <c r="B650" s="6" t="str">
        <f>"53002023052921174794819"</f>
        <v>53002023052921174794819</v>
      </c>
      <c r="C650" s="6" t="str">
        <f t="shared" si="43"/>
        <v>0109</v>
      </c>
      <c r="D650" s="6" t="s">
        <v>15</v>
      </c>
      <c r="E650" s="6" t="str">
        <f>"黄冠婷"</f>
        <v>黄冠婷</v>
      </c>
      <c r="F650" s="6" t="str">
        <f>"女"</f>
        <v>女</v>
      </c>
    </row>
    <row r="651" spans="1:6" ht="30" customHeight="1">
      <c r="A651" s="6">
        <v>649</v>
      </c>
      <c r="B651" s="6" t="str">
        <f>"530020230601215841108753"</f>
        <v>530020230601215841108753</v>
      </c>
      <c r="C651" s="6" t="str">
        <f t="shared" si="43"/>
        <v>0109</v>
      </c>
      <c r="D651" s="6" t="s">
        <v>15</v>
      </c>
      <c r="E651" s="6" t="str">
        <f>"杨夏蕊"</f>
        <v>杨夏蕊</v>
      </c>
      <c r="F651" s="6" t="str">
        <f>"女"</f>
        <v>女</v>
      </c>
    </row>
    <row r="652" spans="1:6" ht="30" customHeight="1">
      <c r="A652" s="6">
        <v>650</v>
      </c>
      <c r="B652" s="6" t="str">
        <f>"53002023052922002395069"</f>
        <v>53002023052922002395069</v>
      </c>
      <c r="C652" s="6" t="str">
        <f t="shared" si="43"/>
        <v>0109</v>
      </c>
      <c r="D652" s="6" t="s">
        <v>15</v>
      </c>
      <c r="E652" s="6" t="str">
        <f>"王少慧"</f>
        <v>王少慧</v>
      </c>
      <c r="F652" s="6" t="str">
        <f>"女"</f>
        <v>女</v>
      </c>
    </row>
    <row r="653" spans="1:6" ht="30" customHeight="1">
      <c r="A653" s="6">
        <v>651</v>
      </c>
      <c r="B653" s="6" t="str">
        <f>"53002023052818552488419"</f>
        <v>53002023052818552488419</v>
      </c>
      <c r="C653" s="6" t="str">
        <f t="shared" si="43"/>
        <v>0109</v>
      </c>
      <c r="D653" s="6" t="s">
        <v>15</v>
      </c>
      <c r="E653" s="6" t="str">
        <f>"陈思锜"</f>
        <v>陈思锜</v>
      </c>
      <c r="F653" s="6" t="str">
        <f>"男"</f>
        <v>男</v>
      </c>
    </row>
    <row r="654" spans="1:6" ht="30" customHeight="1">
      <c r="A654" s="6">
        <v>652</v>
      </c>
      <c r="B654" s="6" t="str">
        <f>"530020230602003250109182"</f>
        <v>530020230602003250109182</v>
      </c>
      <c r="C654" s="6" t="str">
        <f t="shared" si="43"/>
        <v>0109</v>
      </c>
      <c r="D654" s="6" t="s">
        <v>15</v>
      </c>
      <c r="E654" s="6" t="str">
        <f>"林雅倩"</f>
        <v>林雅倩</v>
      </c>
      <c r="F654" s="6" t="str">
        <f>"女"</f>
        <v>女</v>
      </c>
    </row>
    <row r="655" spans="1:6" ht="30" customHeight="1">
      <c r="A655" s="6">
        <v>653</v>
      </c>
      <c r="B655" s="6" t="str">
        <f>"530020230531204537104513"</f>
        <v>530020230531204537104513</v>
      </c>
      <c r="C655" s="6" t="str">
        <f t="shared" si="43"/>
        <v>0109</v>
      </c>
      <c r="D655" s="6" t="s">
        <v>15</v>
      </c>
      <c r="E655" s="6" t="str">
        <f>"梁为丽"</f>
        <v>梁为丽</v>
      </c>
      <c r="F655" s="6" t="str">
        <f>"女"</f>
        <v>女</v>
      </c>
    </row>
    <row r="656" spans="1:6" ht="30" customHeight="1">
      <c r="A656" s="6">
        <v>654</v>
      </c>
      <c r="B656" s="6" t="str">
        <f>"530020230602100547109711"</f>
        <v>530020230602100547109711</v>
      </c>
      <c r="C656" s="6" t="str">
        <f t="shared" si="43"/>
        <v>0109</v>
      </c>
      <c r="D656" s="6" t="s">
        <v>15</v>
      </c>
      <c r="E656" s="6" t="str">
        <f>"倪怡平"</f>
        <v>倪怡平</v>
      </c>
      <c r="F656" s="6" t="str">
        <f>"女"</f>
        <v>女</v>
      </c>
    </row>
    <row r="657" spans="1:6" ht="30" customHeight="1">
      <c r="A657" s="6">
        <v>655</v>
      </c>
      <c r="B657" s="7" t="s">
        <v>16</v>
      </c>
      <c r="C657" s="6" t="str">
        <f t="shared" si="43"/>
        <v>0109</v>
      </c>
      <c r="D657" s="6" t="s">
        <v>15</v>
      </c>
      <c r="E657" s="6" t="s">
        <v>17</v>
      </c>
      <c r="F657" s="6" t="s">
        <v>18</v>
      </c>
    </row>
    <row r="658" spans="1:6" ht="30" customHeight="1">
      <c r="A658" s="6">
        <v>656</v>
      </c>
      <c r="B658" s="6" t="str">
        <f>"53002023052710100283934"</f>
        <v>53002023052710100283934</v>
      </c>
      <c r="C658" s="6" t="str">
        <f aca="true" t="shared" si="44" ref="C658:C695">"0110"</f>
        <v>0110</v>
      </c>
      <c r="D658" s="6" t="s">
        <v>19</v>
      </c>
      <c r="E658" s="6" t="str">
        <f>"李美琼"</f>
        <v>李美琼</v>
      </c>
      <c r="F658" s="6" t="str">
        <f aca="true" t="shared" si="45" ref="F658:F669">"女"</f>
        <v>女</v>
      </c>
    </row>
    <row r="659" spans="1:6" ht="30" customHeight="1">
      <c r="A659" s="6">
        <v>657</v>
      </c>
      <c r="B659" s="6" t="str">
        <f>"53002023052713243884698"</f>
        <v>53002023052713243884698</v>
      </c>
      <c r="C659" s="6" t="str">
        <f t="shared" si="44"/>
        <v>0110</v>
      </c>
      <c r="D659" s="6" t="s">
        <v>19</v>
      </c>
      <c r="E659" s="6" t="str">
        <f>"苏雅琴"</f>
        <v>苏雅琴</v>
      </c>
      <c r="F659" s="6" t="str">
        <f t="shared" si="45"/>
        <v>女</v>
      </c>
    </row>
    <row r="660" spans="1:6" ht="30" customHeight="1">
      <c r="A660" s="6">
        <v>658</v>
      </c>
      <c r="B660" s="6" t="str">
        <f>"53002023052719072685765"</f>
        <v>53002023052719072685765</v>
      </c>
      <c r="C660" s="6" t="str">
        <f t="shared" si="44"/>
        <v>0110</v>
      </c>
      <c r="D660" s="6" t="s">
        <v>19</v>
      </c>
      <c r="E660" s="6" t="str">
        <f>"刘慧雯"</f>
        <v>刘慧雯</v>
      </c>
      <c r="F660" s="6" t="str">
        <f t="shared" si="45"/>
        <v>女</v>
      </c>
    </row>
    <row r="661" spans="1:6" ht="30" customHeight="1">
      <c r="A661" s="6">
        <v>659</v>
      </c>
      <c r="B661" s="6" t="str">
        <f>"53002023052814112787575"</f>
        <v>53002023052814112787575</v>
      </c>
      <c r="C661" s="6" t="str">
        <f t="shared" si="44"/>
        <v>0110</v>
      </c>
      <c r="D661" s="6" t="s">
        <v>19</v>
      </c>
      <c r="E661" s="6" t="str">
        <f>"王玉云"</f>
        <v>王玉云</v>
      </c>
      <c r="F661" s="6" t="str">
        <f t="shared" si="45"/>
        <v>女</v>
      </c>
    </row>
    <row r="662" spans="1:6" ht="30" customHeight="1">
      <c r="A662" s="6">
        <v>660</v>
      </c>
      <c r="B662" s="6" t="str">
        <f>"53002023052710492584117"</f>
        <v>53002023052710492584117</v>
      </c>
      <c r="C662" s="6" t="str">
        <f t="shared" si="44"/>
        <v>0110</v>
      </c>
      <c r="D662" s="6" t="s">
        <v>19</v>
      </c>
      <c r="E662" s="6" t="str">
        <f>"劳启芳"</f>
        <v>劳启芳</v>
      </c>
      <c r="F662" s="6" t="str">
        <f t="shared" si="45"/>
        <v>女</v>
      </c>
    </row>
    <row r="663" spans="1:6" ht="30" customHeight="1">
      <c r="A663" s="6">
        <v>661</v>
      </c>
      <c r="B663" s="6" t="str">
        <f>"53002023052817285188104"</f>
        <v>53002023052817285188104</v>
      </c>
      <c r="C663" s="6" t="str">
        <f t="shared" si="44"/>
        <v>0110</v>
      </c>
      <c r="D663" s="6" t="s">
        <v>19</v>
      </c>
      <c r="E663" s="6" t="str">
        <f>"黄程"</f>
        <v>黄程</v>
      </c>
      <c r="F663" s="6" t="str">
        <f t="shared" si="45"/>
        <v>女</v>
      </c>
    </row>
    <row r="664" spans="1:6" ht="30" customHeight="1">
      <c r="A664" s="6">
        <v>662</v>
      </c>
      <c r="B664" s="6" t="str">
        <f>"53002023052910561691087"</f>
        <v>53002023052910561691087</v>
      </c>
      <c r="C664" s="6" t="str">
        <f t="shared" si="44"/>
        <v>0110</v>
      </c>
      <c r="D664" s="6" t="s">
        <v>19</v>
      </c>
      <c r="E664" s="6" t="str">
        <f>"冯婷"</f>
        <v>冯婷</v>
      </c>
      <c r="F664" s="6" t="str">
        <f t="shared" si="45"/>
        <v>女</v>
      </c>
    </row>
    <row r="665" spans="1:6" ht="30" customHeight="1">
      <c r="A665" s="6">
        <v>663</v>
      </c>
      <c r="B665" s="6" t="str">
        <f>"53002023052911165291276"</f>
        <v>53002023052911165291276</v>
      </c>
      <c r="C665" s="6" t="str">
        <f t="shared" si="44"/>
        <v>0110</v>
      </c>
      <c r="D665" s="6" t="s">
        <v>19</v>
      </c>
      <c r="E665" s="6" t="str">
        <f>"王海燕"</f>
        <v>王海燕</v>
      </c>
      <c r="F665" s="6" t="str">
        <f t="shared" si="45"/>
        <v>女</v>
      </c>
    </row>
    <row r="666" spans="1:6" ht="30" customHeight="1">
      <c r="A666" s="6">
        <v>664</v>
      </c>
      <c r="B666" s="6" t="str">
        <f>"53002023052816580288024"</f>
        <v>53002023052816580288024</v>
      </c>
      <c r="C666" s="6" t="str">
        <f t="shared" si="44"/>
        <v>0110</v>
      </c>
      <c r="D666" s="6" t="s">
        <v>19</v>
      </c>
      <c r="E666" s="6" t="str">
        <f>"罗芬"</f>
        <v>罗芬</v>
      </c>
      <c r="F666" s="6" t="str">
        <f t="shared" si="45"/>
        <v>女</v>
      </c>
    </row>
    <row r="667" spans="1:6" ht="30" customHeight="1">
      <c r="A667" s="6">
        <v>665</v>
      </c>
      <c r="B667" s="6" t="str">
        <f>"53002023052915042792695"</f>
        <v>53002023052915042792695</v>
      </c>
      <c r="C667" s="6" t="str">
        <f t="shared" si="44"/>
        <v>0110</v>
      </c>
      <c r="D667" s="6" t="s">
        <v>19</v>
      </c>
      <c r="E667" s="6" t="str">
        <f>"杜海玉"</f>
        <v>杜海玉</v>
      </c>
      <c r="F667" s="6" t="str">
        <f t="shared" si="45"/>
        <v>女</v>
      </c>
    </row>
    <row r="668" spans="1:6" ht="30" customHeight="1">
      <c r="A668" s="6">
        <v>666</v>
      </c>
      <c r="B668" s="6" t="str">
        <f>"53002023052900421389362"</f>
        <v>53002023052900421389362</v>
      </c>
      <c r="C668" s="6" t="str">
        <f t="shared" si="44"/>
        <v>0110</v>
      </c>
      <c r="D668" s="6" t="s">
        <v>19</v>
      </c>
      <c r="E668" s="6" t="str">
        <f>"何春兰"</f>
        <v>何春兰</v>
      </c>
      <c r="F668" s="6" t="str">
        <f t="shared" si="45"/>
        <v>女</v>
      </c>
    </row>
    <row r="669" spans="1:6" ht="30" customHeight="1">
      <c r="A669" s="6">
        <v>667</v>
      </c>
      <c r="B669" s="6" t="str">
        <f>"53002023052915440892992"</f>
        <v>53002023052915440892992</v>
      </c>
      <c r="C669" s="6" t="str">
        <f t="shared" si="44"/>
        <v>0110</v>
      </c>
      <c r="D669" s="6" t="s">
        <v>19</v>
      </c>
      <c r="E669" s="6" t="str">
        <f>"符传慧"</f>
        <v>符传慧</v>
      </c>
      <c r="F669" s="6" t="str">
        <f t="shared" si="45"/>
        <v>女</v>
      </c>
    </row>
    <row r="670" spans="1:6" ht="30" customHeight="1">
      <c r="A670" s="6">
        <v>668</v>
      </c>
      <c r="B670" s="6" t="str">
        <f>"53002023052918282694014"</f>
        <v>53002023052918282694014</v>
      </c>
      <c r="C670" s="6" t="str">
        <f t="shared" si="44"/>
        <v>0110</v>
      </c>
      <c r="D670" s="6" t="s">
        <v>19</v>
      </c>
      <c r="E670" s="6" t="str">
        <f>"王琼辉"</f>
        <v>王琼辉</v>
      </c>
      <c r="F670" s="6" t="str">
        <f>"男"</f>
        <v>男</v>
      </c>
    </row>
    <row r="671" spans="1:6" ht="30" customHeight="1">
      <c r="A671" s="6">
        <v>669</v>
      </c>
      <c r="B671" s="6" t="str">
        <f>"53002023052920081294447"</f>
        <v>53002023052920081294447</v>
      </c>
      <c r="C671" s="6" t="str">
        <f t="shared" si="44"/>
        <v>0110</v>
      </c>
      <c r="D671" s="6" t="s">
        <v>19</v>
      </c>
      <c r="E671" s="6" t="str">
        <f>"王英"</f>
        <v>王英</v>
      </c>
      <c r="F671" s="6" t="str">
        <f aca="true" t="shared" si="46" ref="F671:F676">"女"</f>
        <v>女</v>
      </c>
    </row>
    <row r="672" spans="1:6" ht="30" customHeight="1">
      <c r="A672" s="6">
        <v>670</v>
      </c>
      <c r="B672" s="6" t="str">
        <f>"53002023052719502485885"</f>
        <v>53002023052719502485885</v>
      </c>
      <c r="C672" s="6" t="str">
        <f t="shared" si="44"/>
        <v>0110</v>
      </c>
      <c r="D672" s="6" t="s">
        <v>19</v>
      </c>
      <c r="E672" s="6" t="str">
        <f>"温红潇"</f>
        <v>温红潇</v>
      </c>
      <c r="F672" s="6" t="str">
        <f t="shared" si="46"/>
        <v>女</v>
      </c>
    </row>
    <row r="673" spans="1:6" ht="30" customHeight="1">
      <c r="A673" s="6">
        <v>671</v>
      </c>
      <c r="B673" s="6" t="str">
        <f>"53002023052921530295029"</f>
        <v>53002023052921530295029</v>
      </c>
      <c r="C673" s="6" t="str">
        <f t="shared" si="44"/>
        <v>0110</v>
      </c>
      <c r="D673" s="6" t="s">
        <v>19</v>
      </c>
      <c r="E673" s="6" t="str">
        <f>"岑春平"</f>
        <v>岑春平</v>
      </c>
      <c r="F673" s="6" t="str">
        <f t="shared" si="46"/>
        <v>女</v>
      </c>
    </row>
    <row r="674" spans="1:6" ht="30" customHeight="1">
      <c r="A674" s="6">
        <v>672</v>
      </c>
      <c r="B674" s="6" t="str">
        <f>"53002023052921342294919"</f>
        <v>53002023052921342294919</v>
      </c>
      <c r="C674" s="6" t="str">
        <f t="shared" si="44"/>
        <v>0110</v>
      </c>
      <c r="D674" s="6" t="s">
        <v>19</v>
      </c>
      <c r="E674" s="6" t="str">
        <f>"韦海湫"</f>
        <v>韦海湫</v>
      </c>
      <c r="F674" s="6" t="str">
        <f t="shared" si="46"/>
        <v>女</v>
      </c>
    </row>
    <row r="675" spans="1:6" ht="30" customHeight="1">
      <c r="A675" s="6">
        <v>673</v>
      </c>
      <c r="B675" s="6" t="str">
        <f>"53002023052923524395607"</f>
        <v>53002023052923524395607</v>
      </c>
      <c r="C675" s="6" t="str">
        <f t="shared" si="44"/>
        <v>0110</v>
      </c>
      <c r="D675" s="6" t="s">
        <v>19</v>
      </c>
      <c r="E675" s="6" t="str">
        <f>"陈静"</f>
        <v>陈静</v>
      </c>
      <c r="F675" s="6" t="str">
        <f t="shared" si="46"/>
        <v>女</v>
      </c>
    </row>
    <row r="676" spans="1:6" ht="30" customHeight="1">
      <c r="A676" s="6">
        <v>674</v>
      </c>
      <c r="B676" s="6" t="str">
        <f>"53002023053010453496824"</f>
        <v>53002023053010453496824</v>
      </c>
      <c r="C676" s="6" t="str">
        <f t="shared" si="44"/>
        <v>0110</v>
      </c>
      <c r="D676" s="6" t="s">
        <v>19</v>
      </c>
      <c r="E676" s="6" t="str">
        <f>"陈冰月"</f>
        <v>陈冰月</v>
      </c>
      <c r="F676" s="6" t="str">
        <f t="shared" si="46"/>
        <v>女</v>
      </c>
    </row>
    <row r="677" spans="1:6" ht="30" customHeight="1">
      <c r="A677" s="6">
        <v>675</v>
      </c>
      <c r="B677" s="6" t="str">
        <f>"53002023052818232288341"</f>
        <v>53002023052818232288341</v>
      </c>
      <c r="C677" s="6" t="str">
        <f t="shared" si="44"/>
        <v>0110</v>
      </c>
      <c r="D677" s="6" t="s">
        <v>19</v>
      </c>
      <c r="E677" s="6" t="str">
        <f>"赵元霖"</f>
        <v>赵元霖</v>
      </c>
      <c r="F677" s="6" t="str">
        <f>"男"</f>
        <v>男</v>
      </c>
    </row>
    <row r="678" spans="1:6" ht="30" customHeight="1">
      <c r="A678" s="6">
        <v>676</v>
      </c>
      <c r="B678" s="6" t="str">
        <f>"53002023053013493997942"</f>
        <v>53002023053013493997942</v>
      </c>
      <c r="C678" s="6" t="str">
        <f t="shared" si="44"/>
        <v>0110</v>
      </c>
      <c r="D678" s="6" t="s">
        <v>19</v>
      </c>
      <c r="E678" s="6" t="str">
        <f>"吴诗莹"</f>
        <v>吴诗莹</v>
      </c>
      <c r="F678" s="6" t="str">
        <f>"女"</f>
        <v>女</v>
      </c>
    </row>
    <row r="679" spans="1:6" ht="30" customHeight="1">
      <c r="A679" s="6">
        <v>677</v>
      </c>
      <c r="B679" s="6" t="str">
        <f>"53002023053010482896852"</f>
        <v>53002023053010482896852</v>
      </c>
      <c r="C679" s="6" t="str">
        <f t="shared" si="44"/>
        <v>0110</v>
      </c>
      <c r="D679" s="6" t="s">
        <v>19</v>
      </c>
      <c r="E679" s="6" t="str">
        <f>"吴清威"</f>
        <v>吴清威</v>
      </c>
      <c r="F679" s="6" t="str">
        <f>"男"</f>
        <v>男</v>
      </c>
    </row>
    <row r="680" spans="1:6" ht="30" customHeight="1">
      <c r="A680" s="6">
        <v>678</v>
      </c>
      <c r="B680" s="6" t="str">
        <f>"530020230530205417100143"</f>
        <v>530020230530205417100143</v>
      </c>
      <c r="C680" s="6" t="str">
        <f t="shared" si="44"/>
        <v>0110</v>
      </c>
      <c r="D680" s="6" t="s">
        <v>19</v>
      </c>
      <c r="E680" s="6" t="str">
        <f>"郑桂容"</f>
        <v>郑桂容</v>
      </c>
      <c r="F680" s="6" t="str">
        <f aca="true" t="shared" si="47" ref="F680:F685">"女"</f>
        <v>女</v>
      </c>
    </row>
    <row r="681" spans="1:6" ht="30" customHeight="1">
      <c r="A681" s="6">
        <v>679</v>
      </c>
      <c r="B681" s="6" t="str">
        <f>"530020230530230018100755"</f>
        <v>530020230530230018100755</v>
      </c>
      <c r="C681" s="6" t="str">
        <f t="shared" si="44"/>
        <v>0110</v>
      </c>
      <c r="D681" s="6" t="s">
        <v>19</v>
      </c>
      <c r="E681" s="6" t="str">
        <f>"韩翠"</f>
        <v>韩翠</v>
      </c>
      <c r="F681" s="6" t="str">
        <f t="shared" si="47"/>
        <v>女</v>
      </c>
    </row>
    <row r="682" spans="1:6" ht="30" customHeight="1">
      <c r="A682" s="6">
        <v>680</v>
      </c>
      <c r="B682" s="6" t="str">
        <f>"530020230531075706101135"</f>
        <v>530020230531075706101135</v>
      </c>
      <c r="C682" s="6" t="str">
        <f t="shared" si="44"/>
        <v>0110</v>
      </c>
      <c r="D682" s="6" t="s">
        <v>19</v>
      </c>
      <c r="E682" s="6" t="str">
        <f>"范琳"</f>
        <v>范琳</v>
      </c>
      <c r="F682" s="6" t="str">
        <f t="shared" si="47"/>
        <v>女</v>
      </c>
    </row>
    <row r="683" spans="1:6" ht="30" customHeight="1">
      <c r="A683" s="6">
        <v>681</v>
      </c>
      <c r="B683" s="6" t="str">
        <f>"53002023052815484387812"</f>
        <v>53002023052815484387812</v>
      </c>
      <c r="C683" s="6" t="str">
        <f t="shared" si="44"/>
        <v>0110</v>
      </c>
      <c r="D683" s="6" t="s">
        <v>19</v>
      </c>
      <c r="E683" s="6" t="str">
        <f>"周美满"</f>
        <v>周美满</v>
      </c>
      <c r="F683" s="6" t="str">
        <f t="shared" si="47"/>
        <v>女</v>
      </c>
    </row>
    <row r="684" spans="1:6" ht="30" customHeight="1">
      <c r="A684" s="6">
        <v>682</v>
      </c>
      <c r="B684" s="6" t="str">
        <f>"530020230531120803102548"</f>
        <v>530020230531120803102548</v>
      </c>
      <c r="C684" s="6" t="str">
        <f t="shared" si="44"/>
        <v>0110</v>
      </c>
      <c r="D684" s="6" t="s">
        <v>19</v>
      </c>
      <c r="E684" s="6" t="str">
        <f>"何雯雯"</f>
        <v>何雯雯</v>
      </c>
      <c r="F684" s="6" t="str">
        <f t="shared" si="47"/>
        <v>女</v>
      </c>
    </row>
    <row r="685" spans="1:6" ht="30" customHeight="1">
      <c r="A685" s="6">
        <v>683</v>
      </c>
      <c r="B685" s="6" t="str">
        <f>"530020230531130436102820"</f>
        <v>530020230531130436102820</v>
      </c>
      <c r="C685" s="6" t="str">
        <f t="shared" si="44"/>
        <v>0110</v>
      </c>
      <c r="D685" s="6" t="s">
        <v>19</v>
      </c>
      <c r="E685" s="6" t="str">
        <f>"王琼雪"</f>
        <v>王琼雪</v>
      </c>
      <c r="F685" s="6" t="str">
        <f t="shared" si="47"/>
        <v>女</v>
      </c>
    </row>
    <row r="686" spans="1:6" ht="30" customHeight="1">
      <c r="A686" s="6">
        <v>684</v>
      </c>
      <c r="B686" s="6" t="str">
        <f>"530020230531080112101140"</f>
        <v>530020230531080112101140</v>
      </c>
      <c r="C686" s="6" t="str">
        <f t="shared" si="44"/>
        <v>0110</v>
      </c>
      <c r="D686" s="6" t="s">
        <v>19</v>
      </c>
      <c r="E686" s="6" t="str">
        <f>"王孟艺"</f>
        <v>王孟艺</v>
      </c>
      <c r="F686" s="6" t="str">
        <f>"男"</f>
        <v>男</v>
      </c>
    </row>
    <row r="687" spans="1:6" ht="30" customHeight="1">
      <c r="A687" s="6">
        <v>685</v>
      </c>
      <c r="B687" s="6" t="str">
        <f>"53002023052717485585576"</f>
        <v>53002023052717485585576</v>
      </c>
      <c r="C687" s="6" t="str">
        <f t="shared" si="44"/>
        <v>0110</v>
      </c>
      <c r="D687" s="6" t="s">
        <v>19</v>
      </c>
      <c r="E687" s="6" t="str">
        <f>"陈春柳"</f>
        <v>陈春柳</v>
      </c>
      <c r="F687" s="6" t="str">
        <f aca="true" t="shared" si="48" ref="F687:F718">"女"</f>
        <v>女</v>
      </c>
    </row>
    <row r="688" spans="1:6" ht="30" customHeight="1">
      <c r="A688" s="6">
        <v>686</v>
      </c>
      <c r="B688" s="6" t="str">
        <f>"530020230531155954103497"</f>
        <v>530020230531155954103497</v>
      </c>
      <c r="C688" s="6" t="str">
        <f t="shared" si="44"/>
        <v>0110</v>
      </c>
      <c r="D688" s="6" t="s">
        <v>19</v>
      </c>
      <c r="E688" s="6" t="str">
        <f>"李雯雯"</f>
        <v>李雯雯</v>
      </c>
      <c r="F688" s="6" t="str">
        <f t="shared" si="48"/>
        <v>女</v>
      </c>
    </row>
    <row r="689" spans="1:6" ht="30" customHeight="1">
      <c r="A689" s="6">
        <v>687</v>
      </c>
      <c r="B689" s="6" t="str">
        <f>"530020230531170411103831"</f>
        <v>530020230531170411103831</v>
      </c>
      <c r="C689" s="6" t="str">
        <f t="shared" si="44"/>
        <v>0110</v>
      </c>
      <c r="D689" s="6" t="s">
        <v>19</v>
      </c>
      <c r="E689" s="6" t="str">
        <f>"罗伟珍"</f>
        <v>罗伟珍</v>
      </c>
      <c r="F689" s="6" t="str">
        <f t="shared" si="48"/>
        <v>女</v>
      </c>
    </row>
    <row r="690" spans="1:6" ht="30" customHeight="1">
      <c r="A690" s="6">
        <v>688</v>
      </c>
      <c r="B690" s="6" t="str">
        <f>"530020230601024110105176"</f>
        <v>530020230601024110105176</v>
      </c>
      <c r="C690" s="6" t="str">
        <f t="shared" si="44"/>
        <v>0110</v>
      </c>
      <c r="D690" s="6" t="s">
        <v>19</v>
      </c>
      <c r="E690" s="6" t="str">
        <f>"王一桔"</f>
        <v>王一桔</v>
      </c>
      <c r="F690" s="6" t="str">
        <f t="shared" si="48"/>
        <v>女</v>
      </c>
    </row>
    <row r="691" spans="1:6" ht="30" customHeight="1">
      <c r="A691" s="6">
        <v>689</v>
      </c>
      <c r="B691" s="6" t="str">
        <f>"530020230601093404105652"</f>
        <v>530020230601093404105652</v>
      </c>
      <c r="C691" s="6" t="str">
        <f t="shared" si="44"/>
        <v>0110</v>
      </c>
      <c r="D691" s="6" t="s">
        <v>19</v>
      </c>
      <c r="E691" s="6" t="str">
        <f>"符芷芃"</f>
        <v>符芷芃</v>
      </c>
      <c r="F691" s="6" t="str">
        <f t="shared" si="48"/>
        <v>女</v>
      </c>
    </row>
    <row r="692" spans="1:6" ht="30" customHeight="1">
      <c r="A692" s="6">
        <v>690</v>
      </c>
      <c r="B692" s="6" t="str">
        <f>"53002023052812573587383"</f>
        <v>53002023052812573587383</v>
      </c>
      <c r="C692" s="6" t="str">
        <f t="shared" si="44"/>
        <v>0110</v>
      </c>
      <c r="D692" s="6" t="s">
        <v>19</v>
      </c>
      <c r="E692" s="6" t="str">
        <f>"邱春焕"</f>
        <v>邱春焕</v>
      </c>
      <c r="F692" s="6" t="str">
        <f t="shared" si="48"/>
        <v>女</v>
      </c>
    </row>
    <row r="693" spans="1:6" ht="30" customHeight="1">
      <c r="A693" s="6">
        <v>691</v>
      </c>
      <c r="B693" s="6" t="str">
        <f>"530020230601130120106834"</f>
        <v>530020230601130120106834</v>
      </c>
      <c r="C693" s="6" t="str">
        <f t="shared" si="44"/>
        <v>0110</v>
      </c>
      <c r="D693" s="6" t="s">
        <v>19</v>
      </c>
      <c r="E693" s="6" t="str">
        <f>"钟牧杉"</f>
        <v>钟牧杉</v>
      </c>
      <c r="F693" s="6" t="str">
        <f t="shared" si="48"/>
        <v>女</v>
      </c>
    </row>
    <row r="694" spans="1:6" ht="30" customHeight="1">
      <c r="A694" s="6">
        <v>692</v>
      </c>
      <c r="B694" s="6" t="str">
        <f>"530020230601173335107922"</f>
        <v>530020230601173335107922</v>
      </c>
      <c r="C694" s="6" t="str">
        <f t="shared" si="44"/>
        <v>0110</v>
      </c>
      <c r="D694" s="6" t="s">
        <v>19</v>
      </c>
      <c r="E694" s="6" t="str">
        <f>"王娟"</f>
        <v>王娟</v>
      </c>
      <c r="F694" s="6" t="str">
        <f t="shared" si="48"/>
        <v>女</v>
      </c>
    </row>
    <row r="695" spans="1:6" ht="30" customHeight="1">
      <c r="A695" s="6">
        <v>693</v>
      </c>
      <c r="B695" s="6" t="str">
        <f>"530020230601005244105142"</f>
        <v>530020230601005244105142</v>
      </c>
      <c r="C695" s="6" t="str">
        <f t="shared" si="44"/>
        <v>0110</v>
      </c>
      <c r="D695" s="6" t="s">
        <v>19</v>
      </c>
      <c r="E695" s="6" t="str">
        <f>"王茹燐"</f>
        <v>王茹燐</v>
      </c>
      <c r="F695" s="6" t="str">
        <f t="shared" si="48"/>
        <v>女</v>
      </c>
    </row>
    <row r="696" spans="1:6" ht="30" customHeight="1">
      <c r="A696" s="6">
        <v>694</v>
      </c>
      <c r="B696" s="6" t="str">
        <f>"53002023052709043383672"</f>
        <v>53002023052709043383672</v>
      </c>
      <c r="C696" s="6" t="str">
        <f aca="true" t="shared" si="49" ref="C696:C759">"0201"</f>
        <v>0201</v>
      </c>
      <c r="D696" s="6" t="s">
        <v>20</v>
      </c>
      <c r="E696" s="6" t="str">
        <f>"蔡玉玲"</f>
        <v>蔡玉玲</v>
      </c>
      <c r="F696" s="6" t="str">
        <f t="shared" si="48"/>
        <v>女</v>
      </c>
    </row>
    <row r="697" spans="1:6" ht="30" customHeight="1">
      <c r="A697" s="6">
        <v>695</v>
      </c>
      <c r="B697" s="6" t="str">
        <f>"53002023052709010483654"</f>
        <v>53002023052709010483654</v>
      </c>
      <c r="C697" s="6" t="str">
        <f t="shared" si="49"/>
        <v>0201</v>
      </c>
      <c r="D697" s="6" t="s">
        <v>20</v>
      </c>
      <c r="E697" s="6" t="str">
        <f>"麦淑珍"</f>
        <v>麦淑珍</v>
      </c>
      <c r="F697" s="6" t="str">
        <f t="shared" si="48"/>
        <v>女</v>
      </c>
    </row>
    <row r="698" spans="1:6" ht="30" customHeight="1">
      <c r="A698" s="6">
        <v>696</v>
      </c>
      <c r="B698" s="6" t="str">
        <f>"53002023052710030683896"</f>
        <v>53002023052710030683896</v>
      </c>
      <c r="C698" s="6" t="str">
        <f t="shared" si="49"/>
        <v>0201</v>
      </c>
      <c r="D698" s="6" t="s">
        <v>20</v>
      </c>
      <c r="E698" s="6" t="str">
        <f>"陈杏"</f>
        <v>陈杏</v>
      </c>
      <c r="F698" s="6" t="str">
        <f t="shared" si="48"/>
        <v>女</v>
      </c>
    </row>
    <row r="699" spans="1:6" ht="30" customHeight="1">
      <c r="A699" s="6">
        <v>697</v>
      </c>
      <c r="B699" s="6" t="str">
        <f>"53002023052709093083690"</f>
        <v>53002023052709093083690</v>
      </c>
      <c r="C699" s="6" t="str">
        <f t="shared" si="49"/>
        <v>0201</v>
      </c>
      <c r="D699" s="6" t="s">
        <v>20</v>
      </c>
      <c r="E699" s="6" t="str">
        <f>"卓慧春"</f>
        <v>卓慧春</v>
      </c>
      <c r="F699" s="6" t="str">
        <f t="shared" si="48"/>
        <v>女</v>
      </c>
    </row>
    <row r="700" spans="1:6" ht="30" customHeight="1">
      <c r="A700" s="6">
        <v>698</v>
      </c>
      <c r="B700" s="6" t="str">
        <f>"53002023052710334984046"</f>
        <v>53002023052710334984046</v>
      </c>
      <c r="C700" s="6" t="str">
        <f t="shared" si="49"/>
        <v>0201</v>
      </c>
      <c r="D700" s="6" t="s">
        <v>20</v>
      </c>
      <c r="E700" s="6" t="str">
        <f>"郑学彩"</f>
        <v>郑学彩</v>
      </c>
      <c r="F700" s="6" t="str">
        <f t="shared" si="48"/>
        <v>女</v>
      </c>
    </row>
    <row r="701" spans="1:6" ht="30" customHeight="1">
      <c r="A701" s="6">
        <v>699</v>
      </c>
      <c r="B701" s="6" t="str">
        <f>"53002023052710562684154"</f>
        <v>53002023052710562684154</v>
      </c>
      <c r="C701" s="6" t="str">
        <f t="shared" si="49"/>
        <v>0201</v>
      </c>
      <c r="D701" s="6" t="s">
        <v>20</v>
      </c>
      <c r="E701" s="6" t="str">
        <f>"符彤彤"</f>
        <v>符彤彤</v>
      </c>
      <c r="F701" s="6" t="str">
        <f t="shared" si="48"/>
        <v>女</v>
      </c>
    </row>
    <row r="702" spans="1:6" ht="30" customHeight="1">
      <c r="A702" s="6">
        <v>700</v>
      </c>
      <c r="B702" s="6" t="str">
        <f>"53002023052711163884240"</f>
        <v>53002023052711163884240</v>
      </c>
      <c r="C702" s="6" t="str">
        <f t="shared" si="49"/>
        <v>0201</v>
      </c>
      <c r="D702" s="6" t="s">
        <v>20</v>
      </c>
      <c r="E702" s="6" t="str">
        <f>"符丽香"</f>
        <v>符丽香</v>
      </c>
      <c r="F702" s="6" t="str">
        <f t="shared" si="48"/>
        <v>女</v>
      </c>
    </row>
    <row r="703" spans="1:6" ht="30" customHeight="1">
      <c r="A703" s="6">
        <v>701</v>
      </c>
      <c r="B703" s="6" t="str">
        <f>"53002023052711340984320"</f>
        <v>53002023052711340984320</v>
      </c>
      <c r="C703" s="6" t="str">
        <f t="shared" si="49"/>
        <v>0201</v>
      </c>
      <c r="D703" s="6" t="s">
        <v>20</v>
      </c>
      <c r="E703" s="6" t="str">
        <f>"韩懿"</f>
        <v>韩懿</v>
      </c>
      <c r="F703" s="6" t="str">
        <f t="shared" si="48"/>
        <v>女</v>
      </c>
    </row>
    <row r="704" spans="1:6" ht="30" customHeight="1">
      <c r="A704" s="6">
        <v>702</v>
      </c>
      <c r="B704" s="6" t="str">
        <f>"53002023052711594684405"</f>
        <v>53002023052711594684405</v>
      </c>
      <c r="C704" s="6" t="str">
        <f t="shared" si="49"/>
        <v>0201</v>
      </c>
      <c r="D704" s="6" t="s">
        <v>20</v>
      </c>
      <c r="E704" s="6" t="str">
        <f>"徐雄姣"</f>
        <v>徐雄姣</v>
      </c>
      <c r="F704" s="6" t="str">
        <f t="shared" si="48"/>
        <v>女</v>
      </c>
    </row>
    <row r="705" spans="1:6" ht="30" customHeight="1">
      <c r="A705" s="6">
        <v>703</v>
      </c>
      <c r="B705" s="6" t="str">
        <f>"53002023052712273084503"</f>
        <v>53002023052712273084503</v>
      </c>
      <c r="C705" s="6" t="str">
        <f t="shared" si="49"/>
        <v>0201</v>
      </c>
      <c r="D705" s="6" t="s">
        <v>20</v>
      </c>
      <c r="E705" s="6" t="str">
        <f>"吴新芬"</f>
        <v>吴新芬</v>
      </c>
      <c r="F705" s="6" t="str">
        <f t="shared" si="48"/>
        <v>女</v>
      </c>
    </row>
    <row r="706" spans="1:6" ht="30" customHeight="1">
      <c r="A706" s="6">
        <v>704</v>
      </c>
      <c r="B706" s="6" t="str">
        <f>"53002023052712195684482"</f>
        <v>53002023052712195684482</v>
      </c>
      <c r="C706" s="6" t="str">
        <f t="shared" si="49"/>
        <v>0201</v>
      </c>
      <c r="D706" s="6" t="s">
        <v>20</v>
      </c>
      <c r="E706" s="6" t="str">
        <f>"陈欣慧"</f>
        <v>陈欣慧</v>
      </c>
      <c r="F706" s="6" t="str">
        <f t="shared" si="48"/>
        <v>女</v>
      </c>
    </row>
    <row r="707" spans="1:6" ht="30" customHeight="1">
      <c r="A707" s="6">
        <v>705</v>
      </c>
      <c r="B707" s="6" t="str">
        <f>"53002023052709243683743"</f>
        <v>53002023052709243683743</v>
      </c>
      <c r="C707" s="6" t="str">
        <f t="shared" si="49"/>
        <v>0201</v>
      </c>
      <c r="D707" s="6" t="s">
        <v>20</v>
      </c>
      <c r="E707" s="6" t="str">
        <f>"王如妹"</f>
        <v>王如妹</v>
      </c>
      <c r="F707" s="6" t="str">
        <f t="shared" si="48"/>
        <v>女</v>
      </c>
    </row>
    <row r="708" spans="1:6" ht="30" customHeight="1">
      <c r="A708" s="6">
        <v>706</v>
      </c>
      <c r="B708" s="6" t="str">
        <f>"53002023052712444384571"</f>
        <v>53002023052712444384571</v>
      </c>
      <c r="C708" s="6" t="str">
        <f t="shared" si="49"/>
        <v>0201</v>
      </c>
      <c r="D708" s="6" t="s">
        <v>20</v>
      </c>
      <c r="E708" s="6" t="str">
        <f>"吴永慧"</f>
        <v>吴永慧</v>
      </c>
      <c r="F708" s="6" t="str">
        <f t="shared" si="48"/>
        <v>女</v>
      </c>
    </row>
    <row r="709" spans="1:6" ht="30" customHeight="1">
      <c r="A709" s="6">
        <v>707</v>
      </c>
      <c r="B709" s="6" t="str">
        <f>"53002023052712211984486"</f>
        <v>53002023052712211984486</v>
      </c>
      <c r="C709" s="6" t="str">
        <f t="shared" si="49"/>
        <v>0201</v>
      </c>
      <c r="D709" s="6" t="s">
        <v>20</v>
      </c>
      <c r="E709" s="6" t="str">
        <f>"邝小艳"</f>
        <v>邝小艳</v>
      </c>
      <c r="F709" s="6" t="str">
        <f t="shared" si="48"/>
        <v>女</v>
      </c>
    </row>
    <row r="710" spans="1:6" ht="30" customHeight="1">
      <c r="A710" s="6">
        <v>708</v>
      </c>
      <c r="B710" s="6" t="str">
        <f>"53002023052713482484787"</f>
        <v>53002023052713482484787</v>
      </c>
      <c r="C710" s="6" t="str">
        <f t="shared" si="49"/>
        <v>0201</v>
      </c>
      <c r="D710" s="6" t="s">
        <v>20</v>
      </c>
      <c r="E710" s="6" t="str">
        <f>"李河娥"</f>
        <v>李河娥</v>
      </c>
      <c r="F710" s="6" t="str">
        <f t="shared" si="48"/>
        <v>女</v>
      </c>
    </row>
    <row r="711" spans="1:6" ht="30" customHeight="1">
      <c r="A711" s="6">
        <v>709</v>
      </c>
      <c r="B711" s="6" t="str">
        <f>"53002023052714540284985"</f>
        <v>53002023052714540284985</v>
      </c>
      <c r="C711" s="6" t="str">
        <f t="shared" si="49"/>
        <v>0201</v>
      </c>
      <c r="D711" s="6" t="s">
        <v>20</v>
      </c>
      <c r="E711" s="6" t="str">
        <f>"刘晓慧"</f>
        <v>刘晓慧</v>
      </c>
      <c r="F711" s="6" t="str">
        <f t="shared" si="48"/>
        <v>女</v>
      </c>
    </row>
    <row r="712" spans="1:6" ht="30" customHeight="1">
      <c r="A712" s="6">
        <v>710</v>
      </c>
      <c r="B712" s="6" t="str">
        <f>"53002023052714582885001"</f>
        <v>53002023052714582885001</v>
      </c>
      <c r="C712" s="6" t="str">
        <f t="shared" si="49"/>
        <v>0201</v>
      </c>
      <c r="D712" s="6" t="s">
        <v>20</v>
      </c>
      <c r="E712" s="6" t="str">
        <f>"何石兰"</f>
        <v>何石兰</v>
      </c>
      <c r="F712" s="6" t="str">
        <f t="shared" si="48"/>
        <v>女</v>
      </c>
    </row>
    <row r="713" spans="1:6" ht="30" customHeight="1">
      <c r="A713" s="6">
        <v>711</v>
      </c>
      <c r="B713" s="6" t="str">
        <f>"53002023052715452485168"</f>
        <v>53002023052715452485168</v>
      </c>
      <c r="C713" s="6" t="str">
        <f t="shared" si="49"/>
        <v>0201</v>
      </c>
      <c r="D713" s="6" t="s">
        <v>20</v>
      </c>
      <c r="E713" s="6" t="str">
        <f>"羊丹川"</f>
        <v>羊丹川</v>
      </c>
      <c r="F713" s="6" t="str">
        <f t="shared" si="48"/>
        <v>女</v>
      </c>
    </row>
    <row r="714" spans="1:6" ht="30" customHeight="1">
      <c r="A714" s="6">
        <v>712</v>
      </c>
      <c r="B714" s="6" t="str">
        <f>"53002023052712221284487"</f>
        <v>53002023052712221284487</v>
      </c>
      <c r="C714" s="6" t="str">
        <f t="shared" si="49"/>
        <v>0201</v>
      </c>
      <c r="D714" s="6" t="s">
        <v>20</v>
      </c>
      <c r="E714" s="6" t="str">
        <f>"牛永霞"</f>
        <v>牛永霞</v>
      </c>
      <c r="F714" s="6" t="str">
        <f t="shared" si="48"/>
        <v>女</v>
      </c>
    </row>
    <row r="715" spans="1:6" ht="30" customHeight="1">
      <c r="A715" s="6">
        <v>713</v>
      </c>
      <c r="B715" s="6" t="str">
        <f>"53002023052718110185626"</f>
        <v>53002023052718110185626</v>
      </c>
      <c r="C715" s="6" t="str">
        <f t="shared" si="49"/>
        <v>0201</v>
      </c>
      <c r="D715" s="6" t="s">
        <v>20</v>
      </c>
      <c r="E715" s="6" t="str">
        <f>"陈其花"</f>
        <v>陈其花</v>
      </c>
      <c r="F715" s="6" t="str">
        <f t="shared" si="48"/>
        <v>女</v>
      </c>
    </row>
    <row r="716" spans="1:6" ht="30" customHeight="1">
      <c r="A716" s="6">
        <v>714</v>
      </c>
      <c r="B716" s="6" t="str">
        <f>"53002023052718125885631"</f>
        <v>53002023052718125885631</v>
      </c>
      <c r="C716" s="6" t="str">
        <f t="shared" si="49"/>
        <v>0201</v>
      </c>
      <c r="D716" s="6" t="s">
        <v>20</v>
      </c>
      <c r="E716" s="6" t="str">
        <f>"吴婉婷"</f>
        <v>吴婉婷</v>
      </c>
      <c r="F716" s="6" t="str">
        <f t="shared" si="48"/>
        <v>女</v>
      </c>
    </row>
    <row r="717" spans="1:6" ht="30" customHeight="1">
      <c r="A717" s="6">
        <v>715</v>
      </c>
      <c r="B717" s="6" t="str">
        <f>"53002023052720044885936"</f>
        <v>53002023052720044885936</v>
      </c>
      <c r="C717" s="6" t="str">
        <f t="shared" si="49"/>
        <v>0201</v>
      </c>
      <c r="D717" s="6" t="s">
        <v>20</v>
      </c>
      <c r="E717" s="6" t="str">
        <f>"苏文玲"</f>
        <v>苏文玲</v>
      </c>
      <c r="F717" s="6" t="str">
        <f t="shared" si="48"/>
        <v>女</v>
      </c>
    </row>
    <row r="718" spans="1:6" ht="30" customHeight="1">
      <c r="A718" s="6">
        <v>716</v>
      </c>
      <c r="B718" s="6" t="str">
        <f>"53002023052712162284470"</f>
        <v>53002023052712162284470</v>
      </c>
      <c r="C718" s="6" t="str">
        <f t="shared" si="49"/>
        <v>0201</v>
      </c>
      <c r="D718" s="6" t="s">
        <v>20</v>
      </c>
      <c r="E718" s="6" t="str">
        <f>"邱新甜"</f>
        <v>邱新甜</v>
      </c>
      <c r="F718" s="6" t="str">
        <f t="shared" si="48"/>
        <v>女</v>
      </c>
    </row>
    <row r="719" spans="1:6" ht="30" customHeight="1">
      <c r="A719" s="6">
        <v>717</v>
      </c>
      <c r="B719" s="6" t="str">
        <f>"53002023052716362685338"</f>
        <v>53002023052716362685338</v>
      </c>
      <c r="C719" s="6" t="str">
        <f t="shared" si="49"/>
        <v>0201</v>
      </c>
      <c r="D719" s="6" t="s">
        <v>20</v>
      </c>
      <c r="E719" s="6" t="str">
        <f>"周毅"</f>
        <v>周毅</v>
      </c>
      <c r="F719" s="6" t="str">
        <f>"男"</f>
        <v>男</v>
      </c>
    </row>
    <row r="720" spans="1:6" ht="30" customHeight="1">
      <c r="A720" s="6">
        <v>718</v>
      </c>
      <c r="B720" s="6" t="str">
        <f>"53002023052720435486057"</f>
        <v>53002023052720435486057</v>
      </c>
      <c r="C720" s="6" t="str">
        <f t="shared" si="49"/>
        <v>0201</v>
      </c>
      <c r="D720" s="6" t="s">
        <v>20</v>
      </c>
      <c r="E720" s="6" t="str">
        <f>"吴健宁"</f>
        <v>吴健宁</v>
      </c>
      <c r="F720" s="6" t="str">
        <f>"男"</f>
        <v>男</v>
      </c>
    </row>
    <row r="721" spans="1:6" ht="30" customHeight="1">
      <c r="A721" s="6">
        <v>719</v>
      </c>
      <c r="B721" s="6" t="str">
        <f>"53002023052721401186253"</f>
        <v>53002023052721401186253</v>
      </c>
      <c r="C721" s="6" t="str">
        <f t="shared" si="49"/>
        <v>0201</v>
      </c>
      <c r="D721" s="6" t="s">
        <v>20</v>
      </c>
      <c r="E721" s="6" t="str">
        <f>"陈情威"</f>
        <v>陈情威</v>
      </c>
      <c r="F721" s="6" t="str">
        <f>"男"</f>
        <v>男</v>
      </c>
    </row>
    <row r="722" spans="1:6" ht="30" customHeight="1">
      <c r="A722" s="6">
        <v>720</v>
      </c>
      <c r="B722" s="6" t="str">
        <f>"53002023052721324686232"</f>
        <v>53002023052721324686232</v>
      </c>
      <c r="C722" s="6" t="str">
        <f t="shared" si="49"/>
        <v>0201</v>
      </c>
      <c r="D722" s="6" t="s">
        <v>20</v>
      </c>
      <c r="E722" s="6" t="str">
        <f>"曾晓蕾"</f>
        <v>曾晓蕾</v>
      </c>
      <c r="F722" s="6" t="str">
        <f aca="true" t="shared" si="50" ref="F722:F737">"女"</f>
        <v>女</v>
      </c>
    </row>
    <row r="723" spans="1:6" ht="30" customHeight="1">
      <c r="A723" s="6">
        <v>721</v>
      </c>
      <c r="B723" s="6" t="str">
        <f>"53002023052722131086355"</f>
        <v>53002023052722131086355</v>
      </c>
      <c r="C723" s="6" t="str">
        <f t="shared" si="49"/>
        <v>0201</v>
      </c>
      <c r="D723" s="6" t="s">
        <v>20</v>
      </c>
      <c r="E723" s="6" t="str">
        <f>"朱和竹"</f>
        <v>朱和竹</v>
      </c>
      <c r="F723" s="6" t="str">
        <f t="shared" si="50"/>
        <v>女</v>
      </c>
    </row>
    <row r="724" spans="1:6" ht="30" customHeight="1">
      <c r="A724" s="6">
        <v>722</v>
      </c>
      <c r="B724" s="6" t="str">
        <f>"53002023052722233686384"</f>
        <v>53002023052722233686384</v>
      </c>
      <c r="C724" s="6" t="str">
        <f t="shared" si="49"/>
        <v>0201</v>
      </c>
      <c r="D724" s="6" t="s">
        <v>20</v>
      </c>
      <c r="E724" s="6" t="str">
        <f>"文俞涵"</f>
        <v>文俞涵</v>
      </c>
      <c r="F724" s="6" t="str">
        <f t="shared" si="50"/>
        <v>女</v>
      </c>
    </row>
    <row r="725" spans="1:6" ht="30" customHeight="1">
      <c r="A725" s="6">
        <v>723</v>
      </c>
      <c r="B725" s="6" t="str">
        <f>"53002023052720460686069"</f>
        <v>53002023052720460686069</v>
      </c>
      <c r="C725" s="6" t="str">
        <f t="shared" si="49"/>
        <v>0201</v>
      </c>
      <c r="D725" s="6" t="s">
        <v>20</v>
      </c>
      <c r="E725" s="6" t="str">
        <f>"刘妤茜"</f>
        <v>刘妤茜</v>
      </c>
      <c r="F725" s="6" t="str">
        <f t="shared" si="50"/>
        <v>女</v>
      </c>
    </row>
    <row r="726" spans="1:6" ht="30" customHeight="1">
      <c r="A726" s="6">
        <v>724</v>
      </c>
      <c r="B726" s="6" t="str">
        <f>"53002023052722283086402"</f>
        <v>53002023052722283086402</v>
      </c>
      <c r="C726" s="6" t="str">
        <f t="shared" si="49"/>
        <v>0201</v>
      </c>
      <c r="D726" s="6" t="s">
        <v>20</v>
      </c>
      <c r="E726" s="6" t="str">
        <f>"林小娜"</f>
        <v>林小娜</v>
      </c>
      <c r="F726" s="6" t="str">
        <f t="shared" si="50"/>
        <v>女</v>
      </c>
    </row>
    <row r="727" spans="1:6" ht="30" customHeight="1">
      <c r="A727" s="6">
        <v>725</v>
      </c>
      <c r="B727" s="6" t="str">
        <f>"53002023052722385886431"</f>
        <v>53002023052722385886431</v>
      </c>
      <c r="C727" s="6" t="str">
        <f t="shared" si="49"/>
        <v>0201</v>
      </c>
      <c r="D727" s="6" t="s">
        <v>20</v>
      </c>
      <c r="E727" s="6" t="str">
        <f>"叶招私"</f>
        <v>叶招私</v>
      </c>
      <c r="F727" s="6" t="str">
        <f t="shared" si="50"/>
        <v>女</v>
      </c>
    </row>
    <row r="728" spans="1:6" ht="30" customHeight="1">
      <c r="A728" s="6">
        <v>726</v>
      </c>
      <c r="B728" s="6" t="str">
        <f>"53002023052811164387117"</f>
        <v>53002023052811164387117</v>
      </c>
      <c r="C728" s="6" t="str">
        <f t="shared" si="49"/>
        <v>0201</v>
      </c>
      <c r="D728" s="6" t="s">
        <v>20</v>
      </c>
      <c r="E728" s="6" t="str">
        <f>"周丹"</f>
        <v>周丹</v>
      </c>
      <c r="F728" s="6" t="str">
        <f t="shared" si="50"/>
        <v>女</v>
      </c>
    </row>
    <row r="729" spans="1:6" ht="30" customHeight="1">
      <c r="A729" s="6">
        <v>727</v>
      </c>
      <c r="B729" s="6" t="str">
        <f>"53002023052813562187546"</f>
        <v>53002023052813562187546</v>
      </c>
      <c r="C729" s="6" t="str">
        <f t="shared" si="49"/>
        <v>0201</v>
      </c>
      <c r="D729" s="6" t="s">
        <v>20</v>
      </c>
      <c r="E729" s="6" t="str">
        <f>"周善鸾"</f>
        <v>周善鸾</v>
      </c>
      <c r="F729" s="6" t="str">
        <f t="shared" si="50"/>
        <v>女</v>
      </c>
    </row>
    <row r="730" spans="1:6" ht="30" customHeight="1">
      <c r="A730" s="6">
        <v>728</v>
      </c>
      <c r="B730" s="6" t="str">
        <f>"53002023052815102287721"</f>
        <v>53002023052815102287721</v>
      </c>
      <c r="C730" s="6" t="str">
        <f t="shared" si="49"/>
        <v>0201</v>
      </c>
      <c r="D730" s="6" t="s">
        <v>20</v>
      </c>
      <c r="E730" s="6" t="str">
        <f>"陈玲妹"</f>
        <v>陈玲妹</v>
      </c>
      <c r="F730" s="6" t="str">
        <f t="shared" si="50"/>
        <v>女</v>
      </c>
    </row>
    <row r="731" spans="1:6" ht="30" customHeight="1">
      <c r="A731" s="6">
        <v>729</v>
      </c>
      <c r="B731" s="6" t="str">
        <f>"53002023052814110287573"</f>
        <v>53002023052814110287573</v>
      </c>
      <c r="C731" s="6" t="str">
        <f t="shared" si="49"/>
        <v>0201</v>
      </c>
      <c r="D731" s="6" t="s">
        <v>20</v>
      </c>
      <c r="E731" s="6" t="str">
        <f>"陈有娓"</f>
        <v>陈有娓</v>
      </c>
      <c r="F731" s="6" t="str">
        <f t="shared" si="50"/>
        <v>女</v>
      </c>
    </row>
    <row r="732" spans="1:6" ht="30" customHeight="1">
      <c r="A732" s="6">
        <v>730</v>
      </c>
      <c r="B732" s="6" t="str">
        <f>"53002023052815271487761"</f>
        <v>53002023052815271487761</v>
      </c>
      <c r="C732" s="6" t="str">
        <f t="shared" si="49"/>
        <v>0201</v>
      </c>
      <c r="D732" s="6" t="s">
        <v>20</v>
      </c>
      <c r="E732" s="6" t="str">
        <f>"许妍娥"</f>
        <v>许妍娥</v>
      </c>
      <c r="F732" s="6" t="str">
        <f t="shared" si="50"/>
        <v>女</v>
      </c>
    </row>
    <row r="733" spans="1:6" ht="30" customHeight="1">
      <c r="A733" s="6">
        <v>731</v>
      </c>
      <c r="B733" s="6" t="str">
        <f>"53002023052815531287825"</f>
        <v>53002023052815531287825</v>
      </c>
      <c r="C733" s="6" t="str">
        <f t="shared" si="49"/>
        <v>0201</v>
      </c>
      <c r="D733" s="6" t="s">
        <v>20</v>
      </c>
      <c r="E733" s="6" t="str">
        <f>"秦美玲"</f>
        <v>秦美玲</v>
      </c>
      <c r="F733" s="6" t="str">
        <f t="shared" si="50"/>
        <v>女</v>
      </c>
    </row>
    <row r="734" spans="1:6" ht="30" customHeight="1">
      <c r="A734" s="6">
        <v>732</v>
      </c>
      <c r="B734" s="6" t="str">
        <f>"53002023052815374487791"</f>
        <v>53002023052815374487791</v>
      </c>
      <c r="C734" s="6" t="str">
        <f t="shared" si="49"/>
        <v>0201</v>
      </c>
      <c r="D734" s="6" t="s">
        <v>20</v>
      </c>
      <c r="E734" s="6" t="str">
        <f>"陈美娟"</f>
        <v>陈美娟</v>
      </c>
      <c r="F734" s="6" t="str">
        <f t="shared" si="50"/>
        <v>女</v>
      </c>
    </row>
    <row r="735" spans="1:6" ht="30" customHeight="1">
      <c r="A735" s="6">
        <v>733</v>
      </c>
      <c r="B735" s="6" t="str">
        <f>"53002023052816321287944"</f>
        <v>53002023052816321287944</v>
      </c>
      <c r="C735" s="6" t="str">
        <f t="shared" si="49"/>
        <v>0201</v>
      </c>
      <c r="D735" s="6" t="s">
        <v>20</v>
      </c>
      <c r="E735" s="6" t="str">
        <f>"李紫媛"</f>
        <v>李紫媛</v>
      </c>
      <c r="F735" s="6" t="str">
        <f t="shared" si="50"/>
        <v>女</v>
      </c>
    </row>
    <row r="736" spans="1:6" ht="30" customHeight="1">
      <c r="A736" s="6">
        <v>734</v>
      </c>
      <c r="B736" s="6" t="str">
        <f>"53002023052814504887657"</f>
        <v>53002023052814504887657</v>
      </c>
      <c r="C736" s="6" t="str">
        <f t="shared" si="49"/>
        <v>0201</v>
      </c>
      <c r="D736" s="6" t="s">
        <v>20</v>
      </c>
      <c r="E736" s="6" t="str">
        <f>"王玉润"</f>
        <v>王玉润</v>
      </c>
      <c r="F736" s="6" t="str">
        <f t="shared" si="50"/>
        <v>女</v>
      </c>
    </row>
    <row r="737" spans="1:6" ht="30" customHeight="1">
      <c r="A737" s="6">
        <v>735</v>
      </c>
      <c r="B737" s="6" t="str">
        <f>"53002023052816584988028"</f>
        <v>53002023052816584988028</v>
      </c>
      <c r="C737" s="6" t="str">
        <f t="shared" si="49"/>
        <v>0201</v>
      </c>
      <c r="D737" s="6" t="s">
        <v>20</v>
      </c>
      <c r="E737" s="6" t="str">
        <f>"陈民丽"</f>
        <v>陈民丽</v>
      </c>
      <c r="F737" s="6" t="str">
        <f t="shared" si="50"/>
        <v>女</v>
      </c>
    </row>
    <row r="738" spans="1:6" ht="30" customHeight="1">
      <c r="A738" s="6">
        <v>736</v>
      </c>
      <c r="B738" s="6" t="str">
        <f>"53002023052814514387661"</f>
        <v>53002023052814514387661</v>
      </c>
      <c r="C738" s="6" t="str">
        <f t="shared" si="49"/>
        <v>0201</v>
      </c>
      <c r="D738" s="6" t="s">
        <v>20</v>
      </c>
      <c r="E738" s="6" t="str">
        <f>"黄余童"</f>
        <v>黄余童</v>
      </c>
      <c r="F738" s="6" t="str">
        <f>"男"</f>
        <v>男</v>
      </c>
    </row>
    <row r="739" spans="1:6" ht="30" customHeight="1">
      <c r="A739" s="6">
        <v>737</v>
      </c>
      <c r="B739" s="6" t="str">
        <f>"53002023052817134988071"</f>
        <v>53002023052817134988071</v>
      </c>
      <c r="C739" s="6" t="str">
        <f t="shared" si="49"/>
        <v>0201</v>
      </c>
      <c r="D739" s="6" t="s">
        <v>20</v>
      </c>
      <c r="E739" s="6" t="str">
        <f>"朱桃芬"</f>
        <v>朱桃芬</v>
      </c>
      <c r="F739" s="6" t="str">
        <f aca="true" t="shared" si="51" ref="F739:F756">"女"</f>
        <v>女</v>
      </c>
    </row>
    <row r="740" spans="1:6" ht="30" customHeight="1">
      <c r="A740" s="6">
        <v>738</v>
      </c>
      <c r="B740" s="6" t="str">
        <f>"53002023052817110488060"</f>
        <v>53002023052817110488060</v>
      </c>
      <c r="C740" s="6" t="str">
        <f t="shared" si="49"/>
        <v>0201</v>
      </c>
      <c r="D740" s="6" t="s">
        <v>20</v>
      </c>
      <c r="E740" s="6" t="str">
        <f>"郑欢欢"</f>
        <v>郑欢欢</v>
      </c>
      <c r="F740" s="6" t="str">
        <f t="shared" si="51"/>
        <v>女</v>
      </c>
    </row>
    <row r="741" spans="1:6" ht="30" customHeight="1">
      <c r="A741" s="6">
        <v>739</v>
      </c>
      <c r="B741" s="6" t="str">
        <f>"53002023052818045788304"</f>
        <v>53002023052818045788304</v>
      </c>
      <c r="C741" s="6" t="str">
        <f t="shared" si="49"/>
        <v>0201</v>
      </c>
      <c r="D741" s="6" t="s">
        <v>20</v>
      </c>
      <c r="E741" s="6" t="str">
        <f>"吴清芳"</f>
        <v>吴清芳</v>
      </c>
      <c r="F741" s="6" t="str">
        <f t="shared" si="51"/>
        <v>女</v>
      </c>
    </row>
    <row r="742" spans="1:6" ht="30" customHeight="1">
      <c r="A742" s="6">
        <v>740</v>
      </c>
      <c r="B742" s="6" t="str">
        <f>"53002023052818055688309"</f>
        <v>53002023052818055688309</v>
      </c>
      <c r="C742" s="6" t="str">
        <f t="shared" si="49"/>
        <v>0201</v>
      </c>
      <c r="D742" s="6" t="s">
        <v>20</v>
      </c>
      <c r="E742" s="6" t="str">
        <f>"吴小佳"</f>
        <v>吴小佳</v>
      </c>
      <c r="F742" s="6" t="str">
        <f t="shared" si="51"/>
        <v>女</v>
      </c>
    </row>
    <row r="743" spans="1:6" ht="30" customHeight="1">
      <c r="A743" s="6">
        <v>741</v>
      </c>
      <c r="B743" s="6" t="str">
        <f>"53002023052818291188360"</f>
        <v>53002023052818291188360</v>
      </c>
      <c r="C743" s="6" t="str">
        <f t="shared" si="49"/>
        <v>0201</v>
      </c>
      <c r="D743" s="6" t="s">
        <v>20</v>
      </c>
      <c r="E743" s="6" t="str">
        <f>"冯淑钰"</f>
        <v>冯淑钰</v>
      </c>
      <c r="F743" s="6" t="str">
        <f t="shared" si="51"/>
        <v>女</v>
      </c>
    </row>
    <row r="744" spans="1:6" ht="30" customHeight="1">
      <c r="A744" s="6">
        <v>742</v>
      </c>
      <c r="B744" s="6" t="str">
        <f>"53002023052818222488340"</f>
        <v>53002023052818222488340</v>
      </c>
      <c r="C744" s="6" t="str">
        <f t="shared" si="49"/>
        <v>0201</v>
      </c>
      <c r="D744" s="6" t="s">
        <v>20</v>
      </c>
      <c r="E744" s="6" t="str">
        <f>"梁茹祯"</f>
        <v>梁茹祯</v>
      </c>
      <c r="F744" s="6" t="str">
        <f t="shared" si="51"/>
        <v>女</v>
      </c>
    </row>
    <row r="745" spans="1:6" ht="30" customHeight="1">
      <c r="A745" s="6">
        <v>743</v>
      </c>
      <c r="B745" s="6" t="str">
        <f>"53002023052818574488426"</f>
        <v>53002023052818574488426</v>
      </c>
      <c r="C745" s="6" t="str">
        <f t="shared" si="49"/>
        <v>0201</v>
      </c>
      <c r="D745" s="6" t="s">
        <v>20</v>
      </c>
      <c r="E745" s="6" t="str">
        <f>" 黎丽娟"</f>
        <v> 黎丽娟</v>
      </c>
      <c r="F745" s="6" t="str">
        <f t="shared" si="51"/>
        <v>女</v>
      </c>
    </row>
    <row r="746" spans="1:6" ht="30" customHeight="1">
      <c r="A746" s="6">
        <v>744</v>
      </c>
      <c r="B746" s="6" t="str">
        <f>"53002023052818440388388"</f>
        <v>53002023052818440388388</v>
      </c>
      <c r="C746" s="6" t="str">
        <f t="shared" si="49"/>
        <v>0201</v>
      </c>
      <c r="D746" s="6" t="s">
        <v>20</v>
      </c>
      <c r="E746" s="6" t="str">
        <f>"张珍紫"</f>
        <v>张珍紫</v>
      </c>
      <c r="F746" s="6" t="str">
        <f t="shared" si="51"/>
        <v>女</v>
      </c>
    </row>
    <row r="747" spans="1:6" ht="30" customHeight="1">
      <c r="A747" s="6">
        <v>745</v>
      </c>
      <c r="B747" s="6" t="str">
        <f>"53002023052820043288587"</f>
        <v>53002023052820043288587</v>
      </c>
      <c r="C747" s="6" t="str">
        <f t="shared" si="49"/>
        <v>0201</v>
      </c>
      <c r="D747" s="6" t="s">
        <v>20</v>
      </c>
      <c r="E747" s="6" t="str">
        <f>"李顺菊"</f>
        <v>李顺菊</v>
      </c>
      <c r="F747" s="6" t="str">
        <f t="shared" si="51"/>
        <v>女</v>
      </c>
    </row>
    <row r="748" spans="1:6" ht="30" customHeight="1">
      <c r="A748" s="6">
        <v>746</v>
      </c>
      <c r="B748" s="6" t="str">
        <f>"53002023052820251388659"</f>
        <v>53002023052820251388659</v>
      </c>
      <c r="C748" s="6" t="str">
        <f t="shared" si="49"/>
        <v>0201</v>
      </c>
      <c r="D748" s="6" t="s">
        <v>20</v>
      </c>
      <c r="E748" s="6" t="str">
        <f>"林朝蕾"</f>
        <v>林朝蕾</v>
      </c>
      <c r="F748" s="6" t="str">
        <f t="shared" si="51"/>
        <v>女</v>
      </c>
    </row>
    <row r="749" spans="1:6" ht="30" customHeight="1">
      <c r="A749" s="6">
        <v>747</v>
      </c>
      <c r="B749" s="6" t="str">
        <f>"53002023052718432385700"</f>
        <v>53002023052718432385700</v>
      </c>
      <c r="C749" s="6" t="str">
        <f t="shared" si="49"/>
        <v>0201</v>
      </c>
      <c r="D749" s="6" t="s">
        <v>20</v>
      </c>
      <c r="E749" s="6" t="str">
        <f>"劳海丽"</f>
        <v>劳海丽</v>
      </c>
      <c r="F749" s="6" t="str">
        <f t="shared" si="51"/>
        <v>女</v>
      </c>
    </row>
    <row r="750" spans="1:6" ht="30" customHeight="1">
      <c r="A750" s="6">
        <v>748</v>
      </c>
      <c r="B750" s="6" t="str">
        <f>"53002023052820275288672"</f>
        <v>53002023052820275288672</v>
      </c>
      <c r="C750" s="6" t="str">
        <f t="shared" si="49"/>
        <v>0201</v>
      </c>
      <c r="D750" s="6" t="s">
        <v>20</v>
      </c>
      <c r="E750" s="6" t="str">
        <f>"苏静 "</f>
        <v>苏静 </v>
      </c>
      <c r="F750" s="6" t="str">
        <f t="shared" si="51"/>
        <v>女</v>
      </c>
    </row>
    <row r="751" spans="1:6" ht="30" customHeight="1">
      <c r="A751" s="6">
        <v>749</v>
      </c>
      <c r="B751" s="6" t="str">
        <f>"53002023052820410388715"</f>
        <v>53002023052820410388715</v>
      </c>
      <c r="C751" s="6" t="str">
        <f t="shared" si="49"/>
        <v>0201</v>
      </c>
      <c r="D751" s="6" t="s">
        <v>20</v>
      </c>
      <c r="E751" s="6" t="str">
        <f>"王晓菊"</f>
        <v>王晓菊</v>
      </c>
      <c r="F751" s="6" t="str">
        <f t="shared" si="51"/>
        <v>女</v>
      </c>
    </row>
    <row r="752" spans="1:6" ht="30" customHeight="1">
      <c r="A752" s="6">
        <v>750</v>
      </c>
      <c r="B752" s="6" t="str">
        <f>"53002023052820294388678"</f>
        <v>53002023052820294388678</v>
      </c>
      <c r="C752" s="6" t="str">
        <f t="shared" si="49"/>
        <v>0201</v>
      </c>
      <c r="D752" s="6" t="s">
        <v>20</v>
      </c>
      <c r="E752" s="6" t="str">
        <f>"羊秋鍊"</f>
        <v>羊秋鍊</v>
      </c>
      <c r="F752" s="6" t="str">
        <f t="shared" si="51"/>
        <v>女</v>
      </c>
    </row>
    <row r="753" spans="1:6" ht="30" customHeight="1">
      <c r="A753" s="6">
        <v>751</v>
      </c>
      <c r="B753" s="6" t="str">
        <f>"53002023052820251588660"</f>
        <v>53002023052820251588660</v>
      </c>
      <c r="C753" s="6" t="str">
        <f t="shared" si="49"/>
        <v>0201</v>
      </c>
      <c r="D753" s="6" t="s">
        <v>20</v>
      </c>
      <c r="E753" s="6" t="str">
        <f>"肖铃"</f>
        <v>肖铃</v>
      </c>
      <c r="F753" s="6" t="str">
        <f t="shared" si="51"/>
        <v>女</v>
      </c>
    </row>
    <row r="754" spans="1:6" ht="30" customHeight="1">
      <c r="A754" s="6">
        <v>752</v>
      </c>
      <c r="B754" s="6" t="str">
        <f>"53002023052821063388807"</f>
        <v>53002023052821063388807</v>
      </c>
      <c r="C754" s="6" t="str">
        <f t="shared" si="49"/>
        <v>0201</v>
      </c>
      <c r="D754" s="6" t="s">
        <v>20</v>
      </c>
      <c r="E754" s="6" t="str">
        <f>"陈方翠"</f>
        <v>陈方翠</v>
      </c>
      <c r="F754" s="6" t="str">
        <f t="shared" si="51"/>
        <v>女</v>
      </c>
    </row>
    <row r="755" spans="1:6" ht="30" customHeight="1">
      <c r="A755" s="6">
        <v>753</v>
      </c>
      <c r="B755" s="6" t="str">
        <f>"53002023052720440486059"</f>
        <v>53002023052720440486059</v>
      </c>
      <c r="C755" s="6" t="str">
        <f t="shared" si="49"/>
        <v>0201</v>
      </c>
      <c r="D755" s="6" t="s">
        <v>20</v>
      </c>
      <c r="E755" s="6" t="str">
        <f>"蔡恋芳"</f>
        <v>蔡恋芳</v>
      </c>
      <c r="F755" s="6" t="str">
        <f t="shared" si="51"/>
        <v>女</v>
      </c>
    </row>
    <row r="756" spans="1:6" ht="30" customHeight="1">
      <c r="A756" s="6">
        <v>754</v>
      </c>
      <c r="B756" s="6" t="str">
        <f>"53002023052821404788923"</f>
        <v>53002023052821404788923</v>
      </c>
      <c r="C756" s="6" t="str">
        <f t="shared" si="49"/>
        <v>0201</v>
      </c>
      <c r="D756" s="6" t="s">
        <v>20</v>
      </c>
      <c r="E756" s="6" t="str">
        <f>"范珊珊"</f>
        <v>范珊珊</v>
      </c>
      <c r="F756" s="6" t="str">
        <f t="shared" si="51"/>
        <v>女</v>
      </c>
    </row>
    <row r="757" spans="1:6" ht="30" customHeight="1">
      <c r="A757" s="6">
        <v>755</v>
      </c>
      <c r="B757" s="6" t="str">
        <f>"53002023052821523988970"</f>
        <v>53002023052821523988970</v>
      </c>
      <c r="C757" s="6" t="str">
        <f t="shared" si="49"/>
        <v>0201</v>
      </c>
      <c r="D757" s="6" t="s">
        <v>20</v>
      </c>
      <c r="E757" s="6" t="str">
        <f>"何仁辉"</f>
        <v>何仁辉</v>
      </c>
      <c r="F757" s="6" t="str">
        <f>"男"</f>
        <v>男</v>
      </c>
    </row>
    <row r="758" spans="1:6" ht="30" customHeight="1">
      <c r="A758" s="6">
        <v>756</v>
      </c>
      <c r="B758" s="6" t="str">
        <f>"53002023052714572584995"</f>
        <v>53002023052714572584995</v>
      </c>
      <c r="C758" s="6" t="str">
        <f t="shared" si="49"/>
        <v>0201</v>
      </c>
      <c r="D758" s="6" t="s">
        <v>20</v>
      </c>
      <c r="E758" s="6" t="str">
        <f>"吴秋云"</f>
        <v>吴秋云</v>
      </c>
      <c r="F758" s="6" t="str">
        <f>"女"</f>
        <v>女</v>
      </c>
    </row>
    <row r="759" spans="1:6" ht="30" customHeight="1">
      <c r="A759" s="6">
        <v>757</v>
      </c>
      <c r="B759" s="6" t="str">
        <f>"53002023052900555289370"</f>
        <v>53002023052900555289370</v>
      </c>
      <c r="C759" s="6" t="str">
        <f t="shared" si="49"/>
        <v>0201</v>
      </c>
      <c r="D759" s="6" t="s">
        <v>20</v>
      </c>
      <c r="E759" s="6" t="str">
        <f>"吴菊妍"</f>
        <v>吴菊妍</v>
      </c>
      <c r="F759" s="6" t="str">
        <f>"女"</f>
        <v>女</v>
      </c>
    </row>
    <row r="760" spans="1:6" ht="30" customHeight="1">
      <c r="A760" s="6">
        <v>758</v>
      </c>
      <c r="B760" s="6" t="str">
        <f>"53002023052908480089629"</f>
        <v>53002023052908480089629</v>
      </c>
      <c r="C760" s="6" t="str">
        <f aca="true" t="shared" si="52" ref="C760:C823">"0201"</f>
        <v>0201</v>
      </c>
      <c r="D760" s="6" t="s">
        <v>20</v>
      </c>
      <c r="E760" s="6" t="str">
        <f>"李锦妍"</f>
        <v>李锦妍</v>
      </c>
      <c r="F760" s="6" t="str">
        <f>"女"</f>
        <v>女</v>
      </c>
    </row>
    <row r="761" spans="1:6" ht="30" customHeight="1">
      <c r="A761" s="6">
        <v>759</v>
      </c>
      <c r="B761" s="6" t="str">
        <f>"53002023052908414089602"</f>
        <v>53002023052908414089602</v>
      </c>
      <c r="C761" s="6" t="str">
        <f t="shared" si="52"/>
        <v>0201</v>
      </c>
      <c r="D761" s="6" t="s">
        <v>20</v>
      </c>
      <c r="E761" s="6" t="str">
        <f>"吴少妹"</f>
        <v>吴少妹</v>
      </c>
      <c r="F761" s="6" t="str">
        <f>"女"</f>
        <v>女</v>
      </c>
    </row>
    <row r="762" spans="1:6" ht="30" customHeight="1">
      <c r="A762" s="6">
        <v>760</v>
      </c>
      <c r="B762" s="6" t="str">
        <f>"53002023052909320590119"</f>
        <v>53002023052909320590119</v>
      </c>
      <c r="C762" s="6" t="str">
        <f t="shared" si="52"/>
        <v>0201</v>
      </c>
      <c r="D762" s="6" t="s">
        <v>20</v>
      </c>
      <c r="E762" s="6" t="str">
        <f>"陆显任"</f>
        <v>陆显任</v>
      </c>
      <c r="F762" s="6" t="str">
        <f>"女"</f>
        <v>女</v>
      </c>
    </row>
    <row r="763" spans="1:6" ht="30" customHeight="1">
      <c r="A763" s="6">
        <v>761</v>
      </c>
      <c r="B763" s="6" t="str">
        <f>"53002023052909470690298"</f>
        <v>53002023052909470690298</v>
      </c>
      <c r="C763" s="6" t="str">
        <f t="shared" si="52"/>
        <v>0201</v>
      </c>
      <c r="D763" s="6" t="s">
        <v>20</v>
      </c>
      <c r="E763" s="6" t="str">
        <f>"王详"</f>
        <v>王详</v>
      </c>
      <c r="F763" s="6" t="str">
        <f>"男"</f>
        <v>男</v>
      </c>
    </row>
    <row r="764" spans="1:6" ht="30" customHeight="1">
      <c r="A764" s="6">
        <v>762</v>
      </c>
      <c r="B764" s="6" t="str">
        <f>"53002023052910025490475"</f>
        <v>53002023052910025490475</v>
      </c>
      <c r="C764" s="6" t="str">
        <f t="shared" si="52"/>
        <v>0201</v>
      </c>
      <c r="D764" s="6" t="s">
        <v>20</v>
      </c>
      <c r="E764" s="6" t="str">
        <f>"刘婷"</f>
        <v>刘婷</v>
      </c>
      <c r="F764" s="6" t="str">
        <f aca="true" t="shared" si="53" ref="F764:F779">"女"</f>
        <v>女</v>
      </c>
    </row>
    <row r="765" spans="1:6" ht="30" customHeight="1">
      <c r="A765" s="6">
        <v>763</v>
      </c>
      <c r="B765" s="6" t="str">
        <f>"53002023052710541384142"</f>
        <v>53002023052710541384142</v>
      </c>
      <c r="C765" s="6" t="str">
        <f t="shared" si="52"/>
        <v>0201</v>
      </c>
      <c r="D765" s="6" t="s">
        <v>20</v>
      </c>
      <c r="E765" s="6" t="str">
        <f>"王月姜"</f>
        <v>王月姜</v>
      </c>
      <c r="F765" s="6" t="str">
        <f t="shared" si="53"/>
        <v>女</v>
      </c>
    </row>
    <row r="766" spans="1:6" ht="30" customHeight="1">
      <c r="A766" s="6">
        <v>764</v>
      </c>
      <c r="B766" s="6" t="str">
        <f>"53002023052909441290258"</f>
        <v>53002023052909441290258</v>
      </c>
      <c r="C766" s="6" t="str">
        <f t="shared" si="52"/>
        <v>0201</v>
      </c>
      <c r="D766" s="6" t="s">
        <v>20</v>
      </c>
      <c r="E766" s="6" t="str">
        <f>"羊彩梦"</f>
        <v>羊彩梦</v>
      </c>
      <c r="F766" s="6" t="str">
        <f t="shared" si="53"/>
        <v>女</v>
      </c>
    </row>
    <row r="767" spans="1:6" ht="30" customHeight="1">
      <c r="A767" s="6">
        <v>765</v>
      </c>
      <c r="B767" s="6" t="str">
        <f>"53002023052909461590285"</f>
        <v>53002023052909461590285</v>
      </c>
      <c r="C767" s="6" t="str">
        <f t="shared" si="52"/>
        <v>0201</v>
      </c>
      <c r="D767" s="6" t="s">
        <v>20</v>
      </c>
      <c r="E767" s="6" t="str">
        <f>"吴海萍"</f>
        <v>吴海萍</v>
      </c>
      <c r="F767" s="6" t="str">
        <f t="shared" si="53"/>
        <v>女</v>
      </c>
    </row>
    <row r="768" spans="1:6" ht="30" customHeight="1">
      <c r="A768" s="6">
        <v>766</v>
      </c>
      <c r="B768" s="6" t="str">
        <f>"53002023052910131090590"</f>
        <v>53002023052910131090590</v>
      </c>
      <c r="C768" s="6" t="str">
        <f t="shared" si="52"/>
        <v>0201</v>
      </c>
      <c r="D768" s="6" t="s">
        <v>20</v>
      </c>
      <c r="E768" s="6" t="str">
        <f>"吴育芬"</f>
        <v>吴育芬</v>
      </c>
      <c r="F768" s="6" t="str">
        <f t="shared" si="53"/>
        <v>女</v>
      </c>
    </row>
    <row r="769" spans="1:6" ht="30" customHeight="1">
      <c r="A769" s="6">
        <v>767</v>
      </c>
      <c r="B769" s="6" t="str">
        <f>"53002023052910195590671"</f>
        <v>53002023052910195590671</v>
      </c>
      <c r="C769" s="6" t="str">
        <f t="shared" si="52"/>
        <v>0201</v>
      </c>
      <c r="D769" s="6" t="s">
        <v>20</v>
      </c>
      <c r="E769" s="6" t="str">
        <f>"陈嫦初"</f>
        <v>陈嫦初</v>
      </c>
      <c r="F769" s="6" t="str">
        <f t="shared" si="53"/>
        <v>女</v>
      </c>
    </row>
    <row r="770" spans="1:6" ht="30" customHeight="1">
      <c r="A770" s="6">
        <v>768</v>
      </c>
      <c r="B770" s="6" t="str">
        <f>"53002023052909355990155"</f>
        <v>53002023052909355990155</v>
      </c>
      <c r="C770" s="6" t="str">
        <f t="shared" si="52"/>
        <v>0201</v>
      </c>
      <c r="D770" s="6" t="s">
        <v>20</v>
      </c>
      <c r="E770" s="6" t="str">
        <f>"葛笑笑"</f>
        <v>葛笑笑</v>
      </c>
      <c r="F770" s="6" t="str">
        <f t="shared" si="53"/>
        <v>女</v>
      </c>
    </row>
    <row r="771" spans="1:6" ht="30" customHeight="1">
      <c r="A771" s="6">
        <v>769</v>
      </c>
      <c r="B771" s="6" t="str">
        <f>"53002023052910354890857"</f>
        <v>53002023052910354890857</v>
      </c>
      <c r="C771" s="6" t="str">
        <f t="shared" si="52"/>
        <v>0201</v>
      </c>
      <c r="D771" s="6" t="s">
        <v>20</v>
      </c>
      <c r="E771" s="6" t="str">
        <f>"李秀丹"</f>
        <v>李秀丹</v>
      </c>
      <c r="F771" s="6" t="str">
        <f t="shared" si="53"/>
        <v>女</v>
      </c>
    </row>
    <row r="772" spans="1:6" ht="30" customHeight="1">
      <c r="A772" s="6">
        <v>770</v>
      </c>
      <c r="B772" s="6" t="str">
        <f>"53002023052910273790757"</f>
        <v>53002023052910273790757</v>
      </c>
      <c r="C772" s="6" t="str">
        <f t="shared" si="52"/>
        <v>0201</v>
      </c>
      <c r="D772" s="6" t="s">
        <v>20</v>
      </c>
      <c r="E772" s="6" t="str">
        <f>"王迷尔"</f>
        <v>王迷尔</v>
      </c>
      <c r="F772" s="6" t="str">
        <f t="shared" si="53"/>
        <v>女</v>
      </c>
    </row>
    <row r="773" spans="1:6" ht="30" customHeight="1">
      <c r="A773" s="6">
        <v>771</v>
      </c>
      <c r="B773" s="6" t="str">
        <f>"53002023052911024191141"</f>
        <v>53002023052911024191141</v>
      </c>
      <c r="C773" s="6" t="str">
        <f t="shared" si="52"/>
        <v>0201</v>
      </c>
      <c r="D773" s="6" t="s">
        <v>20</v>
      </c>
      <c r="E773" s="6" t="str">
        <f>"王转珠"</f>
        <v>王转珠</v>
      </c>
      <c r="F773" s="6" t="str">
        <f t="shared" si="53"/>
        <v>女</v>
      </c>
    </row>
    <row r="774" spans="1:6" ht="30" customHeight="1">
      <c r="A774" s="6">
        <v>772</v>
      </c>
      <c r="B774" s="6" t="str">
        <f>"53002023052812040687241"</f>
        <v>53002023052812040687241</v>
      </c>
      <c r="C774" s="6" t="str">
        <f t="shared" si="52"/>
        <v>0201</v>
      </c>
      <c r="D774" s="6" t="s">
        <v>20</v>
      </c>
      <c r="E774" s="6" t="str">
        <f>"黄秋梅"</f>
        <v>黄秋梅</v>
      </c>
      <c r="F774" s="6" t="str">
        <f t="shared" si="53"/>
        <v>女</v>
      </c>
    </row>
    <row r="775" spans="1:6" ht="30" customHeight="1">
      <c r="A775" s="6">
        <v>773</v>
      </c>
      <c r="B775" s="6" t="str">
        <f>"53002023052721595886312"</f>
        <v>53002023052721595886312</v>
      </c>
      <c r="C775" s="6" t="str">
        <f t="shared" si="52"/>
        <v>0201</v>
      </c>
      <c r="D775" s="6" t="s">
        <v>20</v>
      </c>
      <c r="E775" s="6" t="str">
        <f>"梁小燕"</f>
        <v>梁小燕</v>
      </c>
      <c r="F775" s="6" t="str">
        <f t="shared" si="53"/>
        <v>女</v>
      </c>
    </row>
    <row r="776" spans="1:6" ht="30" customHeight="1">
      <c r="A776" s="6">
        <v>774</v>
      </c>
      <c r="B776" s="6" t="str">
        <f>"53002023052909364690168"</f>
        <v>53002023052909364690168</v>
      </c>
      <c r="C776" s="6" t="str">
        <f t="shared" si="52"/>
        <v>0201</v>
      </c>
      <c r="D776" s="6" t="s">
        <v>20</v>
      </c>
      <c r="E776" s="6" t="str">
        <f>"刘振丹"</f>
        <v>刘振丹</v>
      </c>
      <c r="F776" s="6" t="str">
        <f t="shared" si="53"/>
        <v>女</v>
      </c>
    </row>
    <row r="777" spans="1:6" ht="30" customHeight="1">
      <c r="A777" s="6">
        <v>775</v>
      </c>
      <c r="B777" s="6" t="str">
        <f>"53002023052911321491402"</f>
        <v>53002023052911321491402</v>
      </c>
      <c r="C777" s="6" t="str">
        <f t="shared" si="52"/>
        <v>0201</v>
      </c>
      <c r="D777" s="6" t="s">
        <v>20</v>
      </c>
      <c r="E777" s="6" t="str">
        <f>"李杰元"</f>
        <v>李杰元</v>
      </c>
      <c r="F777" s="6" t="str">
        <f t="shared" si="53"/>
        <v>女</v>
      </c>
    </row>
    <row r="778" spans="1:6" ht="30" customHeight="1">
      <c r="A778" s="6">
        <v>776</v>
      </c>
      <c r="B778" s="6" t="str">
        <f>"53002023052911240291336"</f>
        <v>53002023052911240291336</v>
      </c>
      <c r="C778" s="6" t="str">
        <f t="shared" si="52"/>
        <v>0201</v>
      </c>
      <c r="D778" s="6" t="s">
        <v>20</v>
      </c>
      <c r="E778" s="6" t="str">
        <f>"王晓玲"</f>
        <v>王晓玲</v>
      </c>
      <c r="F778" s="6" t="str">
        <f t="shared" si="53"/>
        <v>女</v>
      </c>
    </row>
    <row r="779" spans="1:6" ht="30" customHeight="1">
      <c r="A779" s="6">
        <v>777</v>
      </c>
      <c r="B779" s="6" t="str">
        <f>"53002023052909372790182"</f>
        <v>53002023052909372790182</v>
      </c>
      <c r="C779" s="6" t="str">
        <f t="shared" si="52"/>
        <v>0201</v>
      </c>
      <c r="D779" s="6" t="s">
        <v>20</v>
      </c>
      <c r="E779" s="6" t="str">
        <f>"刘海花"</f>
        <v>刘海花</v>
      </c>
      <c r="F779" s="6" t="str">
        <f t="shared" si="53"/>
        <v>女</v>
      </c>
    </row>
    <row r="780" spans="1:6" ht="30" customHeight="1">
      <c r="A780" s="6">
        <v>778</v>
      </c>
      <c r="B780" s="6" t="str">
        <f>"53002023052911482391539"</f>
        <v>53002023052911482391539</v>
      </c>
      <c r="C780" s="6" t="str">
        <f t="shared" si="52"/>
        <v>0201</v>
      </c>
      <c r="D780" s="6" t="s">
        <v>20</v>
      </c>
      <c r="E780" s="6" t="str">
        <f>"吴体道"</f>
        <v>吴体道</v>
      </c>
      <c r="F780" s="6" t="str">
        <f>"男"</f>
        <v>男</v>
      </c>
    </row>
    <row r="781" spans="1:6" ht="30" customHeight="1">
      <c r="A781" s="6">
        <v>779</v>
      </c>
      <c r="B781" s="6" t="str">
        <f>"53002023052912170991761"</f>
        <v>53002023052912170991761</v>
      </c>
      <c r="C781" s="6" t="str">
        <f t="shared" si="52"/>
        <v>0201</v>
      </c>
      <c r="D781" s="6" t="s">
        <v>20</v>
      </c>
      <c r="E781" s="6" t="str">
        <f>"王康蜜"</f>
        <v>王康蜜</v>
      </c>
      <c r="F781" s="6" t="str">
        <f>"女"</f>
        <v>女</v>
      </c>
    </row>
    <row r="782" spans="1:6" ht="30" customHeight="1">
      <c r="A782" s="6">
        <v>780</v>
      </c>
      <c r="B782" s="6" t="str">
        <f>"53002023052817550788282"</f>
        <v>53002023052817550788282</v>
      </c>
      <c r="C782" s="6" t="str">
        <f t="shared" si="52"/>
        <v>0201</v>
      </c>
      <c r="D782" s="6" t="s">
        <v>20</v>
      </c>
      <c r="E782" s="6" t="str">
        <f>"冯月玲"</f>
        <v>冯月玲</v>
      </c>
      <c r="F782" s="6" t="str">
        <f>"女"</f>
        <v>女</v>
      </c>
    </row>
    <row r="783" spans="1:6" ht="30" customHeight="1">
      <c r="A783" s="6">
        <v>781</v>
      </c>
      <c r="B783" s="6" t="str">
        <f>"53002023052813024287407"</f>
        <v>53002023052813024287407</v>
      </c>
      <c r="C783" s="6" t="str">
        <f t="shared" si="52"/>
        <v>0201</v>
      </c>
      <c r="D783" s="6" t="s">
        <v>20</v>
      </c>
      <c r="E783" s="6" t="str">
        <f>"郑静刚"</f>
        <v>郑静刚</v>
      </c>
      <c r="F783" s="6" t="str">
        <f>"男"</f>
        <v>男</v>
      </c>
    </row>
    <row r="784" spans="1:6" ht="30" customHeight="1">
      <c r="A784" s="6">
        <v>782</v>
      </c>
      <c r="B784" s="6" t="str">
        <f>"53002023052913061192067"</f>
        <v>53002023052913061192067</v>
      </c>
      <c r="C784" s="6" t="str">
        <f t="shared" si="52"/>
        <v>0201</v>
      </c>
      <c r="D784" s="6" t="s">
        <v>20</v>
      </c>
      <c r="E784" s="6" t="str">
        <f>"邓婉靖"</f>
        <v>邓婉靖</v>
      </c>
      <c r="F784" s="6" t="str">
        <f aca="true" t="shared" si="54" ref="F784:F796">"女"</f>
        <v>女</v>
      </c>
    </row>
    <row r="785" spans="1:6" ht="30" customHeight="1">
      <c r="A785" s="6">
        <v>783</v>
      </c>
      <c r="B785" s="6" t="str">
        <f>"53002023052913093192086"</f>
        <v>53002023052913093192086</v>
      </c>
      <c r="C785" s="6" t="str">
        <f t="shared" si="52"/>
        <v>0201</v>
      </c>
      <c r="D785" s="6" t="s">
        <v>20</v>
      </c>
      <c r="E785" s="6" t="str">
        <f>"余荣琴"</f>
        <v>余荣琴</v>
      </c>
      <c r="F785" s="6" t="str">
        <f t="shared" si="54"/>
        <v>女</v>
      </c>
    </row>
    <row r="786" spans="1:6" ht="30" customHeight="1">
      <c r="A786" s="6">
        <v>784</v>
      </c>
      <c r="B786" s="6" t="str">
        <f>"53002023052822513489170"</f>
        <v>53002023052822513489170</v>
      </c>
      <c r="C786" s="6" t="str">
        <f t="shared" si="52"/>
        <v>0201</v>
      </c>
      <c r="D786" s="6" t="s">
        <v>20</v>
      </c>
      <c r="E786" s="6" t="str">
        <f>"张莉"</f>
        <v>张莉</v>
      </c>
      <c r="F786" s="6" t="str">
        <f t="shared" si="54"/>
        <v>女</v>
      </c>
    </row>
    <row r="787" spans="1:6" ht="30" customHeight="1">
      <c r="A787" s="6">
        <v>785</v>
      </c>
      <c r="B787" s="6" t="str">
        <f>"53002023052913383892240"</f>
        <v>53002023052913383892240</v>
      </c>
      <c r="C787" s="6" t="str">
        <f t="shared" si="52"/>
        <v>0201</v>
      </c>
      <c r="D787" s="6" t="s">
        <v>20</v>
      </c>
      <c r="E787" s="6" t="str">
        <f>"邝芳盈"</f>
        <v>邝芳盈</v>
      </c>
      <c r="F787" s="6" t="str">
        <f t="shared" si="54"/>
        <v>女</v>
      </c>
    </row>
    <row r="788" spans="1:6" ht="30" customHeight="1">
      <c r="A788" s="6">
        <v>786</v>
      </c>
      <c r="B788" s="6" t="str">
        <f>"53002023052913410092248"</f>
        <v>53002023052913410092248</v>
      </c>
      <c r="C788" s="6" t="str">
        <f t="shared" si="52"/>
        <v>0201</v>
      </c>
      <c r="D788" s="6" t="s">
        <v>20</v>
      </c>
      <c r="E788" s="6" t="str">
        <f>"陈尚月"</f>
        <v>陈尚月</v>
      </c>
      <c r="F788" s="6" t="str">
        <f t="shared" si="54"/>
        <v>女</v>
      </c>
    </row>
    <row r="789" spans="1:6" ht="30" customHeight="1">
      <c r="A789" s="6">
        <v>787</v>
      </c>
      <c r="B789" s="6" t="str">
        <f>"53002023052913483992284"</f>
        <v>53002023052913483992284</v>
      </c>
      <c r="C789" s="6" t="str">
        <f t="shared" si="52"/>
        <v>0201</v>
      </c>
      <c r="D789" s="6" t="s">
        <v>20</v>
      </c>
      <c r="E789" s="6" t="str">
        <f>"王和欣"</f>
        <v>王和欣</v>
      </c>
      <c r="F789" s="6" t="str">
        <f t="shared" si="54"/>
        <v>女</v>
      </c>
    </row>
    <row r="790" spans="1:6" ht="30" customHeight="1">
      <c r="A790" s="6">
        <v>788</v>
      </c>
      <c r="B790" s="6" t="str">
        <f>"53002023052913492092289"</f>
        <v>53002023052913492092289</v>
      </c>
      <c r="C790" s="6" t="str">
        <f t="shared" si="52"/>
        <v>0201</v>
      </c>
      <c r="D790" s="6" t="s">
        <v>20</v>
      </c>
      <c r="E790" s="6" t="str">
        <f>"刘小坤"</f>
        <v>刘小坤</v>
      </c>
      <c r="F790" s="6" t="str">
        <f t="shared" si="54"/>
        <v>女</v>
      </c>
    </row>
    <row r="791" spans="1:6" ht="30" customHeight="1">
      <c r="A791" s="6">
        <v>789</v>
      </c>
      <c r="B791" s="6" t="str">
        <f>"53002023052711352784325"</f>
        <v>53002023052711352784325</v>
      </c>
      <c r="C791" s="6" t="str">
        <f t="shared" si="52"/>
        <v>0201</v>
      </c>
      <c r="D791" s="6" t="s">
        <v>20</v>
      </c>
      <c r="E791" s="6" t="str">
        <f>"彭梦茹"</f>
        <v>彭梦茹</v>
      </c>
      <c r="F791" s="6" t="str">
        <f t="shared" si="54"/>
        <v>女</v>
      </c>
    </row>
    <row r="792" spans="1:6" ht="30" customHeight="1">
      <c r="A792" s="6">
        <v>790</v>
      </c>
      <c r="B792" s="6" t="str">
        <f>"53002023052914292992486"</f>
        <v>53002023052914292992486</v>
      </c>
      <c r="C792" s="6" t="str">
        <f t="shared" si="52"/>
        <v>0201</v>
      </c>
      <c r="D792" s="6" t="s">
        <v>20</v>
      </c>
      <c r="E792" s="6" t="str">
        <f>"张涵雅"</f>
        <v>张涵雅</v>
      </c>
      <c r="F792" s="6" t="str">
        <f t="shared" si="54"/>
        <v>女</v>
      </c>
    </row>
    <row r="793" spans="1:6" ht="30" customHeight="1">
      <c r="A793" s="6">
        <v>791</v>
      </c>
      <c r="B793" s="6" t="str">
        <f>"53002023052716002385216"</f>
        <v>53002023052716002385216</v>
      </c>
      <c r="C793" s="6" t="str">
        <f t="shared" si="52"/>
        <v>0201</v>
      </c>
      <c r="D793" s="6" t="s">
        <v>20</v>
      </c>
      <c r="E793" s="6" t="str">
        <f>"蓝平"</f>
        <v>蓝平</v>
      </c>
      <c r="F793" s="6" t="str">
        <f t="shared" si="54"/>
        <v>女</v>
      </c>
    </row>
    <row r="794" spans="1:6" ht="30" customHeight="1">
      <c r="A794" s="6">
        <v>792</v>
      </c>
      <c r="B794" s="6" t="str">
        <f>"53002023052822165689055"</f>
        <v>53002023052822165689055</v>
      </c>
      <c r="C794" s="6" t="str">
        <f t="shared" si="52"/>
        <v>0201</v>
      </c>
      <c r="D794" s="6" t="s">
        <v>20</v>
      </c>
      <c r="E794" s="6" t="str">
        <f>"邓秋霞"</f>
        <v>邓秋霞</v>
      </c>
      <c r="F794" s="6" t="str">
        <f t="shared" si="54"/>
        <v>女</v>
      </c>
    </row>
    <row r="795" spans="1:6" ht="30" customHeight="1">
      <c r="A795" s="6">
        <v>793</v>
      </c>
      <c r="B795" s="6" t="str">
        <f>"53002023052820400088713"</f>
        <v>53002023052820400088713</v>
      </c>
      <c r="C795" s="6" t="str">
        <f t="shared" si="52"/>
        <v>0201</v>
      </c>
      <c r="D795" s="6" t="s">
        <v>20</v>
      </c>
      <c r="E795" s="6" t="str">
        <f>"黄梓暄"</f>
        <v>黄梓暄</v>
      </c>
      <c r="F795" s="6" t="str">
        <f t="shared" si="54"/>
        <v>女</v>
      </c>
    </row>
    <row r="796" spans="1:6" ht="30" customHeight="1">
      <c r="A796" s="6">
        <v>794</v>
      </c>
      <c r="B796" s="6" t="str">
        <f>"53002023052915183892789"</f>
        <v>53002023052915183892789</v>
      </c>
      <c r="C796" s="6" t="str">
        <f t="shared" si="52"/>
        <v>0201</v>
      </c>
      <c r="D796" s="6" t="s">
        <v>20</v>
      </c>
      <c r="E796" s="6" t="str">
        <f>"文梅燕"</f>
        <v>文梅燕</v>
      </c>
      <c r="F796" s="6" t="str">
        <f t="shared" si="54"/>
        <v>女</v>
      </c>
    </row>
    <row r="797" spans="1:6" ht="30" customHeight="1">
      <c r="A797" s="6">
        <v>795</v>
      </c>
      <c r="B797" s="6" t="str">
        <f>"53002023052823272389261"</f>
        <v>53002023052823272389261</v>
      </c>
      <c r="C797" s="6" t="str">
        <f t="shared" si="52"/>
        <v>0201</v>
      </c>
      <c r="D797" s="6" t="s">
        <v>20</v>
      </c>
      <c r="E797" s="6" t="str">
        <f>"符运伟"</f>
        <v>符运伟</v>
      </c>
      <c r="F797" s="6" t="str">
        <f>"男"</f>
        <v>男</v>
      </c>
    </row>
    <row r="798" spans="1:6" ht="30" customHeight="1">
      <c r="A798" s="6">
        <v>796</v>
      </c>
      <c r="B798" s="6" t="str">
        <f>"53002023052815532687826"</f>
        <v>53002023052815532687826</v>
      </c>
      <c r="C798" s="6" t="str">
        <f t="shared" si="52"/>
        <v>0201</v>
      </c>
      <c r="D798" s="6" t="s">
        <v>20</v>
      </c>
      <c r="E798" s="6" t="str">
        <f>"吴梅秋"</f>
        <v>吴梅秋</v>
      </c>
      <c r="F798" s="6" t="str">
        <f aca="true" t="shared" si="55" ref="F798:F808">"女"</f>
        <v>女</v>
      </c>
    </row>
    <row r="799" spans="1:6" ht="30" customHeight="1">
      <c r="A799" s="6">
        <v>797</v>
      </c>
      <c r="B799" s="6" t="str">
        <f>"53002023052713050484634"</f>
        <v>53002023052713050484634</v>
      </c>
      <c r="C799" s="6" t="str">
        <f t="shared" si="52"/>
        <v>0201</v>
      </c>
      <c r="D799" s="6" t="s">
        <v>20</v>
      </c>
      <c r="E799" s="6" t="str">
        <f>"黄莹莹"</f>
        <v>黄莹莹</v>
      </c>
      <c r="F799" s="6" t="str">
        <f t="shared" si="55"/>
        <v>女</v>
      </c>
    </row>
    <row r="800" spans="1:6" ht="30" customHeight="1">
      <c r="A800" s="6">
        <v>798</v>
      </c>
      <c r="B800" s="6" t="str">
        <f>"53002023052915324092902"</f>
        <v>53002023052915324092902</v>
      </c>
      <c r="C800" s="6" t="str">
        <f t="shared" si="52"/>
        <v>0201</v>
      </c>
      <c r="D800" s="6" t="s">
        <v>20</v>
      </c>
      <c r="E800" s="6" t="str">
        <f>"符秋香"</f>
        <v>符秋香</v>
      </c>
      <c r="F800" s="6" t="str">
        <f t="shared" si="55"/>
        <v>女</v>
      </c>
    </row>
    <row r="801" spans="1:6" ht="30" customHeight="1">
      <c r="A801" s="6">
        <v>799</v>
      </c>
      <c r="B801" s="6" t="str">
        <f>"53002023052820504788756"</f>
        <v>53002023052820504788756</v>
      </c>
      <c r="C801" s="6" t="str">
        <f t="shared" si="52"/>
        <v>0201</v>
      </c>
      <c r="D801" s="6" t="s">
        <v>20</v>
      </c>
      <c r="E801" s="6" t="str">
        <f>"王艺淇"</f>
        <v>王艺淇</v>
      </c>
      <c r="F801" s="6" t="str">
        <f t="shared" si="55"/>
        <v>女</v>
      </c>
    </row>
    <row r="802" spans="1:6" ht="30" customHeight="1">
      <c r="A802" s="6">
        <v>800</v>
      </c>
      <c r="B802" s="6" t="str">
        <f>"53002023052915155392768"</f>
        <v>53002023052915155392768</v>
      </c>
      <c r="C802" s="6" t="str">
        <f t="shared" si="52"/>
        <v>0201</v>
      </c>
      <c r="D802" s="6" t="s">
        <v>20</v>
      </c>
      <c r="E802" s="6" t="str">
        <f>"曾少玲"</f>
        <v>曾少玲</v>
      </c>
      <c r="F802" s="6" t="str">
        <f t="shared" si="55"/>
        <v>女</v>
      </c>
    </row>
    <row r="803" spans="1:6" ht="30" customHeight="1">
      <c r="A803" s="6">
        <v>801</v>
      </c>
      <c r="B803" s="6" t="str">
        <f>"53002023052916084693197"</f>
        <v>53002023052916084693197</v>
      </c>
      <c r="C803" s="6" t="str">
        <f t="shared" si="52"/>
        <v>0201</v>
      </c>
      <c r="D803" s="6" t="s">
        <v>20</v>
      </c>
      <c r="E803" s="6" t="str">
        <f>"赵学清"</f>
        <v>赵学清</v>
      </c>
      <c r="F803" s="6" t="str">
        <f t="shared" si="55"/>
        <v>女</v>
      </c>
    </row>
    <row r="804" spans="1:6" ht="30" customHeight="1">
      <c r="A804" s="6">
        <v>802</v>
      </c>
      <c r="B804" s="6" t="str">
        <f>"53002023052817332488118"</f>
        <v>53002023052817332488118</v>
      </c>
      <c r="C804" s="6" t="str">
        <f t="shared" si="52"/>
        <v>0201</v>
      </c>
      <c r="D804" s="6" t="s">
        <v>20</v>
      </c>
      <c r="E804" s="6" t="str">
        <f>"林雅"</f>
        <v>林雅</v>
      </c>
      <c r="F804" s="6" t="str">
        <f t="shared" si="55"/>
        <v>女</v>
      </c>
    </row>
    <row r="805" spans="1:6" ht="30" customHeight="1">
      <c r="A805" s="6">
        <v>803</v>
      </c>
      <c r="B805" s="6" t="str">
        <f>"53002023052916122493218"</f>
        <v>53002023052916122493218</v>
      </c>
      <c r="C805" s="6" t="str">
        <f t="shared" si="52"/>
        <v>0201</v>
      </c>
      <c r="D805" s="6" t="s">
        <v>20</v>
      </c>
      <c r="E805" s="6" t="str">
        <f>"王冬玲"</f>
        <v>王冬玲</v>
      </c>
      <c r="F805" s="6" t="str">
        <f t="shared" si="55"/>
        <v>女</v>
      </c>
    </row>
    <row r="806" spans="1:6" ht="30" customHeight="1">
      <c r="A806" s="6">
        <v>804</v>
      </c>
      <c r="B806" s="6" t="str">
        <f>"53002023052910280190762"</f>
        <v>53002023052910280190762</v>
      </c>
      <c r="C806" s="6" t="str">
        <f t="shared" si="52"/>
        <v>0201</v>
      </c>
      <c r="D806" s="6" t="s">
        <v>20</v>
      </c>
      <c r="E806" s="6" t="str">
        <f>"黄春苗"</f>
        <v>黄春苗</v>
      </c>
      <c r="F806" s="6" t="str">
        <f t="shared" si="55"/>
        <v>女</v>
      </c>
    </row>
    <row r="807" spans="1:6" ht="30" customHeight="1">
      <c r="A807" s="6">
        <v>805</v>
      </c>
      <c r="B807" s="6" t="str">
        <f>"53002023052915550793086"</f>
        <v>53002023052915550793086</v>
      </c>
      <c r="C807" s="6" t="str">
        <f t="shared" si="52"/>
        <v>0201</v>
      </c>
      <c r="D807" s="6" t="s">
        <v>20</v>
      </c>
      <c r="E807" s="6" t="str">
        <f>"孟晓莉"</f>
        <v>孟晓莉</v>
      </c>
      <c r="F807" s="6" t="str">
        <f t="shared" si="55"/>
        <v>女</v>
      </c>
    </row>
    <row r="808" spans="1:6" ht="30" customHeight="1">
      <c r="A808" s="6">
        <v>806</v>
      </c>
      <c r="B808" s="6" t="str">
        <f>"53002023052917052893595"</f>
        <v>53002023052917052893595</v>
      </c>
      <c r="C808" s="6" t="str">
        <f t="shared" si="52"/>
        <v>0201</v>
      </c>
      <c r="D808" s="6" t="s">
        <v>20</v>
      </c>
      <c r="E808" s="6" t="str">
        <f>"曾令宁"</f>
        <v>曾令宁</v>
      </c>
      <c r="F808" s="6" t="str">
        <f t="shared" si="55"/>
        <v>女</v>
      </c>
    </row>
    <row r="809" spans="1:6" ht="30" customHeight="1">
      <c r="A809" s="6">
        <v>807</v>
      </c>
      <c r="B809" s="6" t="str">
        <f>"53002023052914574792647"</f>
        <v>53002023052914574792647</v>
      </c>
      <c r="C809" s="6" t="str">
        <f t="shared" si="52"/>
        <v>0201</v>
      </c>
      <c r="D809" s="6" t="s">
        <v>20</v>
      </c>
      <c r="E809" s="6" t="str">
        <f>"陈亮"</f>
        <v>陈亮</v>
      </c>
      <c r="F809" s="6" t="str">
        <f>"男"</f>
        <v>男</v>
      </c>
    </row>
    <row r="810" spans="1:6" ht="30" customHeight="1">
      <c r="A810" s="6">
        <v>808</v>
      </c>
      <c r="B810" s="6" t="str">
        <f>"53002023052907433189439"</f>
        <v>53002023052907433189439</v>
      </c>
      <c r="C810" s="6" t="str">
        <f t="shared" si="52"/>
        <v>0201</v>
      </c>
      <c r="D810" s="6" t="s">
        <v>20</v>
      </c>
      <c r="E810" s="6" t="str">
        <f>"冯莉莉"</f>
        <v>冯莉莉</v>
      </c>
      <c r="F810" s="6" t="str">
        <f>"女"</f>
        <v>女</v>
      </c>
    </row>
    <row r="811" spans="1:6" ht="30" customHeight="1">
      <c r="A811" s="6">
        <v>809</v>
      </c>
      <c r="B811" s="6" t="str">
        <f>"53002023052911511291565"</f>
        <v>53002023052911511291565</v>
      </c>
      <c r="C811" s="6" t="str">
        <f t="shared" si="52"/>
        <v>0201</v>
      </c>
      <c r="D811" s="6" t="s">
        <v>20</v>
      </c>
      <c r="E811" s="6" t="str">
        <f>"陈足莲"</f>
        <v>陈足莲</v>
      </c>
      <c r="F811" s="6" t="str">
        <f>"女"</f>
        <v>女</v>
      </c>
    </row>
    <row r="812" spans="1:6" ht="30" customHeight="1">
      <c r="A812" s="6">
        <v>810</v>
      </c>
      <c r="B812" s="6" t="str">
        <f>"53002023052917373193773"</f>
        <v>53002023052917373193773</v>
      </c>
      <c r="C812" s="6" t="str">
        <f t="shared" si="52"/>
        <v>0201</v>
      </c>
      <c r="D812" s="6" t="s">
        <v>20</v>
      </c>
      <c r="E812" s="6" t="str">
        <f>"李昕"</f>
        <v>李昕</v>
      </c>
      <c r="F812" s="6" t="str">
        <f>"女"</f>
        <v>女</v>
      </c>
    </row>
    <row r="813" spans="1:6" ht="30" customHeight="1">
      <c r="A813" s="6">
        <v>811</v>
      </c>
      <c r="B813" s="6" t="str">
        <f>"53002023052917320693739"</f>
        <v>53002023052917320693739</v>
      </c>
      <c r="C813" s="6" t="str">
        <f t="shared" si="52"/>
        <v>0201</v>
      </c>
      <c r="D813" s="6" t="s">
        <v>20</v>
      </c>
      <c r="E813" s="6" t="str">
        <f>"范媛媛"</f>
        <v>范媛媛</v>
      </c>
      <c r="F813" s="6" t="str">
        <f>"女"</f>
        <v>女</v>
      </c>
    </row>
    <row r="814" spans="1:6" ht="30" customHeight="1">
      <c r="A814" s="6">
        <v>812</v>
      </c>
      <c r="B814" s="6" t="str">
        <f>"53002023052917090093620"</f>
        <v>53002023052917090093620</v>
      </c>
      <c r="C814" s="6" t="str">
        <f t="shared" si="52"/>
        <v>0201</v>
      </c>
      <c r="D814" s="6" t="s">
        <v>20</v>
      </c>
      <c r="E814" s="6" t="str">
        <f>"孙术蓉"</f>
        <v>孙术蓉</v>
      </c>
      <c r="F814" s="6" t="str">
        <f>"女"</f>
        <v>女</v>
      </c>
    </row>
    <row r="815" spans="1:6" ht="30" customHeight="1">
      <c r="A815" s="6">
        <v>813</v>
      </c>
      <c r="B815" s="6" t="str">
        <f>"53002023052914501392593"</f>
        <v>53002023052914501392593</v>
      </c>
      <c r="C815" s="6" t="str">
        <f t="shared" si="52"/>
        <v>0201</v>
      </c>
      <c r="D815" s="6" t="s">
        <v>20</v>
      </c>
      <c r="E815" s="6" t="str">
        <f>"刘张忠"</f>
        <v>刘张忠</v>
      </c>
      <c r="F815" s="6" t="str">
        <f>"男"</f>
        <v>男</v>
      </c>
    </row>
    <row r="816" spans="1:6" ht="30" customHeight="1">
      <c r="A816" s="6">
        <v>814</v>
      </c>
      <c r="B816" s="6" t="str">
        <f>"53002023052918210793983"</f>
        <v>53002023052918210793983</v>
      </c>
      <c r="C816" s="6" t="str">
        <f t="shared" si="52"/>
        <v>0201</v>
      </c>
      <c r="D816" s="6" t="s">
        <v>20</v>
      </c>
      <c r="E816" s="6" t="str">
        <f>"文真真"</f>
        <v>文真真</v>
      </c>
      <c r="F816" s="6" t="str">
        <f aca="true" t="shared" si="56" ref="F816:F835">"女"</f>
        <v>女</v>
      </c>
    </row>
    <row r="817" spans="1:6" ht="30" customHeight="1">
      <c r="A817" s="6">
        <v>815</v>
      </c>
      <c r="B817" s="6" t="str">
        <f>"53002023052918075793918"</f>
        <v>53002023052918075793918</v>
      </c>
      <c r="C817" s="6" t="str">
        <f t="shared" si="52"/>
        <v>0201</v>
      </c>
      <c r="D817" s="6" t="s">
        <v>20</v>
      </c>
      <c r="E817" s="6" t="str">
        <f>"黄伟"</f>
        <v>黄伟</v>
      </c>
      <c r="F817" s="6" t="str">
        <f t="shared" si="56"/>
        <v>女</v>
      </c>
    </row>
    <row r="818" spans="1:6" ht="30" customHeight="1">
      <c r="A818" s="6">
        <v>816</v>
      </c>
      <c r="B818" s="6" t="str">
        <f>"53002023052918303194026"</f>
        <v>53002023052918303194026</v>
      </c>
      <c r="C818" s="6" t="str">
        <f t="shared" si="52"/>
        <v>0201</v>
      </c>
      <c r="D818" s="6" t="s">
        <v>20</v>
      </c>
      <c r="E818" s="6" t="str">
        <f>"郑源"</f>
        <v>郑源</v>
      </c>
      <c r="F818" s="6" t="str">
        <f t="shared" si="56"/>
        <v>女</v>
      </c>
    </row>
    <row r="819" spans="1:6" ht="30" customHeight="1">
      <c r="A819" s="6">
        <v>817</v>
      </c>
      <c r="B819" s="6" t="str">
        <f>"53002023052910370990875"</f>
        <v>53002023052910370990875</v>
      </c>
      <c r="C819" s="6" t="str">
        <f t="shared" si="52"/>
        <v>0201</v>
      </c>
      <c r="D819" s="6" t="s">
        <v>20</v>
      </c>
      <c r="E819" s="6" t="str">
        <f>"蔡玉莹"</f>
        <v>蔡玉莹</v>
      </c>
      <c r="F819" s="6" t="str">
        <f t="shared" si="56"/>
        <v>女</v>
      </c>
    </row>
    <row r="820" spans="1:6" ht="30" customHeight="1">
      <c r="A820" s="6">
        <v>818</v>
      </c>
      <c r="B820" s="6" t="str">
        <f>"53002023052918402994075"</f>
        <v>53002023052918402994075</v>
      </c>
      <c r="C820" s="6" t="str">
        <f t="shared" si="52"/>
        <v>0201</v>
      </c>
      <c r="D820" s="6" t="s">
        <v>20</v>
      </c>
      <c r="E820" s="6" t="str">
        <f>"陈婆转"</f>
        <v>陈婆转</v>
      </c>
      <c r="F820" s="6" t="str">
        <f t="shared" si="56"/>
        <v>女</v>
      </c>
    </row>
    <row r="821" spans="1:6" ht="30" customHeight="1">
      <c r="A821" s="6">
        <v>819</v>
      </c>
      <c r="B821" s="6" t="str">
        <f>"53002023052918342694042"</f>
        <v>53002023052918342694042</v>
      </c>
      <c r="C821" s="6" t="str">
        <f t="shared" si="52"/>
        <v>0201</v>
      </c>
      <c r="D821" s="6" t="s">
        <v>20</v>
      </c>
      <c r="E821" s="6" t="str">
        <f>"曾燕"</f>
        <v>曾燕</v>
      </c>
      <c r="F821" s="6" t="str">
        <f t="shared" si="56"/>
        <v>女</v>
      </c>
    </row>
    <row r="822" spans="1:6" ht="30" customHeight="1">
      <c r="A822" s="6">
        <v>820</v>
      </c>
      <c r="B822" s="6" t="str">
        <f>"53002023052918513394114"</f>
        <v>53002023052918513394114</v>
      </c>
      <c r="C822" s="6" t="str">
        <f t="shared" si="52"/>
        <v>0201</v>
      </c>
      <c r="D822" s="6" t="s">
        <v>20</v>
      </c>
      <c r="E822" s="6" t="str">
        <f>"庞卓丽"</f>
        <v>庞卓丽</v>
      </c>
      <c r="F822" s="6" t="str">
        <f t="shared" si="56"/>
        <v>女</v>
      </c>
    </row>
    <row r="823" spans="1:6" ht="30" customHeight="1">
      <c r="A823" s="6">
        <v>821</v>
      </c>
      <c r="B823" s="6" t="str">
        <f>"53002023052909261390053"</f>
        <v>53002023052909261390053</v>
      </c>
      <c r="C823" s="6" t="str">
        <f t="shared" si="52"/>
        <v>0201</v>
      </c>
      <c r="D823" s="6" t="s">
        <v>20</v>
      </c>
      <c r="E823" s="6" t="str">
        <f>"黎灵娟"</f>
        <v>黎灵娟</v>
      </c>
      <c r="F823" s="6" t="str">
        <f t="shared" si="56"/>
        <v>女</v>
      </c>
    </row>
    <row r="824" spans="1:6" ht="30" customHeight="1">
      <c r="A824" s="6">
        <v>822</v>
      </c>
      <c r="B824" s="6" t="str">
        <f>"53002023052919403294310"</f>
        <v>53002023052919403294310</v>
      </c>
      <c r="C824" s="6" t="str">
        <f aca="true" t="shared" si="57" ref="C824:C887">"0201"</f>
        <v>0201</v>
      </c>
      <c r="D824" s="6" t="s">
        <v>20</v>
      </c>
      <c r="E824" s="6" t="str">
        <f>"符莎莎"</f>
        <v>符莎莎</v>
      </c>
      <c r="F824" s="6" t="str">
        <f t="shared" si="56"/>
        <v>女</v>
      </c>
    </row>
    <row r="825" spans="1:6" ht="30" customHeight="1">
      <c r="A825" s="6">
        <v>823</v>
      </c>
      <c r="B825" s="6" t="str">
        <f>"53002023052911542291588"</f>
        <v>53002023052911542291588</v>
      </c>
      <c r="C825" s="6" t="str">
        <f t="shared" si="57"/>
        <v>0201</v>
      </c>
      <c r="D825" s="6" t="s">
        <v>20</v>
      </c>
      <c r="E825" s="6" t="str">
        <f>"陈尼"</f>
        <v>陈尼</v>
      </c>
      <c r="F825" s="6" t="str">
        <f t="shared" si="56"/>
        <v>女</v>
      </c>
    </row>
    <row r="826" spans="1:6" ht="30" customHeight="1">
      <c r="A826" s="6">
        <v>824</v>
      </c>
      <c r="B826" s="6" t="str">
        <f>"53002023052919542794387"</f>
        <v>53002023052919542794387</v>
      </c>
      <c r="C826" s="6" t="str">
        <f t="shared" si="57"/>
        <v>0201</v>
      </c>
      <c r="D826" s="6" t="s">
        <v>20</v>
      </c>
      <c r="E826" s="6" t="str">
        <f>"董慧敏"</f>
        <v>董慧敏</v>
      </c>
      <c r="F826" s="6" t="str">
        <f t="shared" si="56"/>
        <v>女</v>
      </c>
    </row>
    <row r="827" spans="1:6" ht="30" customHeight="1">
      <c r="A827" s="6">
        <v>825</v>
      </c>
      <c r="B827" s="6" t="str">
        <f>"53002023052920122494463"</f>
        <v>53002023052920122494463</v>
      </c>
      <c r="C827" s="6" t="str">
        <f t="shared" si="57"/>
        <v>0201</v>
      </c>
      <c r="D827" s="6" t="s">
        <v>20</v>
      </c>
      <c r="E827" s="6" t="str">
        <f>"叶琳"</f>
        <v>叶琳</v>
      </c>
      <c r="F827" s="6" t="str">
        <f t="shared" si="56"/>
        <v>女</v>
      </c>
    </row>
    <row r="828" spans="1:6" ht="30" customHeight="1">
      <c r="A828" s="6">
        <v>826</v>
      </c>
      <c r="B828" s="6" t="str">
        <f>"53002023052916291993346"</f>
        <v>53002023052916291993346</v>
      </c>
      <c r="C828" s="6" t="str">
        <f t="shared" si="57"/>
        <v>0201</v>
      </c>
      <c r="D828" s="6" t="s">
        <v>20</v>
      </c>
      <c r="E828" s="6" t="str">
        <f>"唐宝琴"</f>
        <v>唐宝琴</v>
      </c>
      <c r="F828" s="6" t="str">
        <f t="shared" si="56"/>
        <v>女</v>
      </c>
    </row>
    <row r="829" spans="1:6" ht="30" customHeight="1">
      <c r="A829" s="6">
        <v>827</v>
      </c>
      <c r="B829" s="6" t="str">
        <f>"53002023052919192994221"</f>
        <v>53002023052919192994221</v>
      </c>
      <c r="C829" s="6" t="str">
        <f t="shared" si="57"/>
        <v>0201</v>
      </c>
      <c r="D829" s="6" t="s">
        <v>20</v>
      </c>
      <c r="E829" s="6" t="str">
        <f>"徐小妮"</f>
        <v>徐小妮</v>
      </c>
      <c r="F829" s="6" t="str">
        <f t="shared" si="56"/>
        <v>女</v>
      </c>
    </row>
    <row r="830" spans="1:6" ht="30" customHeight="1">
      <c r="A830" s="6">
        <v>828</v>
      </c>
      <c r="B830" s="6" t="str">
        <f>"53002023052920153094476"</f>
        <v>53002023052920153094476</v>
      </c>
      <c r="C830" s="6" t="str">
        <f t="shared" si="57"/>
        <v>0201</v>
      </c>
      <c r="D830" s="6" t="s">
        <v>20</v>
      </c>
      <c r="E830" s="6" t="str">
        <f>"符镕麟"</f>
        <v>符镕麟</v>
      </c>
      <c r="F830" s="6" t="str">
        <f t="shared" si="56"/>
        <v>女</v>
      </c>
    </row>
    <row r="831" spans="1:6" ht="30" customHeight="1">
      <c r="A831" s="6">
        <v>829</v>
      </c>
      <c r="B831" s="6" t="str">
        <f>"53002023052919460094338"</f>
        <v>53002023052919460094338</v>
      </c>
      <c r="C831" s="6" t="str">
        <f t="shared" si="57"/>
        <v>0201</v>
      </c>
      <c r="D831" s="6" t="s">
        <v>20</v>
      </c>
      <c r="E831" s="6" t="str">
        <f>"陈君君"</f>
        <v>陈君君</v>
      </c>
      <c r="F831" s="6" t="str">
        <f t="shared" si="56"/>
        <v>女</v>
      </c>
    </row>
    <row r="832" spans="1:6" ht="30" customHeight="1">
      <c r="A832" s="6">
        <v>830</v>
      </c>
      <c r="B832" s="6" t="str">
        <f>"53002023052808202586768"</f>
        <v>53002023052808202586768</v>
      </c>
      <c r="C832" s="6" t="str">
        <f t="shared" si="57"/>
        <v>0201</v>
      </c>
      <c r="D832" s="6" t="s">
        <v>20</v>
      </c>
      <c r="E832" s="6" t="str">
        <f>"杜金丁"</f>
        <v>杜金丁</v>
      </c>
      <c r="F832" s="6" t="str">
        <f t="shared" si="56"/>
        <v>女</v>
      </c>
    </row>
    <row r="833" spans="1:6" ht="30" customHeight="1">
      <c r="A833" s="6">
        <v>831</v>
      </c>
      <c r="B833" s="6" t="str">
        <f>"53002023052920394694603"</f>
        <v>53002023052920394694603</v>
      </c>
      <c r="C833" s="6" t="str">
        <f t="shared" si="57"/>
        <v>0201</v>
      </c>
      <c r="D833" s="6" t="s">
        <v>20</v>
      </c>
      <c r="E833" s="6" t="str">
        <f>"麦书琪"</f>
        <v>麦书琪</v>
      </c>
      <c r="F833" s="6" t="str">
        <f t="shared" si="56"/>
        <v>女</v>
      </c>
    </row>
    <row r="834" spans="1:6" ht="30" customHeight="1">
      <c r="A834" s="6">
        <v>832</v>
      </c>
      <c r="B834" s="6" t="str">
        <f>"53002023052921083194759"</f>
        <v>53002023052921083194759</v>
      </c>
      <c r="C834" s="6" t="str">
        <f t="shared" si="57"/>
        <v>0201</v>
      </c>
      <c r="D834" s="6" t="s">
        <v>20</v>
      </c>
      <c r="E834" s="6" t="str">
        <f>"罗丹"</f>
        <v>罗丹</v>
      </c>
      <c r="F834" s="6" t="str">
        <f t="shared" si="56"/>
        <v>女</v>
      </c>
    </row>
    <row r="835" spans="1:6" ht="30" customHeight="1">
      <c r="A835" s="6">
        <v>833</v>
      </c>
      <c r="B835" s="6" t="str">
        <f>"53002023052921342394921"</f>
        <v>53002023052921342394921</v>
      </c>
      <c r="C835" s="6" t="str">
        <f t="shared" si="57"/>
        <v>0201</v>
      </c>
      <c r="D835" s="6" t="s">
        <v>20</v>
      </c>
      <c r="E835" s="6" t="str">
        <f>"杨雨心"</f>
        <v>杨雨心</v>
      </c>
      <c r="F835" s="6" t="str">
        <f t="shared" si="56"/>
        <v>女</v>
      </c>
    </row>
    <row r="836" spans="1:6" ht="30" customHeight="1">
      <c r="A836" s="6">
        <v>834</v>
      </c>
      <c r="B836" s="6" t="str">
        <f>"53002023052921491894998"</f>
        <v>53002023052921491894998</v>
      </c>
      <c r="C836" s="6" t="str">
        <f t="shared" si="57"/>
        <v>0201</v>
      </c>
      <c r="D836" s="6" t="s">
        <v>20</v>
      </c>
      <c r="E836" s="6" t="str">
        <f>"王道东"</f>
        <v>王道东</v>
      </c>
      <c r="F836" s="6" t="str">
        <f>"男"</f>
        <v>男</v>
      </c>
    </row>
    <row r="837" spans="1:6" ht="30" customHeight="1">
      <c r="A837" s="6">
        <v>835</v>
      </c>
      <c r="B837" s="6" t="str">
        <f>"53002023052921391694951"</f>
        <v>53002023052921391694951</v>
      </c>
      <c r="C837" s="6" t="str">
        <f t="shared" si="57"/>
        <v>0201</v>
      </c>
      <c r="D837" s="6" t="s">
        <v>20</v>
      </c>
      <c r="E837" s="6" t="str">
        <f>"范叶雅"</f>
        <v>范叶雅</v>
      </c>
      <c r="F837" s="6" t="str">
        <f aca="true" t="shared" si="58" ref="F837:F862">"女"</f>
        <v>女</v>
      </c>
    </row>
    <row r="838" spans="1:6" ht="30" customHeight="1">
      <c r="A838" s="6">
        <v>836</v>
      </c>
      <c r="B838" s="6" t="str">
        <f>"53002023052921495895004"</f>
        <v>53002023052921495895004</v>
      </c>
      <c r="C838" s="6" t="str">
        <f t="shared" si="57"/>
        <v>0201</v>
      </c>
      <c r="D838" s="6" t="s">
        <v>20</v>
      </c>
      <c r="E838" s="6" t="str">
        <f>"吴惠"</f>
        <v>吴惠</v>
      </c>
      <c r="F838" s="6" t="str">
        <f t="shared" si="58"/>
        <v>女</v>
      </c>
    </row>
    <row r="839" spans="1:6" ht="30" customHeight="1">
      <c r="A839" s="6">
        <v>837</v>
      </c>
      <c r="B839" s="6" t="str">
        <f>"53002023052921375194944"</f>
        <v>53002023052921375194944</v>
      </c>
      <c r="C839" s="6" t="str">
        <f t="shared" si="57"/>
        <v>0201</v>
      </c>
      <c r="D839" s="6" t="s">
        <v>20</v>
      </c>
      <c r="E839" s="6" t="str">
        <f>"黎慧欣"</f>
        <v>黎慧欣</v>
      </c>
      <c r="F839" s="6" t="str">
        <f t="shared" si="58"/>
        <v>女</v>
      </c>
    </row>
    <row r="840" spans="1:6" ht="30" customHeight="1">
      <c r="A840" s="6">
        <v>838</v>
      </c>
      <c r="B840" s="6" t="str">
        <f>"53002023052921055294739"</f>
        <v>53002023052921055294739</v>
      </c>
      <c r="C840" s="6" t="str">
        <f t="shared" si="57"/>
        <v>0201</v>
      </c>
      <c r="D840" s="6" t="s">
        <v>20</v>
      </c>
      <c r="E840" s="6" t="str">
        <f>"谭金月"</f>
        <v>谭金月</v>
      </c>
      <c r="F840" s="6" t="str">
        <f t="shared" si="58"/>
        <v>女</v>
      </c>
    </row>
    <row r="841" spans="1:6" ht="30" customHeight="1">
      <c r="A841" s="6">
        <v>839</v>
      </c>
      <c r="B841" s="6" t="str">
        <f>"53002023052820254388663"</f>
        <v>53002023052820254388663</v>
      </c>
      <c r="C841" s="6" t="str">
        <f t="shared" si="57"/>
        <v>0201</v>
      </c>
      <c r="D841" s="6" t="s">
        <v>20</v>
      </c>
      <c r="E841" s="6" t="str">
        <f>"郑春花"</f>
        <v>郑春花</v>
      </c>
      <c r="F841" s="6" t="str">
        <f t="shared" si="58"/>
        <v>女</v>
      </c>
    </row>
    <row r="842" spans="1:6" ht="30" customHeight="1">
      <c r="A842" s="6">
        <v>840</v>
      </c>
      <c r="B842" s="6" t="str">
        <f>"53002023052717200485491"</f>
        <v>53002023052717200485491</v>
      </c>
      <c r="C842" s="6" t="str">
        <f t="shared" si="57"/>
        <v>0201</v>
      </c>
      <c r="D842" s="6" t="s">
        <v>20</v>
      </c>
      <c r="E842" s="6" t="str">
        <f>"陈艳"</f>
        <v>陈艳</v>
      </c>
      <c r="F842" s="6" t="str">
        <f t="shared" si="58"/>
        <v>女</v>
      </c>
    </row>
    <row r="843" spans="1:6" ht="30" customHeight="1">
      <c r="A843" s="6">
        <v>841</v>
      </c>
      <c r="B843" s="6" t="str">
        <f>"53002023052922281395233"</f>
        <v>53002023052922281395233</v>
      </c>
      <c r="C843" s="6" t="str">
        <f t="shared" si="57"/>
        <v>0201</v>
      </c>
      <c r="D843" s="6" t="s">
        <v>20</v>
      </c>
      <c r="E843" s="6" t="str">
        <f>"李小琴"</f>
        <v>李小琴</v>
      </c>
      <c r="F843" s="6" t="str">
        <f t="shared" si="58"/>
        <v>女</v>
      </c>
    </row>
    <row r="844" spans="1:6" ht="30" customHeight="1">
      <c r="A844" s="6">
        <v>842</v>
      </c>
      <c r="B844" s="6" t="str">
        <f>"53002023052919281094260"</f>
        <v>53002023052919281094260</v>
      </c>
      <c r="C844" s="6" t="str">
        <f t="shared" si="57"/>
        <v>0201</v>
      </c>
      <c r="D844" s="6" t="s">
        <v>20</v>
      </c>
      <c r="E844" s="6" t="str">
        <f>"刘应彩"</f>
        <v>刘应彩</v>
      </c>
      <c r="F844" s="6" t="str">
        <f t="shared" si="58"/>
        <v>女</v>
      </c>
    </row>
    <row r="845" spans="1:6" ht="30" customHeight="1">
      <c r="A845" s="6">
        <v>843</v>
      </c>
      <c r="B845" s="6" t="str">
        <f>"53002023052922190595184"</f>
        <v>53002023052922190595184</v>
      </c>
      <c r="C845" s="6" t="str">
        <f t="shared" si="57"/>
        <v>0201</v>
      </c>
      <c r="D845" s="6" t="s">
        <v>20</v>
      </c>
      <c r="E845" s="6" t="str">
        <f>"陈思婵"</f>
        <v>陈思婵</v>
      </c>
      <c r="F845" s="6" t="str">
        <f t="shared" si="58"/>
        <v>女</v>
      </c>
    </row>
    <row r="846" spans="1:6" ht="30" customHeight="1">
      <c r="A846" s="6">
        <v>844</v>
      </c>
      <c r="B846" s="6" t="str">
        <f>"53002023052918034593904"</f>
        <v>53002023052918034593904</v>
      </c>
      <c r="C846" s="6" t="str">
        <f t="shared" si="57"/>
        <v>0201</v>
      </c>
      <c r="D846" s="6" t="s">
        <v>20</v>
      </c>
      <c r="E846" s="6" t="str">
        <f>"梁盈盈"</f>
        <v>梁盈盈</v>
      </c>
      <c r="F846" s="6" t="str">
        <f t="shared" si="58"/>
        <v>女</v>
      </c>
    </row>
    <row r="847" spans="1:6" ht="30" customHeight="1">
      <c r="A847" s="6">
        <v>845</v>
      </c>
      <c r="B847" s="6" t="str">
        <f>"53002023052822530589175"</f>
        <v>53002023052822530589175</v>
      </c>
      <c r="C847" s="6" t="str">
        <f t="shared" si="57"/>
        <v>0201</v>
      </c>
      <c r="D847" s="6" t="s">
        <v>20</v>
      </c>
      <c r="E847" s="6" t="str">
        <f>"赵日绵"</f>
        <v>赵日绵</v>
      </c>
      <c r="F847" s="6" t="str">
        <f t="shared" si="58"/>
        <v>女</v>
      </c>
    </row>
    <row r="848" spans="1:6" ht="30" customHeight="1">
      <c r="A848" s="6">
        <v>846</v>
      </c>
      <c r="B848" s="6" t="str">
        <f>"53002023052923421395575"</f>
        <v>53002023052923421395575</v>
      </c>
      <c r="C848" s="6" t="str">
        <f t="shared" si="57"/>
        <v>0201</v>
      </c>
      <c r="D848" s="6" t="s">
        <v>20</v>
      </c>
      <c r="E848" s="6" t="str">
        <f>"李静"</f>
        <v>李静</v>
      </c>
      <c r="F848" s="6" t="str">
        <f t="shared" si="58"/>
        <v>女</v>
      </c>
    </row>
    <row r="849" spans="1:6" ht="30" customHeight="1">
      <c r="A849" s="6">
        <v>847</v>
      </c>
      <c r="B849" s="6" t="str">
        <f>"53002023052913534192310"</f>
        <v>53002023052913534192310</v>
      </c>
      <c r="C849" s="6" t="str">
        <f t="shared" si="57"/>
        <v>0201</v>
      </c>
      <c r="D849" s="6" t="s">
        <v>20</v>
      </c>
      <c r="E849" s="6" t="str">
        <f>"林丽媛"</f>
        <v>林丽媛</v>
      </c>
      <c r="F849" s="6" t="str">
        <f t="shared" si="58"/>
        <v>女</v>
      </c>
    </row>
    <row r="850" spans="1:6" ht="30" customHeight="1">
      <c r="A850" s="6">
        <v>848</v>
      </c>
      <c r="B850" s="6" t="str">
        <f>"53002023052920535194683"</f>
        <v>53002023052920535194683</v>
      </c>
      <c r="C850" s="6" t="str">
        <f t="shared" si="57"/>
        <v>0201</v>
      </c>
      <c r="D850" s="6" t="s">
        <v>20</v>
      </c>
      <c r="E850" s="6" t="str">
        <f>"吴泳丽"</f>
        <v>吴泳丽</v>
      </c>
      <c r="F850" s="6" t="str">
        <f t="shared" si="58"/>
        <v>女</v>
      </c>
    </row>
    <row r="851" spans="1:6" ht="30" customHeight="1">
      <c r="A851" s="6">
        <v>849</v>
      </c>
      <c r="B851" s="6" t="str">
        <f>"53002023052915011492670"</f>
        <v>53002023052915011492670</v>
      </c>
      <c r="C851" s="6" t="str">
        <f t="shared" si="57"/>
        <v>0201</v>
      </c>
      <c r="D851" s="6" t="s">
        <v>20</v>
      </c>
      <c r="E851" s="6" t="str">
        <f>"罗鸿雁"</f>
        <v>罗鸿雁</v>
      </c>
      <c r="F851" s="6" t="str">
        <f t="shared" si="58"/>
        <v>女</v>
      </c>
    </row>
    <row r="852" spans="1:6" ht="30" customHeight="1">
      <c r="A852" s="6">
        <v>850</v>
      </c>
      <c r="B852" s="6" t="str">
        <f>"53002023053008564895958"</f>
        <v>53002023053008564895958</v>
      </c>
      <c r="C852" s="6" t="str">
        <f t="shared" si="57"/>
        <v>0201</v>
      </c>
      <c r="D852" s="6" t="s">
        <v>20</v>
      </c>
      <c r="E852" s="6" t="str">
        <f>"曾春兰"</f>
        <v>曾春兰</v>
      </c>
      <c r="F852" s="6" t="str">
        <f t="shared" si="58"/>
        <v>女</v>
      </c>
    </row>
    <row r="853" spans="1:6" ht="30" customHeight="1">
      <c r="A853" s="6">
        <v>851</v>
      </c>
      <c r="B853" s="6" t="str">
        <f>"53002023052921431494971"</f>
        <v>53002023052921431494971</v>
      </c>
      <c r="C853" s="6" t="str">
        <f t="shared" si="57"/>
        <v>0201</v>
      </c>
      <c r="D853" s="6" t="s">
        <v>20</v>
      </c>
      <c r="E853" s="6" t="str">
        <f>"许欣欣"</f>
        <v>许欣欣</v>
      </c>
      <c r="F853" s="6" t="str">
        <f t="shared" si="58"/>
        <v>女</v>
      </c>
    </row>
    <row r="854" spans="1:6" ht="30" customHeight="1">
      <c r="A854" s="6">
        <v>852</v>
      </c>
      <c r="B854" s="6" t="str">
        <f>"53002023052922081595120"</f>
        <v>53002023052922081595120</v>
      </c>
      <c r="C854" s="6" t="str">
        <f t="shared" si="57"/>
        <v>0201</v>
      </c>
      <c r="D854" s="6" t="s">
        <v>20</v>
      </c>
      <c r="E854" s="6" t="str">
        <f>"王闰玉"</f>
        <v>王闰玉</v>
      </c>
      <c r="F854" s="6" t="str">
        <f t="shared" si="58"/>
        <v>女</v>
      </c>
    </row>
    <row r="855" spans="1:6" ht="30" customHeight="1">
      <c r="A855" s="6">
        <v>853</v>
      </c>
      <c r="B855" s="6" t="str">
        <f>"53002023053009004695979"</f>
        <v>53002023053009004695979</v>
      </c>
      <c r="C855" s="6" t="str">
        <f t="shared" si="57"/>
        <v>0201</v>
      </c>
      <c r="D855" s="6" t="s">
        <v>20</v>
      </c>
      <c r="E855" s="6" t="str">
        <f>"王婷婷"</f>
        <v>王婷婷</v>
      </c>
      <c r="F855" s="6" t="str">
        <f t="shared" si="58"/>
        <v>女</v>
      </c>
    </row>
    <row r="856" spans="1:6" ht="30" customHeight="1">
      <c r="A856" s="6">
        <v>854</v>
      </c>
      <c r="B856" s="6" t="str">
        <f>"53002023053008501495937"</f>
        <v>53002023053008501495937</v>
      </c>
      <c r="C856" s="6" t="str">
        <f t="shared" si="57"/>
        <v>0201</v>
      </c>
      <c r="D856" s="6" t="s">
        <v>20</v>
      </c>
      <c r="E856" s="6" t="str">
        <f>"谢文妃"</f>
        <v>谢文妃</v>
      </c>
      <c r="F856" s="6" t="str">
        <f t="shared" si="58"/>
        <v>女</v>
      </c>
    </row>
    <row r="857" spans="1:6" ht="30" customHeight="1">
      <c r="A857" s="6">
        <v>855</v>
      </c>
      <c r="B857" s="6" t="str">
        <f>"53002023053009442596337"</f>
        <v>53002023053009442596337</v>
      </c>
      <c r="C857" s="6" t="str">
        <f t="shared" si="57"/>
        <v>0201</v>
      </c>
      <c r="D857" s="6" t="s">
        <v>20</v>
      </c>
      <c r="E857" s="6" t="str">
        <f>"许健"</f>
        <v>许健</v>
      </c>
      <c r="F857" s="6" t="str">
        <f t="shared" si="58"/>
        <v>女</v>
      </c>
    </row>
    <row r="858" spans="1:6" ht="30" customHeight="1">
      <c r="A858" s="6">
        <v>856</v>
      </c>
      <c r="B858" s="6" t="str">
        <f>"53002023052912185391771"</f>
        <v>53002023052912185391771</v>
      </c>
      <c r="C858" s="6" t="str">
        <f t="shared" si="57"/>
        <v>0201</v>
      </c>
      <c r="D858" s="6" t="s">
        <v>20</v>
      </c>
      <c r="E858" s="6" t="str">
        <f>"黄佩瑶"</f>
        <v>黄佩瑶</v>
      </c>
      <c r="F858" s="6" t="str">
        <f t="shared" si="58"/>
        <v>女</v>
      </c>
    </row>
    <row r="859" spans="1:6" ht="30" customHeight="1">
      <c r="A859" s="6">
        <v>857</v>
      </c>
      <c r="B859" s="6" t="str">
        <f>"53002023053009143896099"</f>
        <v>53002023053009143896099</v>
      </c>
      <c r="C859" s="6" t="str">
        <f t="shared" si="57"/>
        <v>0201</v>
      </c>
      <c r="D859" s="6" t="s">
        <v>20</v>
      </c>
      <c r="E859" s="6" t="str">
        <f>"王启秀"</f>
        <v>王启秀</v>
      </c>
      <c r="F859" s="6" t="str">
        <f t="shared" si="58"/>
        <v>女</v>
      </c>
    </row>
    <row r="860" spans="1:6" ht="30" customHeight="1">
      <c r="A860" s="6">
        <v>858</v>
      </c>
      <c r="B860" s="6" t="str">
        <f>"53002023052813390487503"</f>
        <v>53002023052813390487503</v>
      </c>
      <c r="C860" s="6" t="str">
        <f t="shared" si="57"/>
        <v>0201</v>
      </c>
      <c r="D860" s="6" t="s">
        <v>20</v>
      </c>
      <c r="E860" s="6" t="str">
        <f>"韦芸仪"</f>
        <v>韦芸仪</v>
      </c>
      <c r="F860" s="6" t="str">
        <f t="shared" si="58"/>
        <v>女</v>
      </c>
    </row>
    <row r="861" spans="1:6" ht="30" customHeight="1">
      <c r="A861" s="6">
        <v>859</v>
      </c>
      <c r="B861" s="6" t="str">
        <f>"53002023053010412396791"</f>
        <v>53002023053010412396791</v>
      </c>
      <c r="C861" s="6" t="str">
        <f t="shared" si="57"/>
        <v>0201</v>
      </c>
      <c r="D861" s="6" t="s">
        <v>20</v>
      </c>
      <c r="E861" s="6" t="str">
        <f>"赵媛媛"</f>
        <v>赵媛媛</v>
      </c>
      <c r="F861" s="6" t="str">
        <f t="shared" si="58"/>
        <v>女</v>
      </c>
    </row>
    <row r="862" spans="1:6" ht="30" customHeight="1">
      <c r="A862" s="6">
        <v>860</v>
      </c>
      <c r="B862" s="6" t="str">
        <f>"53002023053010143296565"</f>
        <v>53002023053010143296565</v>
      </c>
      <c r="C862" s="6" t="str">
        <f t="shared" si="57"/>
        <v>0201</v>
      </c>
      <c r="D862" s="6" t="s">
        <v>20</v>
      </c>
      <c r="E862" s="6" t="str">
        <f>"符亚菊"</f>
        <v>符亚菊</v>
      </c>
      <c r="F862" s="6" t="str">
        <f t="shared" si="58"/>
        <v>女</v>
      </c>
    </row>
    <row r="863" spans="1:6" ht="30" customHeight="1">
      <c r="A863" s="6">
        <v>861</v>
      </c>
      <c r="B863" s="6" t="str">
        <f>"53002023053009582396439"</f>
        <v>53002023053009582396439</v>
      </c>
      <c r="C863" s="6" t="str">
        <f t="shared" si="57"/>
        <v>0201</v>
      </c>
      <c r="D863" s="6" t="s">
        <v>20</v>
      </c>
      <c r="E863" s="6" t="str">
        <f>"林小晨"</f>
        <v>林小晨</v>
      </c>
      <c r="F863" s="6" t="str">
        <f>"男"</f>
        <v>男</v>
      </c>
    </row>
    <row r="864" spans="1:6" ht="30" customHeight="1">
      <c r="A864" s="6">
        <v>862</v>
      </c>
      <c r="B864" s="6" t="str">
        <f>"53002023053010534896896"</f>
        <v>53002023053010534896896</v>
      </c>
      <c r="C864" s="6" t="str">
        <f t="shared" si="57"/>
        <v>0201</v>
      </c>
      <c r="D864" s="6" t="s">
        <v>20</v>
      </c>
      <c r="E864" s="6" t="str">
        <f>"王丹娜"</f>
        <v>王丹娜</v>
      </c>
      <c r="F864" s="6" t="str">
        <f aca="true" t="shared" si="59" ref="F864:F870">"女"</f>
        <v>女</v>
      </c>
    </row>
    <row r="865" spans="1:6" ht="30" customHeight="1">
      <c r="A865" s="6">
        <v>863</v>
      </c>
      <c r="B865" s="6" t="str">
        <f>"53002023053008572395960"</f>
        <v>53002023053008572395960</v>
      </c>
      <c r="C865" s="6" t="str">
        <f t="shared" si="57"/>
        <v>0201</v>
      </c>
      <c r="D865" s="6" t="s">
        <v>20</v>
      </c>
      <c r="E865" s="6" t="str">
        <f>"王惠"</f>
        <v>王惠</v>
      </c>
      <c r="F865" s="6" t="str">
        <f t="shared" si="59"/>
        <v>女</v>
      </c>
    </row>
    <row r="866" spans="1:6" ht="30" customHeight="1">
      <c r="A866" s="6">
        <v>864</v>
      </c>
      <c r="B866" s="6" t="str">
        <f>"53002023053011140897077"</f>
        <v>53002023053011140897077</v>
      </c>
      <c r="C866" s="6" t="str">
        <f t="shared" si="57"/>
        <v>0201</v>
      </c>
      <c r="D866" s="6" t="s">
        <v>20</v>
      </c>
      <c r="E866" s="6" t="str">
        <f>"杨佳丽"</f>
        <v>杨佳丽</v>
      </c>
      <c r="F866" s="6" t="str">
        <f t="shared" si="59"/>
        <v>女</v>
      </c>
    </row>
    <row r="867" spans="1:6" ht="30" customHeight="1">
      <c r="A867" s="6">
        <v>865</v>
      </c>
      <c r="B867" s="6" t="str">
        <f>"53002023052721055086137"</f>
        <v>53002023052721055086137</v>
      </c>
      <c r="C867" s="6" t="str">
        <f t="shared" si="57"/>
        <v>0201</v>
      </c>
      <c r="D867" s="6" t="s">
        <v>20</v>
      </c>
      <c r="E867" s="6" t="str">
        <f>"甘昌坍"</f>
        <v>甘昌坍</v>
      </c>
      <c r="F867" s="6" t="str">
        <f t="shared" si="59"/>
        <v>女</v>
      </c>
    </row>
    <row r="868" spans="1:6" ht="30" customHeight="1">
      <c r="A868" s="6">
        <v>866</v>
      </c>
      <c r="B868" s="6" t="str">
        <f>"53002023053010335296714"</f>
        <v>53002023053010335296714</v>
      </c>
      <c r="C868" s="6" t="str">
        <f t="shared" si="57"/>
        <v>0201</v>
      </c>
      <c r="D868" s="6" t="s">
        <v>20</v>
      </c>
      <c r="E868" s="6" t="str">
        <f>"卢宛芳"</f>
        <v>卢宛芳</v>
      </c>
      <c r="F868" s="6" t="str">
        <f t="shared" si="59"/>
        <v>女</v>
      </c>
    </row>
    <row r="869" spans="1:6" ht="30" customHeight="1">
      <c r="A869" s="6">
        <v>867</v>
      </c>
      <c r="B869" s="6" t="str">
        <f>"53002023052912441891916"</f>
        <v>53002023052912441891916</v>
      </c>
      <c r="C869" s="6" t="str">
        <f t="shared" si="57"/>
        <v>0201</v>
      </c>
      <c r="D869" s="6" t="s">
        <v>20</v>
      </c>
      <c r="E869" s="6" t="str">
        <f>"覃春婷"</f>
        <v>覃春婷</v>
      </c>
      <c r="F869" s="6" t="str">
        <f t="shared" si="59"/>
        <v>女</v>
      </c>
    </row>
    <row r="870" spans="1:6" ht="30" customHeight="1">
      <c r="A870" s="6">
        <v>868</v>
      </c>
      <c r="B870" s="6" t="str">
        <f>"53002023053012230897509"</f>
        <v>53002023053012230897509</v>
      </c>
      <c r="C870" s="6" t="str">
        <f t="shared" si="57"/>
        <v>0201</v>
      </c>
      <c r="D870" s="6" t="s">
        <v>20</v>
      </c>
      <c r="E870" s="6" t="str">
        <f>"陈兰午"</f>
        <v>陈兰午</v>
      </c>
      <c r="F870" s="6" t="str">
        <f t="shared" si="59"/>
        <v>女</v>
      </c>
    </row>
    <row r="871" spans="1:6" ht="30" customHeight="1">
      <c r="A871" s="6">
        <v>869</v>
      </c>
      <c r="B871" s="6" t="str">
        <f>"53002023053011260897158"</f>
        <v>53002023053011260897158</v>
      </c>
      <c r="C871" s="6" t="str">
        <f t="shared" si="57"/>
        <v>0201</v>
      </c>
      <c r="D871" s="6" t="s">
        <v>20</v>
      </c>
      <c r="E871" s="6" t="str">
        <f>"尹扬振"</f>
        <v>尹扬振</v>
      </c>
      <c r="F871" s="6" t="str">
        <f>"男"</f>
        <v>男</v>
      </c>
    </row>
    <row r="872" spans="1:6" ht="30" customHeight="1">
      <c r="A872" s="6">
        <v>870</v>
      </c>
      <c r="B872" s="6" t="str">
        <f>"53002023053010565596920"</f>
        <v>53002023053010565596920</v>
      </c>
      <c r="C872" s="6" t="str">
        <f t="shared" si="57"/>
        <v>0201</v>
      </c>
      <c r="D872" s="6" t="s">
        <v>20</v>
      </c>
      <c r="E872" s="6" t="str">
        <f>"蒋星齐"</f>
        <v>蒋星齐</v>
      </c>
      <c r="F872" s="6" t="str">
        <f aca="true" t="shared" si="60" ref="F872:F881">"女"</f>
        <v>女</v>
      </c>
    </row>
    <row r="873" spans="1:6" ht="30" customHeight="1">
      <c r="A873" s="6">
        <v>871</v>
      </c>
      <c r="B873" s="6" t="str">
        <f>"53002023053012331397574"</f>
        <v>53002023053012331397574</v>
      </c>
      <c r="C873" s="6" t="str">
        <f t="shared" si="57"/>
        <v>0201</v>
      </c>
      <c r="D873" s="6" t="s">
        <v>20</v>
      </c>
      <c r="E873" s="6" t="str">
        <f>"符誉尹"</f>
        <v>符誉尹</v>
      </c>
      <c r="F873" s="6" t="str">
        <f t="shared" si="60"/>
        <v>女</v>
      </c>
    </row>
    <row r="874" spans="1:6" ht="30" customHeight="1">
      <c r="A874" s="6">
        <v>872</v>
      </c>
      <c r="B874" s="6" t="str">
        <f>"53002023053013141997814"</f>
        <v>53002023053013141997814</v>
      </c>
      <c r="C874" s="6" t="str">
        <f t="shared" si="57"/>
        <v>0201</v>
      </c>
      <c r="D874" s="6" t="s">
        <v>20</v>
      </c>
      <c r="E874" s="6" t="str">
        <f>"唐桂楼"</f>
        <v>唐桂楼</v>
      </c>
      <c r="F874" s="6" t="str">
        <f t="shared" si="60"/>
        <v>女</v>
      </c>
    </row>
    <row r="875" spans="1:6" ht="30" customHeight="1">
      <c r="A875" s="6">
        <v>873</v>
      </c>
      <c r="B875" s="6" t="str">
        <f>"53002023052918285494018"</f>
        <v>53002023052918285494018</v>
      </c>
      <c r="C875" s="6" t="str">
        <f t="shared" si="57"/>
        <v>0201</v>
      </c>
      <c r="D875" s="6" t="s">
        <v>20</v>
      </c>
      <c r="E875" s="6" t="str">
        <f>"羊秀恋"</f>
        <v>羊秀恋</v>
      </c>
      <c r="F875" s="6" t="str">
        <f t="shared" si="60"/>
        <v>女</v>
      </c>
    </row>
    <row r="876" spans="1:6" ht="30" customHeight="1">
      <c r="A876" s="6">
        <v>874</v>
      </c>
      <c r="B876" s="6" t="str">
        <f>"53002023053013321197872"</f>
        <v>53002023053013321197872</v>
      </c>
      <c r="C876" s="6" t="str">
        <f t="shared" si="57"/>
        <v>0201</v>
      </c>
      <c r="D876" s="6" t="s">
        <v>20</v>
      </c>
      <c r="E876" s="6" t="str">
        <f>"蔡玉恋"</f>
        <v>蔡玉恋</v>
      </c>
      <c r="F876" s="6" t="str">
        <f t="shared" si="60"/>
        <v>女</v>
      </c>
    </row>
    <row r="877" spans="1:6" ht="30" customHeight="1">
      <c r="A877" s="6">
        <v>875</v>
      </c>
      <c r="B877" s="6" t="str">
        <f>"53002023052917425293801"</f>
        <v>53002023052917425293801</v>
      </c>
      <c r="C877" s="6" t="str">
        <f t="shared" si="57"/>
        <v>0201</v>
      </c>
      <c r="D877" s="6" t="s">
        <v>20</v>
      </c>
      <c r="E877" s="6" t="str">
        <f>"陈德嫒"</f>
        <v>陈德嫒</v>
      </c>
      <c r="F877" s="6" t="str">
        <f t="shared" si="60"/>
        <v>女</v>
      </c>
    </row>
    <row r="878" spans="1:6" ht="30" customHeight="1">
      <c r="A878" s="6">
        <v>876</v>
      </c>
      <c r="B878" s="6" t="str">
        <f>"53002023053013372897884"</f>
        <v>53002023053013372897884</v>
      </c>
      <c r="C878" s="6" t="str">
        <f t="shared" si="57"/>
        <v>0201</v>
      </c>
      <c r="D878" s="6" t="s">
        <v>20</v>
      </c>
      <c r="E878" s="6" t="str">
        <f>"陈彩燕"</f>
        <v>陈彩燕</v>
      </c>
      <c r="F878" s="6" t="str">
        <f t="shared" si="60"/>
        <v>女</v>
      </c>
    </row>
    <row r="879" spans="1:6" ht="30" customHeight="1">
      <c r="A879" s="6">
        <v>877</v>
      </c>
      <c r="B879" s="6" t="str">
        <f>"53002023053013582897980"</f>
        <v>53002023053013582897980</v>
      </c>
      <c r="C879" s="6" t="str">
        <f t="shared" si="57"/>
        <v>0201</v>
      </c>
      <c r="D879" s="6" t="s">
        <v>20</v>
      </c>
      <c r="E879" s="6" t="str">
        <f>"李杏"</f>
        <v>李杏</v>
      </c>
      <c r="F879" s="6" t="str">
        <f t="shared" si="60"/>
        <v>女</v>
      </c>
    </row>
    <row r="880" spans="1:6" ht="30" customHeight="1">
      <c r="A880" s="6">
        <v>878</v>
      </c>
      <c r="B880" s="6" t="str">
        <f>"53002023052917164893671"</f>
        <v>53002023052917164893671</v>
      </c>
      <c r="C880" s="6" t="str">
        <f t="shared" si="57"/>
        <v>0201</v>
      </c>
      <c r="D880" s="6" t="s">
        <v>20</v>
      </c>
      <c r="E880" s="6" t="str">
        <f>"朱宇雲"</f>
        <v>朱宇雲</v>
      </c>
      <c r="F880" s="6" t="str">
        <f t="shared" si="60"/>
        <v>女</v>
      </c>
    </row>
    <row r="881" spans="1:6" ht="30" customHeight="1">
      <c r="A881" s="6">
        <v>879</v>
      </c>
      <c r="B881" s="6" t="str">
        <f>"53002023053014380998159"</f>
        <v>53002023053014380998159</v>
      </c>
      <c r="C881" s="6" t="str">
        <f t="shared" si="57"/>
        <v>0201</v>
      </c>
      <c r="D881" s="6" t="s">
        <v>20</v>
      </c>
      <c r="E881" s="6" t="str">
        <f>"谢克琴"</f>
        <v>谢克琴</v>
      </c>
      <c r="F881" s="6" t="str">
        <f t="shared" si="60"/>
        <v>女</v>
      </c>
    </row>
    <row r="882" spans="1:6" ht="30" customHeight="1">
      <c r="A882" s="6">
        <v>880</v>
      </c>
      <c r="B882" s="6" t="str">
        <f>"53002023053015031498302"</f>
        <v>53002023053015031498302</v>
      </c>
      <c r="C882" s="6" t="str">
        <f t="shared" si="57"/>
        <v>0201</v>
      </c>
      <c r="D882" s="6" t="s">
        <v>20</v>
      </c>
      <c r="E882" s="6" t="str">
        <f>"石正儒"</f>
        <v>石正儒</v>
      </c>
      <c r="F882" s="6" t="str">
        <f>"男"</f>
        <v>男</v>
      </c>
    </row>
    <row r="883" spans="1:6" ht="30" customHeight="1">
      <c r="A883" s="6">
        <v>881</v>
      </c>
      <c r="B883" s="6" t="str">
        <f>"53002023053014272198095"</f>
        <v>53002023053014272198095</v>
      </c>
      <c r="C883" s="6" t="str">
        <f t="shared" si="57"/>
        <v>0201</v>
      </c>
      <c r="D883" s="6" t="s">
        <v>20</v>
      </c>
      <c r="E883" s="6" t="str">
        <f>"黎传微"</f>
        <v>黎传微</v>
      </c>
      <c r="F883" s="6" t="str">
        <f aca="true" t="shared" si="61" ref="F883:F898">"女"</f>
        <v>女</v>
      </c>
    </row>
    <row r="884" spans="1:6" ht="30" customHeight="1">
      <c r="A884" s="6">
        <v>882</v>
      </c>
      <c r="B884" s="6" t="str">
        <f>"53002023053010534796895"</f>
        <v>53002023053010534796895</v>
      </c>
      <c r="C884" s="6" t="str">
        <f t="shared" si="57"/>
        <v>0201</v>
      </c>
      <c r="D884" s="6" t="s">
        <v>20</v>
      </c>
      <c r="E884" s="6" t="str">
        <f>"李继丹"</f>
        <v>李继丹</v>
      </c>
      <c r="F884" s="6" t="str">
        <f t="shared" si="61"/>
        <v>女</v>
      </c>
    </row>
    <row r="885" spans="1:6" ht="30" customHeight="1">
      <c r="A885" s="6">
        <v>883</v>
      </c>
      <c r="B885" s="6" t="str">
        <f>"53002023053001040495710"</f>
        <v>53002023053001040495710</v>
      </c>
      <c r="C885" s="6" t="str">
        <f t="shared" si="57"/>
        <v>0201</v>
      </c>
      <c r="D885" s="6" t="s">
        <v>20</v>
      </c>
      <c r="E885" s="6" t="str">
        <f>"韦丽小"</f>
        <v>韦丽小</v>
      </c>
      <c r="F885" s="6" t="str">
        <f t="shared" si="61"/>
        <v>女</v>
      </c>
    </row>
    <row r="886" spans="1:6" ht="30" customHeight="1">
      <c r="A886" s="6">
        <v>884</v>
      </c>
      <c r="B886" s="6" t="str">
        <f>"53002023053015523998635"</f>
        <v>53002023053015523998635</v>
      </c>
      <c r="C886" s="6" t="str">
        <f t="shared" si="57"/>
        <v>0201</v>
      </c>
      <c r="D886" s="6" t="s">
        <v>20</v>
      </c>
      <c r="E886" s="6" t="str">
        <f>"王晶晶"</f>
        <v>王晶晶</v>
      </c>
      <c r="F886" s="6" t="str">
        <f t="shared" si="61"/>
        <v>女</v>
      </c>
    </row>
    <row r="887" spans="1:6" ht="30" customHeight="1">
      <c r="A887" s="6">
        <v>885</v>
      </c>
      <c r="B887" s="6" t="str">
        <f>"53002023052713423184765"</f>
        <v>53002023052713423184765</v>
      </c>
      <c r="C887" s="6" t="str">
        <f t="shared" si="57"/>
        <v>0201</v>
      </c>
      <c r="D887" s="6" t="s">
        <v>20</v>
      </c>
      <c r="E887" s="6" t="str">
        <f>"黄冰"</f>
        <v>黄冰</v>
      </c>
      <c r="F887" s="6" t="str">
        <f t="shared" si="61"/>
        <v>女</v>
      </c>
    </row>
    <row r="888" spans="1:6" ht="30" customHeight="1">
      <c r="A888" s="6">
        <v>886</v>
      </c>
      <c r="B888" s="6" t="str">
        <f>"53002023053016081398729"</f>
        <v>53002023053016081398729</v>
      </c>
      <c r="C888" s="6" t="str">
        <f aca="true" t="shared" si="62" ref="C888:C951">"0201"</f>
        <v>0201</v>
      </c>
      <c r="D888" s="6" t="s">
        <v>20</v>
      </c>
      <c r="E888" s="6" t="str">
        <f>"曾应丹"</f>
        <v>曾应丹</v>
      </c>
      <c r="F888" s="6" t="str">
        <f t="shared" si="61"/>
        <v>女</v>
      </c>
    </row>
    <row r="889" spans="1:6" ht="30" customHeight="1">
      <c r="A889" s="6">
        <v>887</v>
      </c>
      <c r="B889" s="6" t="str">
        <f>"53002023053016012998684"</f>
        <v>53002023053016012998684</v>
      </c>
      <c r="C889" s="6" t="str">
        <f t="shared" si="62"/>
        <v>0201</v>
      </c>
      <c r="D889" s="6" t="s">
        <v>20</v>
      </c>
      <c r="E889" s="6" t="str">
        <f>"符念欣"</f>
        <v>符念欣</v>
      </c>
      <c r="F889" s="6" t="str">
        <f t="shared" si="61"/>
        <v>女</v>
      </c>
    </row>
    <row r="890" spans="1:6" ht="30" customHeight="1">
      <c r="A890" s="6">
        <v>888</v>
      </c>
      <c r="B890" s="6" t="str">
        <f>"53002023052816224587918"</f>
        <v>53002023052816224587918</v>
      </c>
      <c r="C890" s="6" t="str">
        <f t="shared" si="62"/>
        <v>0201</v>
      </c>
      <c r="D890" s="6" t="s">
        <v>20</v>
      </c>
      <c r="E890" s="6" t="str">
        <f>"王露丹"</f>
        <v>王露丹</v>
      </c>
      <c r="F890" s="6" t="str">
        <f t="shared" si="61"/>
        <v>女</v>
      </c>
    </row>
    <row r="891" spans="1:6" ht="30" customHeight="1">
      <c r="A891" s="6">
        <v>889</v>
      </c>
      <c r="B891" s="6" t="str">
        <f>"53002023052823104989226"</f>
        <v>53002023052823104989226</v>
      </c>
      <c r="C891" s="6" t="str">
        <f t="shared" si="62"/>
        <v>0201</v>
      </c>
      <c r="D891" s="6" t="s">
        <v>20</v>
      </c>
      <c r="E891" s="6" t="str">
        <f>"许漂漂"</f>
        <v>许漂漂</v>
      </c>
      <c r="F891" s="6" t="str">
        <f t="shared" si="61"/>
        <v>女</v>
      </c>
    </row>
    <row r="892" spans="1:6" ht="30" customHeight="1">
      <c r="A892" s="6">
        <v>890</v>
      </c>
      <c r="B892" s="6" t="str">
        <f>"53002023053015402698549"</f>
        <v>53002023053015402698549</v>
      </c>
      <c r="C892" s="6" t="str">
        <f t="shared" si="62"/>
        <v>0201</v>
      </c>
      <c r="D892" s="6" t="s">
        <v>20</v>
      </c>
      <c r="E892" s="6" t="str">
        <f>"胡紫静"</f>
        <v>胡紫静</v>
      </c>
      <c r="F892" s="6" t="str">
        <f t="shared" si="61"/>
        <v>女</v>
      </c>
    </row>
    <row r="893" spans="1:6" ht="30" customHeight="1">
      <c r="A893" s="6">
        <v>891</v>
      </c>
      <c r="B893" s="6" t="str">
        <f>"53002023052910571691094"</f>
        <v>53002023052910571691094</v>
      </c>
      <c r="C893" s="6" t="str">
        <f t="shared" si="62"/>
        <v>0201</v>
      </c>
      <c r="D893" s="6" t="s">
        <v>20</v>
      </c>
      <c r="E893" s="6" t="str">
        <f>"陈秀珍"</f>
        <v>陈秀珍</v>
      </c>
      <c r="F893" s="6" t="str">
        <f t="shared" si="61"/>
        <v>女</v>
      </c>
    </row>
    <row r="894" spans="1:6" ht="30" customHeight="1">
      <c r="A894" s="6">
        <v>892</v>
      </c>
      <c r="B894" s="6" t="str">
        <f>"53002023053017053399091"</f>
        <v>53002023053017053399091</v>
      </c>
      <c r="C894" s="6" t="str">
        <f t="shared" si="62"/>
        <v>0201</v>
      </c>
      <c r="D894" s="6" t="s">
        <v>20</v>
      </c>
      <c r="E894" s="6" t="str">
        <f>"王韦月"</f>
        <v>王韦月</v>
      </c>
      <c r="F894" s="6" t="str">
        <f t="shared" si="61"/>
        <v>女</v>
      </c>
    </row>
    <row r="895" spans="1:6" ht="30" customHeight="1">
      <c r="A895" s="6">
        <v>893</v>
      </c>
      <c r="B895" s="6" t="str">
        <f>"53002023053010554796909"</f>
        <v>53002023053010554796909</v>
      </c>
      <c r="C895" s="6" t="str">
        <f t="shared" si="62"/>
        <v>0201</v>
      </c>
      <c r="D895" s="6" t="s">
        <v>20</v>
      </c>
      <c r="E895" s="6" t="str">
        <f>"林造芳"</f>
        <v>林造芳</v>
      </c>
      <c r="F895" s="6" t="str">
        <f t="shared" si="61"/>
        <v>女</v>
      </c>
    </row>
    <row r="896" spans="1:6" ht="30" customHeight="1">
      <c r="A896" s="6">
        <v>894</v>
      </c>
      <c r="B896" s="6" t="str">
        <f>"53002023053017410299292"</f>
        <v>53002023053017410299292</v>
      </c>
      <c r="C896" s="6" t="str">
        <f t="shared" si="62"/>
        <v>0201</v>
      </c>
      <c r="D896" s="6" t="s">
        <v>20</v>
      </c>
      <c r="E896" s="6" t="str">
        <f>"陈冰冰"</f>
        <v>陈冰冰</v>
      </c>
      <c r="F896" s="6" t="str">
        <f t="shared" si="61"/>
        <v>女</v>
      </c>
    </row>
    <row r="897" spans="1:6" ht="30" customHeight="1">
      <c r="A897" s="6">
        <v>895</v>
      </c>
      <c r="B897" s="6" t="str">
        <f>"53002023053017583099366"</f>
        <v>53002023053017583099366</v>
      </c>
      <c r="C897" s="6" t="str">
        <f t="shared" si="62"/>
        <v>0201</v>
      </c>
      <c r="D897" s="6" t="s">
        <v>20</v>
      </c>
      <c r="E897" s="6" t="str">
        <f>"吴采锶"</f>
        <v>吴采锶</v>
      </c>
      <c r="F897" s="6" t="str">
        <f t="shared" si="61"/>
        <v>女</v>
      </c>
    </row>
    <row r="898" spans="1:6" ht="30" customHeight="1">
      <c r="A898" s="6">
        <v>896</v>
      </c>
      <c r="B898" s="6" t="str">
        <f>"53002023052923395895566"</f>
        <v>53002023052923395895566</v>
      </c>
      <c r="C898" s="6" t="str">
        <f t="shared" si="62"/>
        <v>0201</v>
      </c>
      <c r="D898" s="6" t="s">
        <v>20</v>
      </c>
      <c r="E898" s="6" t="str">
        <f>"林彩芬"</f>
        <v>林彩芬</v>
      </c>
      <c r="F898" s="6" t="str">
        <f t="shared" si="61"/>
        <v>女</v>
      </c>
    </row>
    <row r="899" spans="1:6" ht="30" customHeight="1">
      <c r="A899" s="6">
        <v>897</v>
      </c>
      <c r="B899" s="6" t="str">
        <f>"53002023053017321899252"</f>
        <v>53002023053017321899252</v>
      </c>
      <c r="C899" s="6" t="str">
        <f t="shared" si="62"/>
        <v>0201</v>
      </c>
      <c r="D899" s="6" t="s">
        <v>20</v>
      </c>
      <c r="E899" s="6" t="str">
        <f>"符晓国"</f>
        <v>符晓国</v>
      </c>
      <c r="F899" s="6" t="str">
        <f>"男"</f>
        <v>男</v>
      </c>
    </row>
    <row r="900" spans="1:6" ht="30" customHeight="1">
      <c r="A900" s="6">
        <v>898</v>
      </c>
      <c r="B900" s="6" t="str">
        <f>"53002023053018304799507"</f>
        <v>53002023053018304799507</v>
      </c>
      <c r="C900" s="6" t="str">
        <f t="shared" si="62"/>
        <v>0201</v>
      </c>
      <c r="D900" s="6" t="s">
        <v>20</v>
      </c>
      <c r="E900" s="6" t="str">
        <f>"余瑄"</f>
        <v>余瑄</v>
      </c>
      <c r="F900" s="6" t="str">
        <f>"女"</f>
        <v>女</v>
      </c>
    </row>
    <row r="901" spans="1:6" ht="30" customHeight="1">
      <c r="A901" s="6">
        <v>899</v>
      </c>
      <c r="B901" s="6" t="str">
        <f>"53002023052918583494133"</f>
        <v>53002023052918583494133</v>
      </c>
      <c r="C901" s="6" t="str">
        <f t="shared" si="62"/>
        <v>0201</v>
      </c>
      <c r="D901" s="6" t="s">
        <v>20</v>
      </c>
      <c r="E901" s="6" t="str">
        <f>"刘晓英"</f>
        <v>刘晓英</v>
      </c>
      <c r="F901" s="6" t="str">
        <f>"女"</f>
        <v>女</v>
      </c>
    </row>
    <row r="902" spans="1:6" ht="30" customHeight="1">
      <c r="A902" s="6">
        <v>900</v>
      </c>
      <c r="B902" s="6" t="str">
        <f>"53002023053009430696327"</f>
        <v>53002023053009430696327</v>
      </c>
      <c r="C902" s="6" t="str">
        <f t="shared" si="62"/>
        <v>0201</v>
      </c>
      <c r="D902" s="6" t="s">
        <v>20</v>
      </c>
      <c r="E902" s="6" t="str">
        <f>"林翠霞"</f>
        <v>林翠霞</v>
      </c>
      <c r="F902" s="6" t="str">
        <f>"女"</f>
        <v>女</v>
      </c>
    </row>
    <row r="903" spans="1:6" ht="30" customHeight="1">
      <c r="A903" s="6">
        <v>901</v>
      </c>
      <c r="B903" s="6" t="str">
        <f>"53002023053019150199691"</f>
        <v>53002023053019150199691</v>
      </c>
      <c r="C903" s="6" t="str">
        <f t="shared" si="62"/>
        <v>0201</v>
      </c>
      <c r="D903" s="6" t="s">
        <v>20</v>
      </c>
      <c r="E903" s="6" t="str">
        <f>"洪香平"</f>
        <v>洪香平</v>
      </c>
      <c r="F903" s="6" t="str">
        <f>"男"</f>
        <v>男</v>
      </c>
    </row>
    <row r="904" spans="1:6" ht="30" customHeight="1">
      <c r="A904" s="6">
        <v>902</v>
      </c>
      <c r="B904" s="6" t="str">
        <f>"53002023053019172499701"</f>
        <v>53002023053019172499701</v>
      </c>
      <c r="C904" s="6" t="str">
        <f t="shared" si="62"/>
        <v>0201</v>
      </c>
      <c r="D904" s="6" t="s">
        <v>20</v>
      </c>
      <c r="E904" s="6" t="str">
        <f>"吴峥峥"</f>
        <v>吴峥峥</v>
      </c>
      <c r="F904" s="6" t="str">
        <f aca="true" t="shared" si="63" ref="F904:F917">"女"</f>
        <v>女</v>
      </c>
    </row>
    <row r="905" spans="1:6" ht="30" customHeight="1">
      <c r="A905" s="6">
        <v>903</v>
      </c>
      <c r="B905" s="6" t="str">
        <f>"53002023053019291399751"</f>
        <v>53002023053019291399751</v>
      </c>
      <c r="C905" s="6" t="str">
        <f t="shared" si="62"/>
        <v>0201</v>
      </c>
      <c r="D905" s="6" t="s">
        <v>20</v>
      </c>
      <c r="E905" s="6" t="str">
        <f>"邢晓颖"</f>
        <v>邢晓颖</v>
      </c>
      <c r="F905" s="6" t="str">
        <f t="shared" si="63"/>
        <v>女</v>
      </c>
    </row>
    <row r="906" spans="1:6" ht="30" customHeight="1">
      <c r="A906" s="6">
        <v>904</v>
      </c>
      <c r="B906" s="6" t="str">
        <f>"53002023053016235998831"</f>
        <v>53002023053016235998831</v>
      </c>
      <c r="C906" s="6" t="str">
        <f t="shared" si="62"/>
        <v>0201</v>
      </c>
      <c r="D906" s="6" t="s">
        <v>20</v>
      </c>
      <c r="E906" s="6" t="str">
        <f>"梁华南"</f>
        <v>梁华南</v>
      </c>
      <c r="F906" s="6" t="str">
        <f t="shared" si="63"/>
        <v>女</v>
      </c>
    </row>
    <row r="907" spans="1:6" ht="30" customHeight="1">
      <c r="A907" s="6">
        <v>905</v>
      </c>
      <c r="B907" s="6" t="str">
        <f>"53002023053020005899886"</f>
        <v>53002023053020005899886</v>
      </c>
      <c r="C907" s="6" t="str">
        <f t="shared" si="62"/>
        <v>0201</v>
      </c>
      <c r="D907" s="6" t="s">
        <v>20</v>
      </c>
      <c r="E907" s="6" t="str">
        <f>"周小玲"</f>
        <v>周小玲</v>
      </c>
      <c r="F907" s="6" t="str">
        <f t="shared" si="63"/>
        <v>女</v>
      </c>
    </row>
    <row r="908" spans="1:6" ht="30" customHeight="1">
      <c r="A908" s="6">
        <v>906</v>
      </c>
      <c r="B908" s="6" t="str">
        <f>"53002023053010042796486"</f>
        <v>53002023053010042796486</v>
      </c>
      <c r="C908" s="6" t="str">
        <f t="shared" si="62"/>
        <v>0201</v>
      </c>
      <c r="D908" s="6" t="s">
        <v>20</v>
      </c>
      <c r="E908" s="6" t="str">
        <f>"陈雨铭"</f>
        <v>陈雨铭</v>
      </c>
      <c r="F908" s="6" t="str">
        <f t="shared" si="63"/>
        <v>女</v>
      </c>
    </row>
    <row r="909" spans="1:6" ht="30" customHeight="1">
      <c r="A909" s="6">
        <v>907</v>
      </c>
      <c r="B909" s="6" t="str">
        <f>"530020230530202901100030"</f>
        <v>530020230530202901100030</v>
      </c>
      <c r="C909" s="6" t="str">
        <f t="shared" si="62"/>
        <v>0201</v>
      </c>
      <c r="D909" s="6" t="s">
        <v>20</v>
      </c>
      <c r="E909" s="6" t="str">
        <f>"张娜"</f>
        <v>张娜</v>
      </c>
      <c r="F909" s="6" t="str">
        <f t="shared" si="63"/>
        <v>女</v>
      </c>
    </row>
    <row r="910" spans="1:6" ht="30" customHeight="1">
      <c r="A910" s="6">
        <v>908</v>
      </c>
      <c r="B910" s="6" t="str">
        <f>"53002023053020044699910"</f>
        <v>53002023053020044699910</v>
      </c>
      <c r="C910" s="6" t="str">
        <f t="shared" si="62"/>
        <v>0201</v>
      </c>
      <c r="D910" s="6" t="s">
        <v>20</v>
      </c>
      <c r="E910" s="6" t="str">
        <f>"张锦丹"</f>
        <v>张锦丹</v>
      </c>
      <c r="F910" s="6" t="str">
        <f t="shared" si="63"/>
        <v>女</v>
      </c>
    </row>
    <row r="911" spans="1:6" ht="30" customHeight="1">
      <c r="A911" s="6">
        <v>909</v>
      </c>
      <c r="B911" s="6" t="str">
        <f>"530020230530204158100096"</f>
        <v>530020230530204158100096</v>
      </c>
      <c r="C911" s="6" t="str">
        <f t="shared" si="62"/>
        <v>0201</v>
      </c>
      <c r="D911" s="6" t="s">
        <v>20</v>
      </c>
      <c r="E911" s="6" t="str">
        <f>"伍云杉"</f>
        <v>伍云杉</v>
      </c>
      <c r="F911" s="6" t="str">
        <f t="shared" si="63"/>
        <v>女</v>
      </c>
    </row>
    <row r="912" spans="1:6" ht="30" customHeight="1">
      <c r="A912" s="6">
        <v>910</v>
      </c>
      <c r="B912" s="6" t="str">
        <f>"530020230530205554100151"</f>
        <v>530020230530205554100151</v>
      </c>
      <c r="C912" s="6" t="str">
        <f t="shared" si="62"/>
        <v>0201</v>
      </c>
      <c r="D912" s="6" t="s">
        <v>20</v>
      </c>
      <c r="E912" s="6" t="str">
        <f>"王慧"</f>
        <v>王慧</v>
      </c>
      <c r="F912" s="6" t="str">
        <f t="shared" si="63"/>
        <v>女</v>
      </c>
    </row>
    <row r="913" spans="1:6" ht="30" customHeight="1">
      <c r="A913" s="6">
        <v>911</v>
      </c>
      <c r="B913" s="6" t="str">
        <f>"530020230530204053100091"</f>
        <v>530020230530204053100091</v>
      </c>
      <c r="C913" s="6" t="str">
        <f t="shared" si="62"/>
        <v>0201</v>
      </c>
      <c r="D913" s="6" t="s">
        <v>20</v>
      </c>
      <c r="E913" s="6" t="str">
        <f>"李想"</f>
        <v>李想</v>
      </c>
      <c r="F913" s="6" t="str">
        <f t="shared" si="63"/>
        <v>女</v>
      </c>
    </row>
    <row r="914" spans="1:6" ht="30" customHeight="1">
      <c r="A914" s="6">
        <v>912</v>
      </c>
      <c r="B914" s="6" t="str">
        <f>"53002023052821571688982"</f>
        <v>53002023052821571688982</v>
      </c>
      <c r="C914" s="6" t="str">
        <f t="shared" si="62"/>
        <v>0201</v>
      </c>
      <c r="D914" s="6" t="s">
        <v>20</v>
      </c>
      <c r="E914" s="6" t="str">
        <f>"李家钰"</f>
        <v>李家钰</v>
      </c>
      <c r="F914" s="6" t="str">
        <f t="shared" si="63"/>
        <v>女</v>
      </c>
    </row>
    <row r="915" spans="1:6" ht="30" customHeight="1">
      <c r="A915" s="6">
        <v>913</v>
      </c>
      <c r="B915" s="6" t="str">
        <f>"53002023052919481594351"</f>
        <v>53002023052919481594351</v>
      </c>
      <c r="C915" s="6" t="str">
        <f t="shared" si="62"/>
        <v>0201</v>
      </c>
      <c r="D915" s="6" t="s">
        <v>20</v>
      </c>
      <c r="E915" s="6" t="str">
        <f>"黄韦铭"</f>
        <v>黄韦铭</v>
      </c>
      <c r="F915" s="6" t="str">
        <f t="shared" si="63"/>
        <v>女</v>
      </c>
    </row>
    <row r="916" spans="1:6" ht="30" customHeight="1">
      <c r="A916" s="6">
        <v>914</v>
      </c>
      <c r="B916" s="6" t="str">
        <f>"53002023052818002588295"</f>
        <v>53002023052818002588295</v>
      </c>
      <c r="C916" s="6" t="str">
        <f t="shared" si="62"/>
        <v>0201</v>
      </c>
      <c r="D916" s="6" t="s">
        <v>20</v>
      </c>
      <c r="E916" s="6" t="str">
        <f>"符木翠"</f>
        <v>符木翠</v>
      </c>
      <c r="F916" s="6" t="str">
        <f t="shared" si="63"/>
        <v>女</v>
      </c>
    </row>
    <row r="917" spans="1:6" ht="30" customHeight="1">
      <c r="A917" s="6">
        <v>915</v>
      </c>
      <c r="B917" s="6" t="str">
        <f>"530020230530212728100283"</f>
        <v>530020230530212728100283</v>
      </c>
      <c r="C917" s="6" t="str">
        <f t="shared" si="62"/>
        <v>0201</v>
      </c>
      <c r="D917" s="6" t="s">
        <v>20</v>
      </c>
      <c r="E917" s="6" t="str">
        <f>"黄云清"</f>
        <v>黄云清</v>
      </c>
      <c r="F917" s="6" t="str">
        <f t="shared" si="63"/>
        <v>女</v>
      </c>
    </row>
    <row r="918" spans="1:6" ht="30" customHeight="1">
      <c r="A918" s="6">
        <v>916</v>
      </c>
      <c r="B918" s="6" t="str">
        <f>"530020230530215417100437"</f>
        <v>530020230530215417100437</v>
      </c>
      <c r="C918" s="6" t="str">
        <f t="shared" si="62"/>
        <v>0201</v>
      </c>
      <c r="D918" s="6" t="s">
        <v>20</v>
      </c>
      <c r="E918" s="6" t="str">
        <f>"符杰贤"</f>
        <v>符杰贤</v>
      </c>
      <c r="F918" s="6" t="str">
        <f>"男"</f>
        <v>男</v>
      </c>
    </row>
    <row r="919" spans="1:6" ht="30" customHeight="1">
      <c r="A919" s="6">
        <v>917</v>
      </c>
      <c r="B919" s="6" t="str">
        <f>"530020230530220242100484"</f>
        <v>530020230530220242100484</v>
      </c>
      <c r="C919" s="6" t="str">
        <f t="shared" si="62"/>
        <v>0201</v>
      </c>
      <c r="D919" s="6" t="s">
        <v>20</v>
      </c>
      <c r="E919" s="6" t="str">
        <f>"容智莲"</f>
        <v>容智莲</v>
      </c>
      <c r="F919" s="6" t="str">
        <f aca="true" t="shared" si="64" ref="F919:F932">"女"</f>
        <v>女</v>
      </c>
    </row>
    <row r="920" spans="1:6" ht="30" customHeight="1">
      <c r="A920" s="6">
        <v>918</v>
      </c>
      <c r="B920" s="6" t="str">
        <f>"53002023052821475188949"</f>
        <v>53002023052821475188949</v>
      </c>
      <c r="C920" s="6" t="str">
        <f t="shared" si="62"/>
        <v>0201</v>
      </c>
      <c r="D920" s="6" t="s">
        <v>20</v>
      </c>
      <c r="E920" s="6" t="str">
        <f>"羊丽妃"</f>
        <v>羊丽妃</v>
      </c>
      <c r="F920" s="6" t="str">
        <f t="shared" si="64"/>
        <v>女</v>
      </c>
    </row>
    <row r="921" spans="1:6" ht="30" customHeight="1">
      <c r="A921" s="6">
        <v>919</v>
      </c>
      <c r="B921" s="6" t="str">
        <f>"530020230530222823100611"</f>
        <v>530020230530222823100611</v>
      </c>
      <c r="C921" s="6" t="str">
        <f t="shared" si="62"/>
        <v>0201</v>
      </c>
      <c r="D921" s="6" t="s">
        <v>20</v>
      </c>
      <c r="E921" s="6" t="str">
        <f>"李小健"</f>
        <v>李小健</v>
      </c>
      <c r="F921" s="6" t="str">
        <f t="shared" si="64"/>
        <v>女</v>
      </c>
    </row>
    <row r="922" spans="1:6" ht="30" customHeight="1">
      <c r="A922" s="6">
        <v>920</v>
      </c>
      <c r="B922" s="6" t="str">
        <f>"530020230530223109100623"</f>
        <v>530020230530223109100623</v>
      </c>
      <c r="C922" s="6" t="str">
        <f t="shared" si="62"/>
        <v>0201</v>
      </c>
      <c r="D922" s="6" t="s">
        <v>20</v>
      </c>
      <c r="E922" s="6" t="str">
        <f>"王不够"</f>
        <v>王不够</v>
      </c>
      <c r="F922" s="6" t="str">
        <f t="shared" si="64"/>
        <v>女</v>
      </c>
    </row>
    <row r="923" spans="1:6" ht="30" customHeight="1">
      <c r="A923" s="6">
        <v>921</v>
      </c>
      <c r="B923" s="6" t="str">
        <f>"530020230530214738100396"</f>
        <v>530020230530214738100396</v>
      </c>
      <c r="C923" s="6" t="str">
        <f t="shared" si="62"/>
        <v>0201</v>
      </c>
      <c r="D923" s="6" t="s">
        <v>20</v>
      </c>
      <c r="E923" s="6" t="str">
        <f>"苏海媚"</f>
        <v>苏海媚</v>
      </c>
      <c r="F923" s="6" t="str">
        <f t="shared" si="64"/>
        <v>女</v>
      </c>
    </row>
    <row r="924" spans="1:6" ht="30" customHeight="1">
      <c r="A924" s="6">
        <v>922</v>
      </c>
      <c r="B924" s="6" t="str">
        <f>"53002023052714432184945"</f>
        <v>53002023052714432184945</v>
      </c>
      <c r="C924" s="6" t="str">
        <f t="shared" si="62"/>
        <v>0201</v>
      </c>
      <c r="D924" s="6" t="s">
        <v>20</v>
      </c>
      <c r="E924" s="6" t="str">
        <f>"岑诗琦"</f>
        <v>岑诗琦</v>
      </c>
      <c r="F924" s="6" t="str">
        <f t="shared" si="64"/>
        <v>女</v>
      </c>
    </row>
    <row r="925" spans="1:6" ht="30" customHeight="1">
      <c r="A925" s="6">
        <v>923</v>
      </c>
      <c r="B925" s="6" t="str">
        <f>"530020230530230413100773"</f>
        <v>530020230530230413100773</v>
      </c>
      <c r="C925" s="6" t="str">
        <f t="shared" si="62"/>
        <v>0201</v>
      </c>
      <c r="D925" s="6" t="s">
        <v>20</v>
      </c>
      <c r="E925" s="6" t="str">
        <f>"邢增菊"</f>
        <v>邢增菊</v>
      </c>
      <c r="F925" s="6" t="str">
        <f t="shared" si="64"/>
        <v>女</v>
      </c>
    </row>
    <row r="926" spans="1:6" ht="30" customHeight="1">
      <c r="A926" s="6">
        <v>924</v>
      </c>
      <c r="B926" s="6" t="str">
        <f>"53002023053008100195820"</f>
        <v>53002023053008100195820</v>
      </c>
      <c r="C926" s="6" t="str">
        <f t="shared" si="62"/>
        <v>0201</v>
      </c>
      <c r="D926" s="6" t="s">
        <v>20</v>
      </c>
      <c r="E926" s="6" t="str">
        <f>"王露"</f>
        <v>王露</v>
      </c>
      <c r="F926" s="6" t="str">
        <f t="shared" si="64"/>
        <v>女</v>
      </c>
    </row>
    <row r="927" spans="1:6" ht="30" customHeight="1">
      <c r="A927" s="6">
        <v>925</v>
      </c>
      <c r="B927" s="6" t="str">
        <f>"530020230530233747100893"</f>
        <v>530020230530233747100893</v>
      </c>
      <c r="C927" s="6" t="str">
        <f t="shared" si="62"/>
        <v>0201</v>
      </c>
      <c r="D927" s="6" t="s">
        <v>20</v>
      </c>
      <c r="E927" s="6" t="str">
        <f>"钟秀珍"</f>
        <v>钟秀珍</v>
      </c>
      <c r="F927" s="6" t="str">
        <f t="shared" si="64"/>
        <v>女</v>
      </c>
    </row>
    <row r="928" spans="1:6" ht="30" customHeight="1">
      <c r="A928" s="6">
        <v>926</v>
      </c>
      <c r="B928" s="6" t="str">
        <f>"530020230531080612101150"</f>
        <v>530020230531080612101150</v>
      </c>
      <c r="C928" s="6" t="str">
        <f t="shared" si="62"/>
        <v>0201</v>
      </c>
      <c r="D928" s="6" t="s">
        <v>20</v>
      </c>
      <c r="E928" s="6" t="str">
        <f>"钟云"</f>
        <v>钟云</v>
      </c>
      <c r="F928" s="6" t="str">
        <f t="shared" si="64"/>
        <v>女</v>
      </c>
    </row>
    <row r="929" spans="1:6" ht="30" customHeight="1">
      <c r="A929" s="6">
        <v>927</v>
      </c>
      <c r="B929" s="6" t="str">
        <f>"530020230531081544101175"</f>
        <v>530020230531081544101175</v>
      </c>
      <c r="C929" s="6" t="str">
        <f t="shared" si="62"/>
        <v>0201</v>
      </c>
      <c r="D929" s="6" t="s">
        <v>20</v>
      </c>
      <c r="E929" s="6" t="str">
        <f>"郭文婷"</f>
        <v>郭文婷</v>
      </c>
      <c r="F929" s="6" t="str">
        <f t="shared" si="64"/>
        <v>女</v>
      </c>
    </row>
    <row r="930" spans="1:6" ht="30" customHeight="1">
      <c r="A930" s="6">
        <v>928</v>
      </c>
      <c r="B930" s="6" t="str">
        <f>"530020230531092405101496"</f>
        <v>530020230531092405101496</v>
      </c>
      <c r="C930" s="6" t="str">
        <f t="shared" si="62"/>
        <v>0201</v>
      </c>
      <c r="D930" s="6" t="s">
        <v>20</v>
      </c>
      <c r="E930" s="6" t="str">
        <f>"王莹菁"</f>
        <v>王莹菁</v>
      </c>
      <c r="F930" s="6" t="str">
        <f t="shared" si="64"/>
        <v>女</v>
      </c>
    </row>
    <row r="931" spans="1:6" ht="30" customHeight="1">
      <c r="A931" s="6">
        <v>929</v>
      </c>
      <c r="B931" s="6" t="str">
        <f>"530020230531092852101531"</f>
        <v>530020230531092852101531</v>
      </c>
      <c r="C931" s="6" t="str">
        <f t="shared" si="62"/>
        <v>0201</v>
      </c>
      <c r="D931" s="6" t="s">
        <v>20</v>
      </c>
      <c r="E931" s="6" t="str">
        <f>"黄文凤"</f>
        <v>黄文凤</v>
      </c>
      <c r="F931" s="6" t="str">
        <f t="shared" si="64"/>
        <v>女</v>
      </c>
    </row>
    <row r="932" spans="1:6" ht="30" customHeight="1">
      <c r="A932" s="6">
        <v>930</v>
      </c>
      <c r="B932" s="6" t="str">
        <f>"53002023052812035887240"</f>
        <v>53002023052812035887240</v>
      </c>
      <c r="C932" s="6" t="str">
        <f t="shared" si="62"/>
        <v>0201</v>
      </c>
      <c r="D932" s="6" t="s">
        <v>20</v>
      </c>
      <c r="E932" s="6" t="str">
        <f>"陈丹女"</f>
        <v>陈丹女</v>
      </c>
      <c r="F932" s="6" t="str">
        <f t="shared" si="64"/>
        <v>女</v>
      </c>
    </row>
    <row r="933" spans="1:6" ht="30" customHeight="1">
      <c r="A933" s="6">
        <v>931</v>
      </c>
      <c r="B933" s="6" t="str">
        <f>"530020230531094618101663"</f>
        <v>530020230531094618101663</v>
      </c>
      <c r="C933" s="6" t="str">
        <f t="shared" si="62"/>
        <v>0201</v>
      </c>
      <c r="D933" s="6" t="s">
        <v>20</v>
      </c>
      <c r="E933" s="6" t="str">
        <f>"兰王"</f>
        <v>兰王</v>
      </c>
      <c r="F933" s="6" t="str">
        <f>"男"</f>
        <v>男</v>
      </c>
    </row>
    <row r="934" spans="1:6" ht="30" customHeight="1">
      <c r="A934" s="6">
        <v>932</v>
      </c>
      <c r="B934" s="6" t="str">
        <f>"530020230531105008102115"</f>
        <v>530020230531105008102115</v>
      </c>
      <c r="C934" s="6" t="str">
        <f t="shared" si="62"/>
        <v>0201</v>
      </c>
      <c r="D934" s="6" t="s">
        <v>20</v>
      </c>
      <c r="E934" s="6" t="str">
        <f>"羊晓霞"</f>
        <v>羊晓霞</v>
      </c>
      <c r="F934" s="6" t="str">
        <f aca="true" t="shared" si="65" ref="F934:F956">"女"</f>
        <v>女</v>
      </c>
    </row>
    <row r="935" spans="1:6" ht="30" customHeight="1">
      <c r="A935" s="6">
        <v>933</v>
      </c>
      <c r="B935" s="6" t="str">
        <f>"530020230531104343102068"</f>
        <v>530020230531104343102068</v>
      </c>
      <c r="C935" s="6" t="str">
        <f t="shared" si="62"/>
        <v>0201</v>
      </c>
      <c r="D935" s="6" t="s">
        <v>20</v>
      </c>
      <c r="E935" s="6" t="str">
        <f>"苏慧"</f>
        <v>苏慧</v>
      </c>
      <c r="F935" s="6" t="str">
        <f t="shared" si="65"/>
        <v>女</v>
      </c>
    </row>
    <row r="936" spans="1:6" ht="30" customHeight="1">
      <c r="A936" s="6">
        <v>934</v>
      </c>
      <c r="B936" s="6" t="str">
        <f>"530020230531110139102206"</f>
        <v>530020230531110139102206</v>
      </c>
      <c r="C936" s="6" t="str">
        <f t="shared" si="62"/>
        <v>0201</v>
      </c>
      <c r="D936" s="6" t="s">
        <v>20</v>
      </c>
      <c r="E936" s="6" t="str">
        <f>"何靖"</f>
        <v>何靖</v>
      </c>
      <c r="F936" s="6" t="str">
        <f t="shared" si="65"/>
        <v>女</v>
      </c>
    </row>
    <row r="937" spans="1:6" ht="30" customHeight="1">
      <c r="A937" s="6">
        <v>935</v>
      </c>
      <c r="B937" s="6" t="str">
        <f>"53002023052914141792403"</f>
        <v>53002023052914141792403</v>
      </c>
      <c r="C937" s="6" t="str">
        <f t="shared" si="62"/>
        <v>0201</v>
      </c>
      <c r="D937" s="6" t="s">
        <v>20</v>
      </c>
      <c r="E937" s="6" t="str">
        <f>"王冬妹"</f>
        <v>王冬妹</v>
      </c>
      <c r="F937" s="6" t="str">
        <f t="shared" si="65"/>
        <v>女</v>
      </c>
    </row>
    <row r="938" spans="1:6" ht="30" customHeight="1">
      <c r="A938" s="6">
        <v>936</v>
      </c>
      <c r="B938" s="6" t="str">
        <f>"53002023052711193084254"</f>
        <v>53002023052711193084254</v>
      </c>
      <c r="C938" s="6" t="str">
        <f t="shared" si="62"/>
        <v>0201</v>
      </c>
      <c r="D938" s="6" t="s">
        <v>20</v>
      </c>
      <c r="E938" s="6" t="str">
        <f>"陈晓慧"</f>
        <v>陈晓慧</v>
      </c>
      <c r="F938" s="6" t="str">
        <f t="shared" si="65"/>
        <v>女</v>
      </c>
    </row>
    <row r="939" spans="1:6" ht="30" customHeight="1">
      <c r="A939" s="6">
        <v>937</v>
      </c>
      <c r="B939" s="6" t="str">
        <f>"53002023052916341893384"</f>
        <v>53002023052916341893384</v>
      </c>
      <c r="C939" s="6" t="str">
        <f t="shared" si="62"/>
        <v>0201</v>
      </c>
      <c r="D939" s="6" t="s">
        <v>20</v>
      </c>
      <c r="E939" s="6" t="str">
        <f>"高莹"</f>
        <v>高莹</v>
      </c>
      <c r="F939" s="6" t="str">
        <f t="shared" si="65"/>
        <v>女</v>
      </c>
    </row>
    <row r="940" spans="1:6" ht="30" customHeight="1">
      <c r="A940" s="6">
        <v>938</v>
      </c>
      <c r="B940" s="6" t="str">
        <f>"530020230531130421102818"</f>
        <v>530020230531130421102818</v>
      </c>
      <c r="C940" s="6" t="str">
        <f t="shared" si="62"/>
        <v>0201</v>
      </c>
      <c r="D940" s="6" t="s">
        <v>20</v>
      </c>
      <c r="E940" s="6" t="str">
        <f>"梁乾英"</f>
        <v>梁乾英</v>
      </c>
      <c r="F940" s="6" t="str">
        <f t="shared" si="65"/>
        <v>女</v>
      </c>
    </row>
    <row r="941" spans="1:6" ht="30" customHeight="1">
      <c r="A941" s="6">
        <v>939</v>
      </c>
      <c r="B941" s="6" t="str">
        <f>"53002023053010165996580"</f>
        <v>53002023053010165996580</v>
      </c>
      <c r="C941" s="6" t="str">
        <f t="shared" si="62"/>
        <v>0201</v>
      </c>
      <c r="D941" s="6" t="s">
        <v>20</v>
      </c>
      <c r="E941" s="6" t="str">
        <f>"唐思蕊"</f>
        <v>唐思蕊</v>
      </c>
      <c r="F941" s="6" t="str">
        <f t="shared" si="65"/>
        <v>女</v>
      </c>
    </row>
    <row r="942" spans="1:6" ht="30" customHeight="1">
      <c r="A942" s="6">
        <v>940</v>
      </c>
      <c r="B942" s="6" t="str">
        <f>"53002023053000180895662"</f>
        <v>53002023053000180895662</v>
      </c>
      <c r="C942" s="6" t="str">
        <f t="shared" si="62"/>
        <v>0201</v>
      </c>
      <c r="D942" s="6" t="s">
        <v>20</v>
      </c>
      <c r="E942" s="6" t="str">
        <f>"赵艺婧"</f>
        <v>赵艺婧</v>
      </c>
      <c r="F942" s="6" t="str">
        <f t="shared" si="65"/>
        <v>女</v>
      </c>
    </row>
    <row r="943" spans="1:6" ht="30" customHeight="1">
      <c r="A943" s="6">
        <v>941</v>
      </c>
      <c r="B943" s="6" t="str">
        <f>"530020230531151046103252"</f>
        <v>530020230531151046103252</v>
      </c>
      <c r="C943" s="6" t="str">
        <f t="shared" si="62"/>
        <v>0201</v>
      </c>
      <c r="D943" s="6" t="s">
        <v>20</v>
      </c>
      <c r="E943" s="6" t="str">
        <f>"陈浪"</f>
        <v>陈浪</v>
      </c>
      <c r="F943" s="6" t="str">
        <f t="shared" si="65"/>
        <v>女</v>
      </c>
    </row>
    <row r="944" spans="1:6" ht="30" customHeight="1">
      <c r="A944" s="6">
        <v>942</v>
      </c>
      <c r="B944" s="6" t="str">
        <f>"53002023052910223490704"</f>
        <v>53002023052910223490704</v>
      </c>
      <c r="C944" s="6" t="str">
        <f t="shared" si="62"/>
        <v>0201</v>
      </c>
      <c r="D944" s="6" t="s">
        <v>20</v>
      </c>
      <c r="E944" s="6" t="str">
        <f>"吴艳"</f>
        <v>吴艳</v>
      </c>
      <c r="F944" s="6" t="str">
        <f t="shared" si="65"/>
        <v>女</v>
      </c>
    </row>
    <row r="945" spans="1:6" ht="30" customHeight="1">
      <c r="A945" s="6">
        <v>943</v>
      </c>
      <c r="B945" s="6" t="str">
        <f>"53002023052812334987311"</f>
        <v>53002023052812334987311</v>
      </c>
      <c r="C945" s="6" t="str">
        <f t="shared" si="62"/>
        <v>0201</v>
      </c>
      <c r="D945" s="6" t="s">
        <v>20</v>
      </c>
      <c r="E945" s="6" t="str">
        <f>"黄祥姑"</f>
        <v>黄祥姑</v>
      </c>
      <c r="F945" s="6" t="str">
        <f t="shared" si="65"/>
        <v>女</v>
      </c>
    </row>
    <row r="946" spans="1:6" ht="30" customHeight="1">
      <c r="A946" s="6">
        <v>944</v>
      </c>
      <c r="B946" s="6" t="str">
        <f>"53002023053017171699163"</f>
        <v>53002023053017171699163</v>
      </c>
      <c r="C946" s="6" t="str">
        <f t="shared" si="62"/>
        <v>0201</v>
      </c>
      <c r="D946" s="6" t="s">
        <v>20</v>
      </c>
      <c r="E946" s="6" t="str">
        <f>"蒋宛君"</f>
        <v>蒋宛君</v>
      </c>
      <c r="F946" s="6" t="str">
        <f t="shared" si="65"/>
        <v>女</v>
      </c>
    </row>
    <row r="947" spans="1:6" ht="30" customHeight="1">
      <c r="A947" s="6">
        <v>945</v>
      </c>
      <c r="B947" s="6" t="str">
        <f>"530020230531155613103479"</f>
        <v>530020230531155613103479</v>
      </c>
      <c r="C947" s="6" t="str">
        <f t="shared" si="62"/>
        <v>0201</v>
      </c>
      <c r="D947" s="6" t="s">
        <v>20</v>
      </c>
      <c r="E947" s="6" t="str">
        <f>"吴可姣"</f>
        <v>吴可姣</v>
      </c>
      <c r="F947" s="6" t="str">
        <f t="shared" si="65"/>
        <v>女</v>
      </c>
    </row>
    <row r="948" spans="1:6" ht="30" customHeight="1">
      <c r="A948" s="6">
        <v>946</v>
      </c>
      <c r="B948" s="6" t="str">
        <f>"530020230531161000103552"</f>
        <v>530020230531161000103552</v>
      </c>
      <c r="C948" s="6" t="str">
        <f t="shared" si="62"/>
        <v>0201</v>
      </c>
      <c r="D948" s="6" t="s">
        <v>20</v>
      </c>
      <c r="E948" s="6" t="str">
        <f>"牛淑霞"</f>
        <v>牛淑霞</v>
      </c>
      <c r="F948" s="6" t="str">
        <f t="shared" si="65"/>
        <v>女</v>
      </c>
    </row>
    <row r="949" spans="1:6" ht="30" customHeight="1">
      <c r="A949" s="6">
        <v>947</v>
      </c>
      <c r="B949" s="6" t="str">
        <f>"530020230531160542103525"</f>
        <v>530020230531160542103525</v>
      </c>
      <c r="C949" s="6" t="str">
        <f t="shared" si="62"/>
        <v>0201</v>
      </c>
      <c r="D949" s="6" t="s">
        <v>20</v>
      </c>
      <c r="E949" s="6" t="str">
        <f>"王新芝"</f>
        <v>王新芝</v>
      </c>
      <c r="F949" s="6" t="str">
        <f t="shared" si="65"/>
        <v>女</v>
      </c>
    </row>
    <row r="950" spans="1:6" ht="30" customHeight="1">
      <c r="A950" s="6">
        <v>948</v>
      </c>
      <c r="B950" s="6" t="str">
        <f>"530020230531164703103746"</f>
        <v>530020230531164703103746</v>
      </c>
      <c r="C950" s="6" t="str">
        <f t="shared" si="62"/>
        <v>0201</v>
      </c>
      <c r="D950" s="6" t="s">
        <v>20</v>
      </c>
      <c r="E950" s="6" t="str">
        <f>"符会蕊"</f>
        <v>符会蕊</v>
      </c>
      <c r="F950" s="6" t="str">
        <f t="shared" si="65"/>
        <v>女</v>
      </c>
    </row>
    <row r="951" spans="1:6" ht="30" customHeight="1">
      <c r="A951" s="6">
        <v>949</v>
      </c>
      <c r="B951" s="6" t="str">
        <f>"530020230531054758101071"</f>
        <v>530020230531054758101071</v>
      </c>
      <c r="C951" s="6" t="str">
        <f t="shared" si="62"/>
        <v>0201</v>
      </c>
      <c r="D951" s="6" t="s">
        <v>20</v>
      </c>
      <c r="E951" s="6" t="str">
        <f>"彭舒凤"</f>
        <v>彭舒凤</v>
      </c>
      <c r="F951" s="6" t="str">
        <f t="shared" si="65"/>
        <v>女</v>
      </c>
    </row>
    <row r="952" spans="1:6" ht="30" customHeight="1">
      <c r="A952" s="6">
        <v>950</v>
      </c>
      <c r="B952" s="6" t="str">
        <f>"530020230531171946103899"</f>
        <v>530020230531171946103899</v>
      </c>
      <c r="C952" s="6" t="str">
        <f aca="true" t="shared" si="66" ref="C952:C1015">"0201"</f>
        <v>0201</v>
      </c>
      <c r="D952" s="6" t="s">
        <v>20</v>
      </c>
      <c r="E952" s="6" t="str">
        <f>"莫海燕"</f>
        <v>莫海燕</v>
      </c>
      <c r="F952" s="6" t="str">
        <f t="shared" si="65"/>
        <v>女</v>
      </c>
    </row>
    <row r="953" spans="1:6" ht="30" customHeight="1">
      <c r="A953" s="6">
        <v>951</v>
      </c>
      <c r="B953" s="6" t="str">
        <f>"530020230531171412103878"</f>
        <v>530020230531171412103878</v>
      </c>
      <c r="C953" s="6" t="str">
        <f t="shared" si="66"/>
        <v>0201</v>
      </c>
      <c r="D953" s="6" t="s">
        <v>20</v>
      </c>
      <c r="E953" s="6" t="str">
        <f>"陈夏惠"</f>
        <v>陈夏惠</v>
      </c>
      <c r="F953" s="6" t="str">
        <f t="shared" si="65"/>
        <v>女</v>
      </c>
    </row>
    <row r="954" spans="1:6" ht="30" customHeight="1">
      <c r="A954" s="6">
        <v>952</v>
      </c>
      <c r="B954" s="6" t="str">
        <f>"530020230531164300103725"</f>
        <v>530020230531164300103725</v>
      </c>
      <c r="C954" s="6" t="str">
        <f t="shared" si="66"/>
        <v>0201</v>
      </c>
      <c r="D954" s="6" t="s">
        <v>20</v>
      </c>
      <c r="E954" s="6" t="str">
        <f>"黄上芷"</f>
        <v>黄上芷</v>
      </c>
      <c r="F954" s="6" t="str">
        <f t="shared" si="65"/>
        <v>女</v>
      </c>
    </row>
    <row r="955" spans="1:6" ht="30" customHeight="1">
      <c r="A955" s="6">
        <v>953</v>
      </c>
      <c r="B955" s="6" t="str">
        <f>"530020230531172402103915"</f>
        <v>530020230531172402103915</v>
      </c>
      <c r="C955" s="6" t="str">
        <f t="shared" si="66"/>
        <v>0201</v>
      </c>
      <c r="D955" s="6" t="s">
        <v>20</v>
      </c>
      <c r="E955" s="6" t="str">
        <f>"杨小香"</f>
        <v>杨小香</v>
      </c>
      <c r="F955" s="6" t="str">
        <f t="shared" si="65"/>
        <v>女</v>
      </c>
    </row>
    <row r="956" spans="1:6" ht="30" customHeight="1">
      <c r="A956" s="6">
        <v>954</v>
      </c>
      <c r="B956" s="6" t="str">
        <f>"530020230531172703103926"</f>
        <v>530020230531172703103926</v>
      </c>
      <c r="C956" s="6" t="str">
        <f t="shared" si="66"/>
        <v>0201</v>
      </c>
      <c r="D956" s="6" t="s">
        <v>20</v>
      </c>
      <c r="E956" s="6" t="str">
        <f>"杨晨"</f>
        <v>杨晨</v>
      </c>
      <c r="F956" s="6" t="str">
        <f t="shared" si="65"/>
        <v>女</v>
      </c>
    </row>
    <row r="957" spans="1:6" ht="30" customHeight="1">
      <c r="A957" s="6">
        <v>955</v>
      </c>
      <c r="B957" s="6" t="str">
        <f>"53002023052815365587785"</f>
        <v>53002023052815365587785</v>
      </c>
      <c r="C957" s="6" t="str">
        <f t="shared" si="66"/>
        <v>0201</v>
      </c>
      <c r="D957" s="6" t="s">
        <v>20</v>
      </c>
      <c r="E957" s="6" t="str">
        <f>"符亮宁"</f>
        <v>符亮宁</v>
      </c>
      <c r="F957" s="6" t="str">
        <f>"男"</f>
        <v>男</v>
      </c>
    </row>
    <row r="958" spans="1:6" ht="30" customHeight="1">
      <c r="A958" s="6">
        <v>956</v>
      </c>
      <c r="B958" s="6" t="str">
        <f>"53002023052817510088269"</f>
        <v>53002023052817510088269</v>
      </c>
      <c r="C958" s="6" t="str">
        <f t="shared" si="66"/>
        <v>0201</v>
      </c>
      <c r="D958" s="6" t="s">
        <v>20</v>
      </c>
      <c r="E958" s="6" t="str">
        <f>"王彩妹"</f>
        <v>王彩妹</v>
      </c>
      <c r="F958" s="6" t="str">
        <f aca="true" t="shared" si="67" ref="F958:F964">"女"</f>
        <v>女</v>
      </c>
    </row>
    <row r="959" spans="1:6" ht="30" customHeight="1">
      <c r="A959" s="6">
        <v>957</v>
      </c>
      <c r="B959" s="6" t="str">
        <f>"530020230531175125104010"</f>
        <v>530020230531175125104010</v>
      </c>
      <c r="C959" s="6" t="str">
        <f t="shared" si="66"/>
        <v>0201</v>
      </c>
      <c r="D959" s="6" t="s">
        <v>20</v>
      </c>
      <c r="E959" s="6" t="str">
        <f>"吴思颖"</f>
        <v>吴思颖</v>
      </c>
      <c r="F959" s="6" t="str">
        <f t="shared" si="67"/>
        <v>女</v>
      </c>
    </row>
    <row r="960" spans="1:6" ht="30" customHeight="1">
      <c r="A960" s="6">
        <v>958</v>
      </c>
      <c r="B960" s="6" t="str">
        <f>"530020230531173659103963"</f>
        <v>530020230531173659103963</v>
      </c>
      <c r="C960" s="6" t="str">
        <f t="shared" si="66"/>
        <v>0201</v>
      </c>
      <c r="D960" s="6" t="s">
        <v>20</v>
      </c>
      <c r="E960" s="6" t="str">
        <f>"李苏婷"</f>
        <v>李苏婷</v>
      </c>
      <c r="F960" s="6" t="str">
        <f t="shared" si="67"/>
        <v>女</v>
      </c>
    </row>
    <row r="961" spans="1:6" ht="30" customHeight="1">
      <c r="A961" s="6">
        <v>959</v>
      </c>
      <c r="B961" s="6" t="str">
        <f>"530020230531163838103708"</f>
        <v>530020230531163838103708</v>
      </c>
      <c r="C961" s="6" t="str">
        <f t="shared" si="66"/>
        <v>0201</v>
      </c>
      <c r="D961" s="6" t="s">
        <v>20</v>
      </c>
      <c r="E961" s="6" t="str">
        <f>"张少艳"</f>
        <v>张少艳</v>
      </c>
      <c r="F961" s="6" t="str">
        <f t="shared" si="67"/>
        <v>女</v>
      </c>
    </row>
    <row r="962" spans="1:6" ht="30" customHeight="1">
      <c r="A962" s="6">
        <v>960</v>
      </c>
      <c r="B962" s="6" t="str">
        <f>"530020230531183102104135"</f>
        <v>530020230531183102104135</v>
      </c>
      <c r="C962" s="6" t="str">
        <f t="shared" si="66"/>
        <v>0201</v>
      </c>
      <c r="D962" s="6" t="s">
        <v>20</v>
      </c>
      <c r="E962" s="6" t="str">
        <f>"文肖"</f>
        <v>文肖</v>
      </c>
      <c r="F962" s="6" t="str">
        <f t="shared" si="67"/>
        <v>女</v>
      </c>
    </row>
    <row r="963" spans="1:6" ht="30" customHeight="1">
      <c r="A963" s="6">
        <v>961</v>
      </c>
      <c r="B963" s="6" t="str">
        <f>"530020230531190822104224"</f>
        <v>530020230531190822104224</v>
      </c>
      <c r="C963" s="6" t="str">
        <f t="shared" si="66"/>
        <v>0201</v>
      </c>
      <c r="D963" s="6" t="s">
        <v>20</v>
      </c>
      <c r="E963" s="6" t="str">
        <f>"韩静"</f>
        <v>韩静</v>
      </c>
      <c r="F963" s="6" t="str">
        <f t="shared" si="67"/>
        <v>女</v>
      </c>
    </row>
    <row r="964" spans="1:6" ht="30" customHeight="1">
      <c r="A964" s="6">
        <v>962</v>
      </c>
      <c r="B964" s="6" t="str">
        <f>"530020230531191646104247"</f>
        <v>530020230531191646104247</v>
      </c>
      <c r="C964" s="6" t="str">
        <f t="shared" si="66"/>
        <v>0201</v>
      </c>
      <c r="D964" s="6" t="s">
        <v>20</v>
      </c>
      <c r="E964" s="6" t="str">
        <f>"陈未"</f>
        <v>陈未</v>
      </c>
      <c r="F964" s="6" t="str">
        <f t="shared" si="67"/>
        <v>女</v>
      </c>
    </row>
    <row r="965" spans="1:6" ht="30" customHeight="1">
      <c r="A965" s="6">
        <v>963</v>
      </c>
      <c r="B965" s="6" t="str">
        <f>"53002023052820493088752"</f>
        <v>53002023052820493088752</v>
      </c>
      <c r="C965" s="6" t="str">
        <f t="shared" si="66"/>
        <v>0201</v>
      </c>
      <c r="D965" s="6" t="s">
        <v>20</v>
      </c>
      <c r="E965" s="6" t="str">
        <f>"周振誉"</f>
        <v>周振誉</v>
      </c>
      <c r="F965" s="6" t="str">
        <f>"男"</f>
        <v>男</v>
      </c>
    </row>
    <row r="966" spans="1:6" ht="30" customHeight="1">
      <c r="A966" s="6">
        <v>964</v>
      </c>
      <c r="B966" s="6" t="str">
        <f>"530020230531203918104488"</f>
        <v>530020230531203918104488</v>
      </c>
      <c r="C966" s="6" t="str">
        <f t="shared" si="66"/>
        <v>0201</v>
      </c>
      <c r="D966" s="6" t="s">
        <v>20</v>
      </c>
      <c r="E966" s="6" t="str">
        <f>"高秀凤"</f>
        <v>高秀凤</v>
      </c>
      <c r="F966" s="6" t="str">
        <f aca="true" t="shared" si="68" ref="F966:F980">"女"</f>
        <v>女</v>
      </c>
    </row>
    <row r="967" spans="1:6" ht="30" customHeight="1">
      <c r="A967" s="6">
        <v>965</v>
      </c>
      <c r="B967" s="6" t="str">
        <f>"530020230531132319102897"</f>
        <v>530020230531132319102897</v>
      </c>
      <c r="C967" s="6" t="str">
        <f t="shared" si="66"/>
        <v>0201</v>
      </c>
      <c r="D967" s="6" t="s">
        <v>20</v>
      </c>
      <c r="E967" s="6" t="str">
        <f>"文丹"</f>
        <v>文丹</v>
      </c>
      <c r="F967" s="6" t="str">
        <f t="shared" si="68"/>
        <v>女</v>
      </c>
    </row>
    <row r="968" spans="1:6" ht="30" customHeight="1">
      <c r="A968" s="6">
        <v>966</v>
      </c>
      <c r="B968" s="6" t="str">
        <f>"53002023052721033786132"</f>
        <v>53002023052721033786132</v>
      </c>
      <c r="C968" s="6" t="str">
        <f t="shared" si="66"/>
        <v>0201</v>
      </c>
      <c r="D968" s="6" t="s">
        <v>20</v>
      </c>
      <c r="E968" s="6" t="str">
        <f>"郭义妹"</f>
        <v>郭义妹</v>
      </c>
      <c r="F968" s="6" t="str">
        <f t="shared" si="68"/>
        <v>女</v>
      </c>
    </row>
    <row r="969" spans="1:6" ht="30" customHeight="1">
      <c r="A969" s="6">
        <v>967</v>
      </c>
      <c r="B969" s="6" t="str">
        <f>"530020230531213158104679"</f>
        <v>530020230531213158104679</v>
      </c>
      <c r="C969" s="6" t="str">
        <f t="shared" si="66"/>
        <v>0201</v>
      </c>
      <c r="D969" s="6" t="s">
        <v>20</v>
      </c>
      <c r="E969" s="6" t="str">
        <f>"肖馥煊"</f>
        <v>肖馥煊</v>
      </c>
      <c r="F969" s="6" t="str">
        <f t="shared" si="68"/>
        <v>女</v>
      </c>
    </row>
    <row r="970" spans="1:6" ht="30" customHeight="1">
      <c r="A970" s="6">
        <v>968</v>
      </c>
      <c r="B970" s="6" t="str">
        <f>"530020230531213433104693"</f>
        <v>530020230531213433104693</v>
      </c>
      <c r="C970" s="6" t="str">
        <f t="shared" si="66"/>
        <v>0201</v>
      </c>
      <c r="D970" s="6" t="s">
        <v>20</v>
      </c>
      <c r="E970" s="6" t="str">
        <f>"羊家风"</f>
        <v>羊家风</v>
      </c>
      <c r="F970" s="6" t="str">
        <f t="shared" si="68"/>
        <v>女</v>
      </c>
    </row>
    <row r="971" spans="1:6" ht="30" customHeight="1">
      <c r="A971" s="6">
        <v>969</v>
      </c>
      <c r="B971" s="6" t="str">
        <f>"53002023052820145288616"</f>
        <v>53002023052820145288616</v>
      </c>
      <c r="C971" s="6" t="str">
        <f t="shared" si="66"/>
        <v>0201</v>
      </c>
      <c r="D971" s="6" t="s">
        <v>20</v>
      </c>
      <c r="E971" s="6" t="str">
        <f>"陈仁凰"</f>
        <v>陈仁凰</v>
      </c>
      <c r="F971" s="6" t="str">
        <f t="shared" si="68"/>
        <v>女</v>
      </c>
    </row>
    <row r="972" spans="1:6" ht="30" customHeight="1">
      <c r="A972" s="6">
        <v>970</v>
      </c>
      <c r="B972" s="6" t="str">
        <f>"530020230531215136104756"</f>
        <v>530020230531215136104756</v>
      </c>
      <c r="C972" s="6" t="str">
        <f t="shared" si="66"/>
        <v>0201</v>
      </c>
      <c r="D972" s="6" t="s">
        <v>20</v>
      </c>
      <c r="E972" s="6" t="str">
        <f>"翁书玲"</f>
        <v>翁书玲</v>
      </c>
      <c r="F972" s="6" t="str">
        <f t="shared" si="68"/>
        <v>女</v>
      </c>
    </row>
    <row r="973" spans="1:6" ht="30" customHeight="1">
      <c r="A973" s="6">
        <v>971</v>
      </c>
      <c r="B973" s="6" t="str">
        <f>"530020230531220224104781"</f>
        <v>530020230531220224104781</v>
      </c>
      <c r="C973" s="6" t="str">
        <f t="shared" si="66"/>
        <v>0201</v>
      </c>
      <c r="D973" s="6" t="s">
        <v>20</v>
      </c>
      <c r="E973" s="6" t="str">
        <f>"吴雪"</f>
        <v>吴雪</v>
      </c>
      <c r="F973" s="6" t="str">
        <f t="shared" si="68"/>
        <v>女</v>
      </c>
    </row>
    <row r="974" spans="1:6" ht="30" customHeight="1">
      <c r="A974" s="6">
        <v>972</v>
      </c>
      <c r="B974" s="6" t="str">
        <f>"530020230531224445104932"</f>
        <v>530020230531224445104932</v>
      </c>
      <c r="C974" s="6" t="str">
        <f t="shared" si="66"/>
        <v>0201</v>
      </c>
      <c r="D974" s="6" t="s">
        <v>20</v>
      </c>
      <c r="E974" s="6" t="str">
        <f>"陈静娴"</f>
        <v>陈静娴</v>
      </c>
      <c r="F974" s="6" t="str">
        <f t="shared" si="68"/>
        <v>女</v>
      </c>
    </row>
    <row r="975" spans="1:6" ht="30" customHeight="1">
      <c r="A975" s="6">
        <v>973</v>
      </c>
      <c r="B975" s="6" t="str">
        <f>"530020230531225138104957"</f>
        <v>530020230531225138104957</v>
      </c>
      <c r="C975" s="6" t="str">
        <f t="shared" si="66"/>
        <v>0201</v>
      </c>
      <c r="D975" s="6" t="s">
        <v>20</v>
      </c>
      <c r="E975" s="6" t="str">
        <f>"邢恋"</f>
        <v>邢恋</v>
      </c>
      <c r="F975" s="6" t="str">
        <f t="shared" si="68"/>
        <v>女</v>
      </c>
    </row>
    <row r="976" spans="1:6" ht="30" customHeight="1">
      <c r="A976" s="6">
        <v>974</v>
      </c>
      <c r="B976" s="6" t="str">
        <f>"530020230531225525104969"</f>
        <v>530020230531225525104969</v>
      </c>
      <c r="C976" s="6" t="str">
        <f t="shared" si="66"/>
        <v>0201</v>
      </c>
      <c r="D976" s="6" t="s">
        <v>20</v>
      </c>
      <c r="E976" s="6" t="str">
        <f>"胡正果"</f>
        <v>胡正果</v>
      </c>
      <c r="F976" s="6" t="str">
        <f t="shared" si="68"/>
        <v>女</v>
      </c>
    </row>
    <row r="977" spans="1:6" ht="30" customHeight="1">
      <c r="A977" s="6">
        <v>975</v>
      </c>
      <c r="B977" s="6" t="str">
        <f>"530020230531225939104984"</f>
        <v>530020230531225939104984</v>
      </c>
      <c r="C977" s="6" t="str">
        <f t="shared" si="66"/>
        <v>0201</v>
      </c>
      <c r="D977" s="6" t="s">
        <v>20</v>
      </c>
      <c r="E977" s="6" t="str">
        <f>"文婷"</f>
        <v>文婷</v>
      </c>
      <c r="F977" s="6" t="str">
        <f t="shared" si="68"/>
        <v>女</v>
      </c>
    </row>
    <row r="978" spans="1:6" ht="30" customHeight="1">
      <c r="A978" s="6">
        <v>976</v>
      </c>
      <c r="B978" s="6" t="str">
        <f>"530020230531232239105037"</f>
        <v>530020230531232239105037</v>
      </c>
      <c r="C978" s="6" t="str">
        <f t="shared" si="66"/>
        <v>0201</v>
      </c>
      <c r="D978" s="6" t="s">
        <v>20</v>
      </c>
      <c r="E978" s="6" t="str">
        <f>"吕兆女"</f>
        <v>吕兆女</v>
      </c>
      <c r="F978" s="6" t="str">
        <f t="shared" si="68"/>
        <v>女</v>
      </c>
    </row>
    <row r="979" spans="1:6" ht="30" customHeight="1">
      <c r="A979" s="6">
        <v>977</v>
      </c>
      <c r="B979" s="6" t="str">
        <f>"530020230531235902105093"</f>
        <v>530020230531235902105093</v>
      </c>
      <c r="C979" s="6" t="str">
        <f t="shared" si="66"/>
        <v>0201</v>
      </c>
      <c r="D979" s="6" t="s">
        <v>20</v>
      </c>
      <c r="E979" s="6" t="str">
        <f>"魏晓意"</f>
        <v>魏晓意</v>
      </c>
      <c r="F979" s="6" t="str">
        <f t="shared" si="68"/>
        <v>女</v>
      </c>
    </row>
    <row r="980" spans="1:6" ht="30" customHeight="1">
      <c r="A980" s="6">
        <v>978</v>
      </c>
      <c r="B980" s="6" t="str">
        <f>"530020230531235301105087"</f>
        <v>530020230531235301105087</v>
      </c>
      <c r="C980" s="6" t="str">
        <f t="shared" si="66"/>
        <v>0201</v>
      </c>
      <c r="D980" s="6" t="s">
        <v>20</v>
      </c>
      <c r="E980" s="6" t="str">
        <f>"黎俊希"</f>
        <v>黎俊希</v>
      </c>
      <c r="F980" s="6" t="str">
        <f t="shared" si="68"/>
        <v>女</v>
      </c>
    </row>
    <row r="981" spans="1:6" ht="30" customHeight="1">
      <c r="A981" s="6">
        <v>979</v>
      </c>
      <c r="B981" s="6" t="str">
        <f>"530020230531102157101928"</f>
        <v>530020230531102157101928</v>
      </c>
      <c r="C981" s="6" t="str">
        <f t="shared" si="66"/>
        <v>0201</v>
      </c>
      <c r="D981" s="6" t="s">
        <v>20</v>
      </c>
      <c r="E981" s="6" t="str">
        <f>"孟潇潇"</f>
        <v>孟潇潇</v>
      </c>
      <c r="F981" s="6" t="str">
        <f>"男"</f>
        <v>男</v>
      </c>
    </row>
    <row r="982" spans="1:6" ht="30" customHeight="1">
      <c r="A982" s="6">
        <v>980</v>
      </c>
      <c r="B982" s="6" t="str">
        <f>"530020230601082337105284"</f>
        <v>530020230601082337105284</v>
      </c>
      <c r="C982" s="6" t="str">
        <f t="shared" si="66"/>
        <v>0201</v>
      </c>
      <c r="D982" s="6" t="s">
        <v>20</v>
      </c>
      <c r="E982" s="6" t="str">
        <f>"刘洁"</f>
        <v>刘洁</v>
      </c>
      <c r="F982" s="6" t="str">
        <f aca="true" t="shared" si="69" ref="F982:F1045">"女"</f>
        <v>女</v>
      </c>
    </row>
    <row r="983" spans="1:6" ht="30" customHeight="1">
      <c r="A983" s="6">
        <v>981</v>
      </c>
      <c r="B983" s="6" t="str">
        <f>"53002023052815571187838"</f>
        <v>53002023052815571187838</v>
      </c>
      <c r="C983" s="6" t="str">
        <f t="shared" si="66"/>
        <v>0201</v>
      </c>
      <c r="D983" s="6" t="s">
        <v>20</v>
      </c>
      <c r="E983" s="6" t="str">
        <f>"李秀红"</f>
        <v>李秀红</v>
      </c>
      <c r="F983" s="6" t="str">
        <f t="shared" si="69"/>
        <v>女</v>
      </c>
    </row>
    <row r="984" spans="1:6" ht="30" customHeight="1">
      <c r="A984" s="6">
        <v>982</v>
      </c>
      <c r="B984" s="6" t="str">
        <f>"530020230601092008105549"</f>
        <v>530020230601092008105549</v>
      </c>
      <c r="C984" s="6" t="str">
        <f t="shared" si="66"/>
        <v>0201</v>
      </c>
      <c r="D984" s="6" t="s">
        <v>20</v>
      </c>
      <c r="E984" s="6" t="str">
        <f>"李莉芬"</f>
        <v>李莉芬</v>
      </c>
      <c r="F984" s="6" t="str">
        <f t="shared" si="69"/>
        <v>女</v>
      </c>
    </row>
    <row r="985" spans="1:6" ht="30" customHeight="1">
      <c r="A985" s="6">
        <v>983</v>
      </c>
      <c r="B985" s="6" t="str">
        <f>"530020230601090531105442"</f>
        <v>530020230601090531105442</v>
      </c>
      <c r="C985" s="6" t="str">
        <f t="shared" si="66"/>
        <v>0201</v>
      </c>
      <c r="D985" s="6" t="s">
        <v>20</v>
      </c>
      <c r="E985" s="6" t="str">
        <f>"陈慧卿"</f>
        <v>陈慧卿</v>
      </c>
      <c r="F985" s="6" t="str">
        <f t="shared" si="69"/>
        <v>女</v>
      </c>
    </row>
    <row r="986" spans="1:6" ht="30" customHeight="1">
      <c r="A986" s="6">
        <v>984</v>
      </c>
      <c r="B986" s="6" t="str">
        <f>"530020230601093229105636"</f>
        <v>530020230601093229105636</v>
      </c>
      <c r="C986" s="6" t="str">
        <f t="shared" si="66"/>
        <v>0201</v>
      </c>
      <c r="D986" s="6" t="s">
        <v>20</v>
      </c>
      <c r="E986" s="6" t="str">
        <f>"柯彦萍"</f>
        <v>柯彦萍</v>
      </c>
      <c r="F986" s="6" t="str">
        <f t="shared" si="69"/>
        <v>女</v>
      </c>
    </row>
    <row r="987" spans="1:6" ht="30" customHeight="1">
      <c r="A987" s="6">
        <v>985</v>
      </c>
      <c r="B987" s="6" t="str">
        <f>"530020230601092223105567"</f>
        <v>530020230601092223105567</v>
      </c>
      <c r="C987" s="6" t="str">
        <f t="shared" si="66"/>
        <v>0201</v>
      </c>
      <c r="D987" s="6" t="s">
        <v>20</v>
      </c>
      <c r="E987" s="6" t="str">
        <f>"李琼妃"</f>
        <v>李琼妃</v>
      </c>
      <c r="F987" s="6" t="str">
        <f t="shared" si="69"/>
        <v>女</v>
      </c>
    </row>
    <row r="988" spans="1:6" ht="30" customHeight="1">
      <c r="A988" s="6">
        <v>986</v>
      </c>
      <c r="B988" s="6" t="str">
        <f>"53002023053010590396938"</f>
        <v>53002023053010590396938</v>
      </c>
      <c r="C988" s="6" t="str">
        <f t="shared" si="66"/>
        <v>0201</v>
      </c>
      <c r="D988" s="6" t="s">
        <v>20</v>
      </c>
      <c r="E988" s="6" t="str">
        <f>"林钰"</f>
        <v>林钰</v>
      </c>
      <c r="F988" s="6" t="str">
        <f t="shared" si="69"/>
        <v>女</v>
      </c>
    </row>
    <row r="989" spans="1:6" ht="30" customHeight="1">
      <c r="A989" s="6">
        <v>987</v>
      </c>
      <c r="B989" s="6" t="str">
        <f>"530020230601100518105871"</f>
        <v>530020230601100518105871</v>
      </c>
      <c r="C989" s="6" t="str">
        <f t="shared" si="66"/>
        <v>0201</v>
      </c>
      <c r="D989" s="6" t="s">
        <v>20</v>
      </c>
      <c r="E989" s="6" t="str">
        <f>"廖莉蓉"</f>
        <v>廖莉蓉</v>
      </c>
      <c r="F989" s="6" t="str">
        <f t="shared" si="69"/>
        <v>女</v>
      </c>
    </row>
    <row r="990" spans="1:6" ht="30" customHeight="1">
      <c r="A990" s="6">
        <v>988</v>
      </c>
      <c r="B990" s="6" t="str">
        <f>"530020230601102442106011"</f>
        <v>530020230601102442106011</v>
      </c>
      <c r="C990" s="6" t="str">
        <f t="shared" si="66"/>
        <v>0201</v>
      </c>
      <c r="D990" s="6" t="s">
        <v>20</v>
      </c>
      <c r="E990" s="6" t="str">
        <f>"张至馨"</f>
        <v>张至馨</v>
      </c>
      <c r="F990" s="6" t="str">
        <f t="shared" si="69"/>
        <v>女</v>
      </c>
    </row>
    <row r="991" spans="1:6" ht="30" customHeight="1">
      <c r="A991" s="6">
        <v>989</v>
      </c>
      <c r="B991" s="6" t="str">
        <f>"530020230531171756103894"</f>
        <v>530020230531171756103894</v>
      </c>
      <c r="C991" s="6" t="str">
        <f t="shared" si="66"/>
        <v>0201</v>
      </c>
      <c r="D991" s="6" t="s">
        <v>20</v>
      </c>
      <c r="E991" s="6" t="str">
        <f>"谢忠连"</f>
        <v>谢忠连</v>
      </c>
      <c r="F991" s="6" t="str">
        <f t="shared" si="69"/>
        <v>女</v>
      </c>
    </row>
    <row r="992" spans="1:6" ht="30" customHeight="1">
      <c r="A992" s="6">
        <v>990</v>
      </c>
      <c r="B992" s="6" t="str">
        <f>"530020230601104624106160"</f>
        <v>530020230601104624106160</v>
      </c>
      <c r="C992" s="6" t="str">
        <f t="shared" si="66"/>
        <v>0201</v>
      </c>
      <c r="D992" s="6" t="s">
        <v>20</v>
      </c>
      <c r="E992" s="6" t="str">
        <f>" 李慧敏"</f>
        <v> 李慧敏</v>
      </c>
      <c r="F992" s="6" t="str">
        <f t="shared" si="69"/>
        <v>女</v>
      </c>
    </row>
    <row r="993" spans="1:6" ht="30" customHeight="1">
      <c r="A993" s="6">
        <v>991</v>
      </c>
      <c r="B993" s="6" t="str">
        <f>"530020230601090348105425"</f>
        <v>530020230601090348105425</v>
      </c>
      <c r="C993" s="6" t="str">
        <f t="shared" si="66"/>
        <v>0201</v>
      </c>
      <c r="D993" s="6" t="s">
        <v>20</v>
      </c>
      <c r="E993" s="6" t="str">
        <f>"杨小丹"</f>
        <v>杨小丹</v>
      </c>
      <c r="F993" s="6" t="str">
        <f t="shared" si="69"/>
        <v>女</v>
      </c>
    </row>
    <row r="994" spans="1:6" ht="30" customHeight="1">
      <c r="A994" s="6">
        <v>992</v>
      </c>
      <c r="B994" s="6" t="str">
        <f>"530020230601063827105191"</f>
        <v>530020230601063827105191</v>
      </c>
      <c r="C994" s="6" t="str">
        <f t="shared" si="66"/>
        <v>0201</v>
      </c>
      <c r="D994" s="6" t="s">
        <v>20</v>
      </c>
      <c r="E994" s="6" t="str">
        <f>"陈初桃"</f>
        <v>陈初桃</v>
      </c>
      <c r="F994" s="6" t="str">
        <f t="shared" si="69"/>
        <v>女</v>
      </c>
    </row>
    <row r="995" spans="1:6" ht="30" customHeight="1">
      <c r="A995" s="6">
        <v>993</v>
      </c>
      <c r="B995" s="6" t="str">
        <f>"530020230601112057106372"</f>
        <v>530020230601112057106372</v>
      </c>
      <c r="C995" s="6" t="str">
        <f t="shared" si="66"/>
        <v>0201</v>
      </c>
      <c r="D995" s="6" t="s">
        <v>20</v>
      </c>
      <c r="E995" s="6" t="str">
        <f>"赖群珺"</f>
        <v>赖群珺</v>
      </c>
      <c r="F995" s="6" t="str">
        <f t="shared" si="69"/>
        <v>女</v>
      </c>
    </row>
    <row r="996" spans="1:6" ht="30" customHeight="1">
      <c r="A996" s="6">
        <v>994</v>
      </c>
      <c r="B996" s="6" t="str">
        <f>"530020230601112703106402"</f>
        <v>530020230601112703106402</v>
      </c>
      <c r="C996" s="6" t="str">
        <f t="shared" si="66"/>
        <v>0201</v>
      </c>
      <c r="D996" s="6" t="s">
        <v>20</v>
      </c>
      <c r="E996" s="6" t="str">
        <f>"冯华"</f>
        <v>冯华</v>
      </c>
      <c r="F996" s="6" t="str">
        <f t="shared" si="69"/>
        <v>女</v>
      </c>
    </row>
    <row r="997" spans="1:6" ht="30" customHeight="1">
      <c r="A997" s="6">
        <v>995</v>
      </c>
      <c r="B997" s="6" t="str">
        <f>"530020230601114018106469"</f>
        <v>530020230601114018106469</v>
      </c>
      <c r="C997" s="6" t="str">
        <f t="shared" si="66"/>
        <v>0201</v>
      </c>
      <c r="D997" s="6" t="s">
        <v>20</v>
      </c>
      <c r="E997" s="6" t="str">
        <f>"谭雨"</f>
        <v>谭雨</v>
      </c>
      <c r="F997" s="6" t="str">
        <f t="shared" si="69"/>
        <v>女</v>
      </c>
    </row>
    <row r="998" spans="1:6" ht="30" customHeight="1">
      <c r="A998" s="6">
        <v>996</v>
      </c>
      <c r="B998" s="6" t="str">
        <f>"530020230601105326106212"</f>
        <v>530020230601105326106212</v>
      </c>
      <c r="C998" s="6" t="str">
        <f t="shared" si="66"/>
        <v>0201</v>
      </c>
      <c r="D998" s="6" t="s">
        <v>20</v>
      </c>
      <c r="E998" s="6" t="str">
        <f>"孟巧渊"</f>
        <v>孟巧渊</v>
      </c>
      <c r="F998" s="6" t="str">
        <f t="shared" si="69"/>
        <v>女</v>
      </c>
    </row>
    <row r="999" spans="1:6" ht="30" customHeight="1">
      <c r="A999" s="6">
        <v>997</v>
      </c>
      <c r="B999" s="6" t="str">
        <f>"530020230601121655106641"</f>
        <v>530020230601121655106641</v>
      </c>
      <c r="C999" s="6" t="str">
        <f t="shared" si="66"/>
        <v>0201</v>
      </c>
      <c r="D999" s="6" t="s">
        <v>20</v>
      </c>
      <c r="E999" s="6" t="str">
        <f>"李盈颖"</f>
        <v>李盈颖</v>
      </c>
      <c r="F999" s="6" t="str">
        <f t="shared" si="69"/>
        <v>女</v>
      </c>
    </row>
    <row r="1000" spans="1:6" ht="30" customHeight="1">
      <c r="A1000" s="6">
        <v>998</v>
      </c>
      <c r="B1000" s="6" t="str">
        <f>"530020230601131037106867"</f>
        <v>530020230601131037106867</v>
      </c>
      <c r="C1000" s="6" t="str">
        <f t="shared" si="66"/>
        <v>0201</v>
      </c>
      <c r="D1000" s="6" t="s">
        <v>20</v>
      </c>
      <c r="E1000" s="6" t="str">
        <f>"林世芳"</f>
        <v>林世芳</v>
      </c>
      <c r="F1000" s="6" t="str">
        <f t="shared" si="69"/>
        <v>女</v>
      </c>
    </row>
    <row r="1001" spans="1:6" ht="30" customHeight="1">
      <c r="A1001" s="6">
        <v>999</v>
      </c>
      <c r="B1001" s="6" t="str">
        <f>"530020230601125559106813"</f>
        <v>530020230601125559106813</v>
      </c>
      <c r="C1001" s="6" t="str">
        <f t="shared" si="66"/>
        <v>0201</v>
      </c>
      <c r="D1001" s="6" t="s">
        <v>20</v>
      </c>
      <c r="E1001" s="6" t="str">
        <f>"许婷瑾"</f>
        <v>许婷瑾</v>
      </c>
      <c r="F1001" s="6" t="str">
        <f t="shared" si="69"/>
        <v>女</v>
      </c>
    </row>
    <row r="1002" spans="1:6" ht="30" customHeight="1">
      <c r="A1002" s="6">
        <v>1000</v>
      </c>
      <c r="B1002" s="6" t="str">
        <f>"530020230601135047106988"</f>
        <v>530020230601135047106988</v>
      </c>
      <c r="C1002" s="6" t="str">
        <f t="shared" si="66"/>
        <v>0201</v>
      </c>
      <c r="D1002" s="6" t="s">
        <v>20</v>
      </c>
      <c r="E1002" s="6" t="str">
        <f>"王永敏"</f>
        <v>王永敏</v>
      </c>
      <c r="F1002" s="6" t="str">
        <f t="shared" si="69"/>
        <v>女</v>
      </c>
    </row>
    <row r="1003" spans="1:6" ht="30" customHeight="1">
      <c r="A1003" s="6">
        <v>1001</v>
      </c>
      <c r="B1003" s="6" t="str">
        <f>"530020230601003407105132"</f>
        <v>530020230601003407105132</v>
      </c>
      <c r="C1003" s="6" t="str">
        <f t="shared" si="66"/>
        <v>0201</v>
      </c>
      <c r="D1003" s="6" t="s">
        <v>20</v>
      </c>
      <c r="E1003" s="6" t="str">
        <f>"杨素贞"</f>
        <v>杨素贞</v>
      </c>
      <c r="F1003" s="6" t="str">
        <f t="shared" si="69"/>
        <v>女</v>
      </c>
    </row>
    <row r="1004" spans="1:6" ht="30" customHeight="1">
      <c r="A1004" s="6">
        <v>1002</v>
      </c>
      <c r="B1004" s="6" t="str">
        <f>"530020230601145231107212"</f>
        <v>530020230601145231107212</v>
      </c>
      <c r="C1004" s="6" t="str">
        <f t="shared" si="66"/>
        <v>0201</v>
      </c>
      <c r="D1004" s="6" t="s">
        <v>20</v>
      </c>
      <c r="E1004" s="6" t="str">
        <f>"张为"</f>
        <v>张为</v>
      </c>
      <c r="F1004" s="6" t="str">
        <f t="shared" si="69"/>
        <v>女</v>
      </c>
    </row>
    <row r="1005" spans="1:6" ht="30" customHeight="1">
      <c r="A1005" s="6">
        <v>1003</v>
      </c>
      <c r="B1005" s="6" t="str">
        <f>"530020230601114715106497"</f>
        <v>530020230601114715106497</v>
      </c>
      <c r="C1005" s="6" t="str">
        <f t="shared" si="66"/>
        <v>0201</v>
      </c>
      <c r="D1005" s="6" t="s">
        <v>20</v>
      </c>
      <c r="E1005" s="6" t="str">
        <f>"王容"</f>
        <v>王容</v>
      </c>
      <c r="F1005" s="6" t="str">
        <f t="shared" si="69"/>
        <v>女</v>
      </c>
    </row>
    <row r="1006" spans="1:6" ht="30" customHeight="1">
      <c r="A1006" s="6">
        <v>1004</v>
      </c>
      <c r="B1006" s="6" t="str">
        <f>"530020230601103854106118"</f>
        <v>530020230601103854106118</v>
      </c>
      <c r="C1006" s="6" t="str">
        <f t="shared" si="66"/>
        <v>0201</v>
      </c>
      <c r="D1006" s="6" t="s">
        <v>20</v>
      </c>
      <c r="E1006" s="6" t="str">
        <f>"符欣"</f>
        <v>符欣</v>
      </c>
      <c r="F1006" s="6" t="str">
        <f t="shared" si="69"/>
        <v>女</v>
      </c>
    </row>
    <row r="1007" spans="1:6" ht="30" customHeight="1">
      <c r="A1007" s="6">
        <v>1005</v>
      </c>
      <c r="B1007" s="6" t="str">
        <f>"530020230601152402107353"</f>
        <v>530020230601152402107353</v>
      </c>
      <c r="C1007" s="6" t="str">
        <f t="shared" si="66"/>
        <v>0201</v>
      </c>
      <c r="D1007" s="6" t="s">
        <v>20</v>
      </c>
      <c r="E1007" s="6" t="str">
        <f>"林哲"</f>
        <v>林哲</v>
      </c>
      <c r="F1007" s="6" t="str">
        <f t="shared" si="69"/>
        <v>女</v>
      </c>
    </row>
    <row r="1008" spans="1:6" ht="30" customHeight="1">
      <c r="A1008" s="6">
        <v>1006</v>
      </c>
      <c r="B1008" s="6" t="str">
        <f>"530020230601155616107504"</f>
        <v>530020230601155616107504</v>
      </c>
      <c r="C1008" s="6" t="str">
        <f t="shared" si="66"/>
        <v>0201</v>
      </c>
      <c r="D1008" s="6" t="s">
        <v>20</v>
      </c>
      <c r="E1008" s="6" t="str">
        <f>"陈雨欣"</f>
        <v>陈雨欣</v>
      </c>
      <c r="F1008" s="6" t="str">
        <f t="shared" si="69"/>
        <v>女</v>
      </c>
    </row>
    <row r="1009" spans="1:6" ht="30" customHeight="1">
      <c r="A1009" s="6">
        <v>1007</v>
      </c>
      <c r="B1009" s="6" t="str">
        <f>"530020230601155541107503"</f>
        <v>530020230601155541107503</v>
      </c>
      <c r="C1009" s="6" t="str">
        <f t="shared" si="66"/>
        <v>0201</v>
      </c>
      <c r="D1009" s="6" t="s">
        <v>20</v>
      </c>
      <c r="E1009" s="6" t="str">
        <f>"李书妹"</f>
        <v>李书妹</v>
      </c>
      <c r="F1009" s="6" t="str">
        <f t="shared" si="69"/>
        <v>女</v>
      </c>
    </row>
    <row r="1010" spans="1:6" ht="30" customHeight="1">
      <c r="A1010" s="6">
        <v>1008</v>
      </c>
      <c r="B1010" s="6" t="str">
        <f>"530020230601162746107644"</f>
        <v>530020230601162746107644</v>
      </c>
      <c r="C1010" s="6" t="str">
        <f t="shared" si="66"/>
        <v>0201</v>
      </c>
      <c r="D1010" s="6" t="s">
        <v>20</v>
      </c>
      <c r="E1010" s="6" t="str">
        <f>"王世韵"</f>
        <v>王世韵</v>
      </c>
      <c r="F1010" s="6" t="str">
        <f t="shared" si="69"/>
        <v>女</v>
      </c>
    </row>
    <row r="1011" spans="1:6" ht="30" customHeight="1">
      <c r="A1011" s="6">
        <v>1009</v>
      </c>
      <c r="B1011" s="6" t="str">
        <f>"530020230601162111107614"</f>
        <v>530020230601162111107614</v>
      </c>
      <c r="C1011" s="6" t="str">
        <f t="shared" si="66"/>
        <v>0201</v>
      </c>
      <c r="D1011" s="6" t="s">
        <v>20</v>
      </c>
      <c r="E1011" s="6" t="str">
        <f>"刘语嫣"</f>
        <v>刘语嫣</v>
      </c>
      <c r="F1011" s="6" t="str">
        <f t="shared" si="69"/>
        <v>女</v>
      </c>
    </row>
    <row r="1012" spans="1:6" ht="30" customHeight="1">
      <c r="A1012" s="6">
        <v>1010</v>
      </c>
      <c r="B1012" s="6" t="str">
        <f>"530020230601142322107084"</f>
        <v>530020230601142322107084</v>
      </c>
      <c r="C1012" s="6" t="str">
        <f t="shared" si="66"/>
        <v>0201</v>
      </c>
      <c r="D1012" s="6" t="s">
        <v>20</v>
      </c>
      <c r="E1012" s="6" t="str">
        <f>"林汉丽"</f>
        <v>林汉丽</v>
      </c>
      <c r="F1012" s="6" t="str">
        <f t="shared" si="69"/>
        <v>女</v>
      </c>
    </row>
    <row r="1013" spans="1:6" ht="30" customHeight="1">
      <c r="A1013" s="6">
        <v>1011</v>
      </c>
      <c r="B1013" s="6" t="str">
        <f>"530020230601120230106575"</f>
        <v>530020230601120230106575</v>
      </c>
      <c r="C1013" s="6" t="str">
        <f t="shared" si="66"/>
        <v>0201</v>
      </c>
      <c r="D1013" s="6" t="s">
        <v>20</v>
      </c>
      <c r="E1013" s="6" t="str">
        <f>"柳婷婷"</f>
        <v>柳婷婷</v>
      </c>
      <c r="F1013" s="6" t="str">
        <f t="shared" si="69"/>
        <v>女</v>
      </c>
    </row>
    <row r="1014" spans="1:6" ht="30" customHeight="1">
      <c r="A1014" s="6">
        <v>1012</v>
      </c>
      <c r="B1014" s="6" t="str">
        <f>"53002023052914480692578"</f>
        <v>53002023052914480692578</v>
      </c>
      <c r="C1014" s="6" t="str">
        <f t="shared" si="66"/>
        <v>0201</v>
      </c>
      <c r="D1014" s="6" t="s">
        <v>20</v>
      </c>
      <c r="E1014" s="6" t="str">
        <f>"赵江停"</f>
        <v>赵江停</v>
      </c>
      <c r="F1014" s="6" t="str">
        <f t="shared" si="69"/>
        <v>女</v>
      </c>
    </row>
    <row r="1015" spans="1:6" ht="30" customHeight="1">
      <c r="A1015" s="6">
        <v>1013</v>
      </c>
      <c r="B1015" s="6" t="str">
        <f>"530020230531162126103612"</f>
        <v>530020230531162126103612</v>
      </c>
      <c r="C1015" s="6" t="str">
        <f t="shared" si="66"/>
        <v>0201</v>
      </c>
      <c r="D1015" s="6" t="s">
        <v>20</v>
      </c>
      <c r="E1015" s="6" t="str">
        <f>"王金峤"</f>
        <v>王金峤</v>
      </c>
      <c r="F1015" s="6" t="str">
        <f t="shared" si="69"/>
        <v>女</v>
      </c>
    </row>
    <row r="1016" spans="1:6" ht="30" customHeight="1">
      <c r="A1016" s="6">
        <v>1014</v>
      </c>
      <c r="B1016" s="6" t="str">
        <f>"530020230531162401103622"</f>
        <v>530020230531162401103622</v>
      </c>
      <c r="C1016" s="6" t="str">
        <f aca="true" t="shared" si="70" ref="C1016:C1079">"0201"</f>
        <v>0201</v>
      </c>
      <c r="D1016" s="6" t="s">
        <v>20</v>
      </c>
      <c r="E1016" s="6" t="str">
        <f>"谭海燕"</f>
        <v>谭海燕</v>
      </c>
      <c r="F1016" s="6" t="str">
        <f t="shared" si="69"/>
        <v>女</v>
      </c>
    </row>
    <row r="1017" spans="1:6" ht="30" customHeight="1">
      <c r="A1017" s="6">
        <v>1015</v>
      </c>
      <c r="B1017" s="6" t="str">
        <f>"530020230601171320107845"</f>
        <v>530020230601171320107845</v>
      </c>
      <c r="C1017" s="6" t="str">
        <f t="shared" si="70"/>
        <v>0201</v>
      </c>
      <c r="D1017" s="6" t="s">
        <v>20</v>
      </c>
      <c r="E1017" s="6" t="str">
        <f>"王小娜"</f>
        <v>王小娜</v>
      </c>
      <c r="F1017" s="6" t="str">
        <f t="shared" si="69"/>
        <v>女</v>
      </c>
    </row>
    <row r="1018" spans="1:6" ht="30" customHeight="1">
      <c r="A1018" s="6">
        <v>1016</v>
      </c>
      <c r="B1018" s="6" t="str">
        <f>"530020230601171300107842"</f>
        <v>530020230601171300107842</v>
      </c>
      <c r="C1018" s="6" t="str">
        <f t="shared" si="70"/>
        <v>0201</v>
      </c>
      <c r="D1018" s="6" t="s">
        <v>20</v>
      </c>
      <c r="E1018" s="6" t="str">
        <f>"陈彦君"</f>
        <v>陈彦君</v>
      </c>
      <c r="F1018" s="6" t="str">
        <f t="shared" si="69"/>
        <v>女</v>
      </c>
    </row>
    <row r="1019" spans="1:6" ht="30" customHeight="1">
      <c r="A1019" s="6">
        <v>1017</v>
      </c>
      <c r="B1019" s="6" t="str">
        <f>"53002023052914100292379"</f>
        <v>53002023052914100292379</v>
      </c>
      <c r="C1019" s="6" t="str">
        <f t="shared" si="70"/>
        <v>0201</v>
      </c>
      <c r="D1019" s="6" t="s">
        <v>20</v>
      </c>
      <c r="E1019" s="6" t="str">
        <f>"杨璐"</f>
        <v>杨璐</v>
      </c>
      <c r="F1019" s="6" t="str">
        <f t="shared" si="69"/>
        <v>女</v>
      </c>
    </row>
    <row r="1020" spans="1:6" ht="30" customHeight="1">
      <c r="A1020" s="6">
        <v>1018</v>
      </c>
      <c r="B1020" s="6" t="str">
        <f>"530020230601172533107895"</f>
        <v>530020230601172533107895</v>
      </c>
      <c r="C1020" s="6" t="str">
        <f t="shared" si="70"/>
        <v>0201</v>
      </c>
      <c r="D1020" s="6" t="s">
        <v>20</v>
      </c>
      <c r="E1020" s="6" t="str">
        <f>"丁丽霞"</f>
        <v>丁丽霞</v>
      </c>
      <c r="F1020" s="6" t="str">
        <f t="shared" si="69"/>
        <v>女</v>
      </c>
    </row>
    <row r="1021" spans="1:6" ht="30" customHeight="1">
      <c r="A1021" s="6">
        <v>1019</v>
      </c>
      <c r="B1021" s="6" t="str">
        <f>"53002023052918395394069"</f>
        <v>53002023052918395394069</v>
      </c>
      <c r="C1021" s="6" t="str">
        <f t="shared" si="70"/>
        <v>0201</v>
      </c>
      <c r="D1021" s="6" t="s">
        <v>20</v>
      </c>
      <c r="E1021" s="6" t="str">
        <f>"郭靓"</f>
        <v>郭靓</v>
      </c>
      <c r="F1021" s="6" t="str">
        <f t="shared" si="69"/>
        <v>女</v>
      </c>
    </row>
    <row r="1022" spans="1:6" ht="30" customHeight="1">
      <c r="A1022" s="6">
        <v>1020</v>
      </c>
      <c r="B1022" s="6" t="str">
        <f>"530020230601180324108018"</f>
        <v>530020230601180324108018</v>
      </c>
      <c r="C1022" s="6" t="str">
        <f t="shared" si="70"/>
        <v>0201</v>
      </c>
      <c r="D1022" s="6" t="s">
        <v>20</v>
      </c>
      <c r="E1022" s="6" t="str">
        <f>"王芸娇"</f>
        <v>王芸娇</v>
      </c>
      <c r="F1022" s="6" t="str">
        <f t="shared" si="69"/>
        <v>女</v>
      </c>
    </row>
    <row r="1023" spans="1:6" ht="30" customHeight="1">
      <c r="A1023" s="6">
        <v>1021</v>
      </c>
      <c r="B1023" s="6" t="str">
        <f>"530020230601181402108050"</f>
        <v>530020230601181402108050</v>
      </c>
      <c r="C1023" s="6" t="str">
        <f t="shared" si="70"/>
        <v>0201</v>
      </c>
      <c r="D1023" s="6" t="s">
        <v>20</v>
      </c>
      <c r="E1023" s="6" t="str">
        <f>"吴瑜"</f>
        <v>吴瑜</v>
      </c>
      <c r="F1023" s="6" t="str">
        <f t="shared" si="69"/>
        <v>女</v>
      </c>
    </row>
    <row r="1024" spans="1:6" ht="30" customHeight="1">
      <c r="A1024" s="6">
        <v>1022</v>
      </c>
      <c r="B1024" s="6" t="str">
        <f>"530020230601170139107795"</f>
        <v>530020230601170139107795</v>
      </c>
      <c r="C1024" s="6" t="str">
        <f t="shared" si="70"/>
        <v>0201</v>
      </c>
      <c r="D1024" s="6" t="s">
        <v>20</v>
      </c>
      <c r="E1024" s="6" t="str">
        <f>"苏文智"</f>
        <v>苏文智</v>
      </c>
      <c r="F1024" s="6" t="str">
        <f t="shared" si="69"/>
        <v>女</v>
      </c>
    </row>
    <row r="1025" spans="1:6" ht="30" customHeight="1">
      <c r="A1025" s="6">
        <v>1023</v>
      </c>
      <c r="B1025" s="6" t="str">
        <f>"530020230601091341105514"</f>
        <v>530020230601091341105514</v>
      </c>
      <c r="C1025" s="6" t="str">
        <f t="shared" si="70"/>
        <v>0201</v>
      </c>
      <c r="D1025" s="6" t="s">
        <v>20</v>
      </c>
      <c r="E1025" s="6" t="str">
        <f>"李波诗"</f>
        <v>李波诗</v>
      </c>
      <c r="F1025" s="6" t="str">
        <f t="shared" si="69"/>
        <v>女</v>
      </c>
    </row>
    <row r="1026" spans="1:6" ht="30" customHeight="1">
      <c r="A1026" s="6">
        <v>1024</v>
      </c>
      <c r="B1026" s="6" t="str">
        <f>"530020230601165738107779"</f>
        <v>530020230601165738107779</v>
      </c>
      <c r="C1026" s="6" t="str">
        <f t="shared" si="70"/>
        <v>0201</v>
      </c>
      <c r="D1026" s="6" t="s">
        <v>20</v>
      </c>
      <c r="E1026" s="6" t="str">
        <f>"郑惠春"</f>
        <v>郑惠春</v>
      </c>
      <c r="F1026" s="6" t="str">
        <f t="shared" si="69"/>
        <v>女</v>
      </c>
    </row>
    <row r="1027" spans="1:6" ht="30" customHeight="1">
      <c r="A1027" s="6">
        <v>1025</v>
      </c>
      <c r="B1027" s="6" t="str">
        <f>"530020230601201024108370"</f>
        <v>530020230601201024108370</v>
      </c>
      <c r="C1027" s="6" t="str">
        <f t="shared" si="70"/>
        <v>0201</v>
      </c>
      <c r="D1027" s="6" t="s">
        <v>20</v>
      </c>
      <c r="E1027" s="6" t="str">
        <f>"陈颖"</f>
        <v>陈颖</v>
      </c>
      <c r="F1027" s="6" t="str">
        <f t="shared" si="69"/>
        <v>女</v>
      </c>
    </row>
    <row r="1028" spans="1:6" ht="30" customHeight="1">
      <c r="A1028" s="6">
        <v>1026</v>
      </c>
      <c r="B1028" s="6" t="str">
        <f>"530020230531231040105013"</f>
        <v>530020230531231040105013</v>
      </c>
      <c r="C1028" s="6" t="str">
        <f t="shared" si="70"/>
        <v>0201</v>
      </c>
      <c r="D1028" s="6" t="s">
        <v>20</v>
      </c>
      <c r="E1028" s="6" t="str">
        <f>"白掌娴"</f>
        <v>白掌娴</v>
      </c>
      <c r="F1028" s="6" t="str">
        <f t="shared" si="69"/>
        <v>女</v>
      </c>
    </row>
    <row r="1029" spans="1:6" ht="30" customHeight="1">
      <c r="A1029" s="6">
        <v>1027</v>
      </c>
      <c r="B1029" s="6" t="str">
        <f>"530020230601201242108377"</f>
        <v>530020230601201242108377</v>
      </c>
      <c r="C1029" s="6" t="str">
        <f t="shared" si="70"/>
        <v>0201</v>
      </c>
      <c r="D1029" s="6" t="s">
        <v>20</v>
      </c>
      <c r="E1029" s="6" t="str">
        <f>"吕孟虹"</f>
        <v>吕孟虹</v>
      </c>
      <c r="F1029" s="6" t="str">
        <f t="shared" si="69"/>
        <v>女</v>
      </c>
    </row>
    <row r="1030" spans="1:6" ht="30" customHeight="1">
      <c r="A1030" s="6">
        <v>1028</v>
      </c>
      <c r="B1030" s="6" t="str">
        <f>"530020230601205533108520"</f>
        <v>530020230601205533108520</v>
      </c>
      <c r="C1030" s="6" t="str">
        <f t="shared" si="70"/>
        <v>0201</v>
      </c>
      <c r="D1030" s="6" t="s">
        <v>20</v>
      </c>
      <c r="E1030" s="6" t="str">
        <f>"任喜芊"</f>
        <v>任喜芊</v>
      </c>
      <c r="F1030" s="6" t="str">
        <f t="shared" si="69"/>
        <v>女</v>
      </c>
    </row>
    <row r="1031" spans="1:6" ht="30" customHeight="1">
      <c r="A1031" s="6">
        <v>1029</v>
      </c>
      <c r="B1031" s="6" t="str">
        <f>"530020230601210930108573"</f>
        <v>530020230601210930108573</v>
      </c>
      <c r="C1031" s="6" t="str">
        <f t="shared" si="70"/>
        <v>0201</v>
      </c>
      <c r="D1031" s="6" t="s">
        <v>20</v>
      </c>
      <c r="E1031" s="6" t="str">
        <f>"莫海媛"</f>
        <v>莫海媛</v>
      </c>
      <c r="F1031" s="6" t="str">
        <f t="shared" si="69"/>
        <v>女</v>
      </c>
    </row>
    <row r="1032" spans="1:6" ht="30" customHeight="1">
      <c r="A1032" s="6">
        <v>1030</v>
      </c>
      <c r="B1032" s="6" t="str">
        <f>"530020230601211720108596"</f>
        <v>530020230601211720108596</v>
      </c>
      <c r="C1032" s="6" t="str">
        <f t="shared" si="70"/>
        <v>0201</v>
      </c>
      <c r="D1032" s="6" t="s">
        <v>20</v>
      </c>
      <c r="E1032" s="6" t="str">
        <f>"林丽洁"</f>
        <v>林丽洁</v>
      </c>
      <c r="F1032" s="6" t="str">
        <f t="shared" si="69"/>
        <v>女</v>
      </c>
    </row>
    <row r="1033" spans="1:6" ht="30" customHeight="1">
      <c r="A1033" s="6">
        <v>1031</v>
      </c>
      <c r="B1033" s="6" t="str">
        <f>"530020230601212741108627"</f>
        <v>530020230601212741108627</v>
      </c>
      <c r="C1033" s="6" t="str">
        <f t="shared" si="70"/>
        <v>0201</v>
      </c>
      <c r="D1033" s="6" t="s">
        <v>20</v>
      </c>
      <c r="E1033" s="6" t="str">
        <f>"羊柳"</f>
        <v>羊柳</v>
      </c>
      <c r="F1033" s="6" t="str">
        <f t="shared" si="69"/>
        <v>女</v>
      </c>
    </row>
    <row r="1034" spans="1:6" ht="30" customHeight="1">
      <c r="A1034" s="6">
        <v>1032</v>
      </c>
      <c r="B1034" s="6" t="str">
        <f>"530020230601194911108312"</f>
        <v>530020230601194911108312</v>
      </c>
      <c r="C1034" s="6" t="str">
        <f t="shared" si="70"/>
        <v>0201</v>
      </c>
      <c r="D1034" s="6" t="s">
        <v>20</v>
      </c>
      <c r="E1034" s="6" t="str">
        <f>"麦雪敏"</f>
        <v>麦雪敏</v>
      </c>
      <c r="F1034" s="6" t="str">
        <f t="shared" si="69"/>
        <v>女</v>
      </c>
    </row>
    <row r="1035" spans="1:6" ht="30" customHeight="1">
      <c r="A1035" s="6">
        <v>1033</v>
      </c>
      <c r="B1035" s="6" t="str">
        <f>"530020230601213559108660"</f>
        <v>530020230601213559108660</v>
      </c>
      <c r="C1035" s="6" t="str">
        <f t="shared" si="70"/>
        <v>0201</v>
      </c>
      <c r="D1035" s="6" t="s">
        <v>20</v>
      </c>
      <c r="E1035" s="6" t="str">
        <f>"李佳敏"</f>
        <v>李佳敏</v>
      </c>
      <c r="F1035" s="6" t="str">
        <f t="shared" si="69"/>
        <v>女</v>
      </c>
    </row>
    <row r="1036" spans="1:6" ht="30" customHeight="1">
      <c r="A1036" s="6">
        <v>1034</v>
      </c>
      <c r="B1036" s="6" t="str">
        <f>"530020230601220737108795"</f>
        <v>530020230601220737108795</v>
      </c>
      <c r="C1036" s="6" t="str">
        <f t="shared" si="70"/>
        <v>0201</v>
      </c>
      <c r="D1036" s="6" t="s">
        <v>20</v>
      </c>
      <c r="E1036" s="6" t="str">
        <f>"文惠"</f>
        <v>文惠</v>
      </c>
      <c r="F1036" s="6" t="str">
        <f t="shared" si="69"/>
        <v>女</v>
      </c>
    </row>
    <row r="1037" spans="1:6" ht="30" customHeight="1">
      <c r="A1037" s="6">
        <v>1035</v>
      </c>
      <c r="B1037" s="6" t="str">
        <f>"530020230601213918108682"</f>
        <v>530020230601213918108682</v>
      </c>
      <c r="C1037" s="6" t="str">
        <f t="shared" si="70"/>
        <v>0201</v>
      </c>
      <c r="D1037" s="6" t="s">
        <v>20</v>
      </c>
      <c r="E1037" s="6" t="str">
        <f>"唐贤丽"</f>
        <v>唐贤丽</v>
      </c>
      <c r="F1037" s="6" t="str">
        <f t="shared" si="69"/>
        <v>女</v>
      </c>
    </row>
    <row r="1038" spans="1:6" ht="30" customHeight="1">
      <c r="A1038" s="6">
        <v>1036</v>
      </c>
      <c r="B1038" s="6" t="str">
        <f>"530020230601215856108754"</f>
        <v>530020230601215856108754</v>
      </c>
      <c r="C1038" s="6" t="str">
        <f t="shared" si="70"/>
        <v>0201</v>
      </c>
      <c r="D1038" s="6" t="s">
        <v>20</v>
      </c>
      <c r="E1038" s="6" t="str">
        <f>"薛贤彩"</f>
        <v>薛贤彩</v>
      </c>
      <c r="F1038" s="6" t="str">
        <f t="shared" si="69"/>
        <v>女</v>
      </c>
    </row>
    <row r="1039" spans="1:6" ht="30" customHeight="1">
      <c r="A1039" s="6">
        <v>1037</v>
      </c>
      <c r="B1039" s="6" t="str">
        <f>"530020230601224643108950"</f>
        <v>530020230601224643108950</v>
      </c>
      <c r="C1039" s="6" t="str">
        <f t="shared" si="70"/>
        <v>0201</v>
      </c>
      <c r="D1039" s="6" t="s">
        <v>20</v>
      </c>
      <c r="E1039" s="6" t="str">
        <f>"苏文静"</f>
        <v>苏文静</v>
      </c>
      <c r="F1039" s="6" t="str">
        <f t="shared" si="69"/>
        <v>女</v>
      </c>
    </row>
    <row r="1040" spans="1:6" ht="30" customHeight="1">
      <c r="A1040" s="6">
        <v>1038</v>
      </c>
      <c r="B1040" s="6" t="str">
        <f>"530020230601224948108957"</f>
        <v>530020230601224948108957</v>
      </c>
      <c r="C1040" s="6" t="str">
        <f t="shared" si="70"/>
        <v>0201</v>
      </c>
      <c r="D1040" s="6" t="s">
        <v>20</v>
      </c>
      <c r="E1040" s="6" t="str">
        <f>"吴飞飞"</f>
        <v>吴飞飞</v>
      </c>
      <c r="F1040" s="6" t="str">
        <f t="shared" si="69"/>
        <v>女</v>
      </c>
    </row>
    <row r="1041" spans="1:6" ht="30" customHeight="1">
      <c r="A1041" s="6">
        <v>1039</v>
      </c>
      <c r="B1041" s="6" t="str">
        <f>"530020230601221229108814"</f>
        <v>530020230601221229108814</v>
      </c>
      <c r="C1041" s="6" t="str">
        <f t="shared" si="70"/>
        <v>0201</v>
      </c>
      <c r="D1041" s="6" t="s">
        <v>20</v>
      </c>
      <c r="E1041" s="6" t="str">
        <f>"陈陆宁"</f>
        <v>陈陆宁</v>
      </c>
      <c r="F1041" s="6" t="str">
        <f t="shared" si="69"/>
        <v>女</v>
      </c>
    </row>
    <row r="1042" spans="1:6" ht="30" customHeight="1">
      <c r="A1042" s="6">
        <v>1040</v>
      </c>
      <c r="B1042" s="6" t="str">
        <f>"530020230601225450108971"</f>
        <v>530020230601225450108971</v>
      </c>
      <c r="C1042" s="6" t="str">
        <f t="shared" si="70"/>
        <v>0201</v>
      </c>
      <c r="D1042" s="6" t="s">
        <v>20</v>
      </c>
      <c r="E1042" s="6" t="str">
        <f>"林芳洪"</f>
        <v>林芳洪</v>
      </c>
      <c r="F1042" s="6" t="str">
        <f t="shared" si="69"/>
        <v>女</v>
      </c>
    </row>
    <row r="1043" spans="1:6" ht="30" customHeight="1">
      <c r="A1043" s="6">
        <v>1041</v>
      </c>
      <c r="B1043" s="6" t="str">
        <f>"530020230601224457108942"</f>
        <v>530020230601224457108942</v>
      </c>
      <c r="C1043" s="6" t="str">
        <f t="shared" si="70"/>
        <v>0201</v>
      </c>
      <c r="D1043" s="6" t="s">
        <v>20</v>
      </c>
      <c r="E1043" s="6" t="str">
        <f>"余珍娟"</f>
        <v>余珍娟</v>
      </c>
      <c r="F1043" s="6" t="str">
        <f t="shared" si="69"/>
        <v>女</v>
      </c>
    </row>
    <row r="1044" spans="1:6" ht="30" customHeight="1">
      <c r="A1044" s="6">
        <v>1042</v>
      </c>
      <c r="B1044" s="6" t="str">
        <f>"530020230601223042108897"</f>
        <v>530020230601223042108897</v>
      </c>
      <c r="C1044" s="6" t="str">
        <f t="shared" si="70"/>
        <v>0201</v>
      </c>
      <c r="D1044" s="6" t="s">
        <v>20</v>
      </c>
      <c r="E1044" s="6" t="str">
        <f>"林小丽"</f>
        <v>林小丽</v>
      </c>
      <c r="F1044" s="6" t="str">
        <f t="shared" si="69"/>
        <v>女</v>
      </c>
    </row>
    <row r="1045" spans="1:6" ht="30" customHeight="1">
      <c r="A1045" s="6">
        <v>1043</v>
      </c>
      <c r="B1045" s="6" t="str">
        <f>"530020230601230413109005"</f>
        <v>530020230601230413109005</v>
      </c>
      <c r="C1045" s="6" t="str">
        <f t="shared" si="70"/>
        <v>0201</v>
      </c>
      <c r="D1045" s="6" t="s">
        <v>20</v>
      </c>
      <c r="E1045" s="6" t="str">
        <f>"李小玉"</f>
        <v>李小玉</v>
      </c>
      <c r="F1045" s="6" t="str">
        <f t="shared" si="69"/>
        <v>女</v>
      </c>
    </row>
    <row r="1046" spans="1:6" ht="30" customHeight="1">
      <c r="A1046" s="6">
        <v>1044</v>
      </c>
      <c r="B1046" s="6" t="str">
        <f>"530020230601230307108996"</f>
        <v>530020230601230307108996</v>
      </c>
      <c r="C1046" s="6" t="str">
        <f t="shared" si="70"/>
        <v>0201</v>
      </c>
      <c r="D1046" s="6" t="s">
        <v>20</v>
      </c>
      <c r="E1046" s="6" t="str">
        <f>"洪杨婵"</f>
        <v>洪杨婵</v>
      </c>
      <c r="F1046" s="6" t="str">
        <f aca="true" t="shared" si="71" ref="F1046:F1052">"女"</f>
        <v>女</v>
      </c>
    </row>
    <row r="1047" spans="1:6" ht="30" customHeight="1">
      <c r="A1047" s="6">
        <v>1045</v>
      </c>
      <c r="B1047" s="6" t="str">
        <f>"530020230601225434108969"</f>
        <v>530020230601225434108969</v>
      </c>
      <c r="C1047" s="6" t="str">
        <f t="shared" si="70"/>
        <v>0201</v>
      </c>
      <c r="D1047" s="6" t="s">
        <v>20</v>
      </c>
      <c r="E1047" s="6" t="str">
        <f>"符芳秀"</f>
        <v>符芳秀</v>
      </c>
      <c r="F1047" s="6" t="str">
        <f t="shared" si="71"/>
        <v>女</v>
      </c>
    </row>
    <row r="1048" spans="1:6" ht="30" customHeight="1">
      <c r="A1048" s="6">
        <v>1046</v>
      </c>
      <c r="B1048" s="6" t="str">
        <f>"530020230601234933109108"</f>
        <v>530020230601234933109108</v>
      </c>
      <c r="C1048" s="6" t="str">
        <f t="shared" si="70"/>
        <v>0201</v>
      </c>
      <c r="D1048" s="6" t="s">
        <v>20</v>
      </c>
      <c r="E1048" s="6" t="str">
        <f>"刘秀萍"</f>
        <v>刘秀萍</v>
      </c>
      <c r="F1048" s="6" t="str">
        <f t="shared" si="71"/>
        <v>女</v>
      </c>
    </row>
    <row r="1049" spans="1:6" ht="30" customHeight="1">
      <c r="A1049" s="6">
        <v>1047</v>
      </c>
      <c r="B1049" s="6" t="str">
        <f>"530020230601132554106913"</f>
        <v>530020230601132554106913</v>
      </c>
      <c r="C1049" s="6" t="str">
        <f t="shared" si="70"/>
        <v>0201</v>
      </c>
      <c r="D1049" s="6" t="s">
        <v>20</v>
      </c>
      <c r="E1049" s="6" t="str">
        <f>"符霖"</f>
        <v>符霖</v>
      </c>
      <c r="F1049" s="6" t="str">
        <f t="shared" si="71"/>
        <v>女</v>
      </c>
    </row>
    <row r="1050" spans="1:6" ht="30" customHeight="1">
      <c r="A1050" s="6">
        <v>1048</v>
      </c>
      <c r="B1050" s="6" t="str">
        <f>"530020230601203416108443"</f>
        <v>530020230601203416108443</v>
      </c>
      <c r="C1050" s="6" t="str">
        <f t="shared" si="70"/>
        <v>0201</v>
      </c>
      <c r="D1050" s="6" t="s">
        <v>20</v>
      </c>
      <c r="E1050" s="6" t="str">
        <f>"林富珊"</f>
        <v>林富珊</v>
      </c>
      <c r="F1050" s="6" t="str">
        <f t="shared" si="71"/>
        <v>女</v>
      </c>
    </row>
    <row r="1051" spans="1:6" ht="30" customHeight="1">
      <c r="A1051" s="6">
        <v>1049</v>
      </c>
      <c r="B1051" s="6" t="str">
        <f>"530020230601093604105668"</f>
        <v>530020230601093604105668</v>
      </c>
      <c r="C1051" s="6" t="str">
        <f t="shared" si="70"/>
        <v>0201</v>
      </c>
      <c r="D1051" s="6" t="s">
        <v>20</v>
      </c>
      <c r="E1051" s="6" t="str">
        <f>"傅卫美"</f>
        <v>傅卫美</v>
      </c>
      <c r="F1051" s="6" t="str">
        <f t="shared" si="71"/>
        <v>女</v>
      </c>
    </row>
    <row r="1052" spans="1:6" ht="30" customHeight="1">
      <c r="A1052" s="6">
        <v>1050</v>
      </c>
      <c r="B1052" s="6" t="str">
        <f>"530020230531195918104360"</f>
        <v>530020230531195918104360</v>
      </c>
      <c r="C1052" s="6" t="str">
        <f t="shared" si="70"/>
        <v>0201</v>
      </c>
      <c r="D1052" s="6" t="s">
        <v>20</v>
      </c>
      <c r="E1052" s="6" t="str">
        <f>"黎缘"</f>
        <v>黎缘</v>
      </c>
      <c r="F1052" s="6" t="str">
        <f t="shared" si="71"/>
        <v>女</v>
      </c>
    </row>
    <row r="1053" spans="1:6" ht="30" customHeight="1">
      <c r="A1053" s="6">
        <v>1051</v>
      </c>
      <c r="B1053" s="6" t="str">
        <f>"53002023052718474485706"</f>
        <v>53002023052718474485706</v>
      </c>
      <c r="C1053" s="6" t="str">
        <f t="shared" si="70"/>
        <v>0201</v>
      </c>
      <c r="D1053" s="6" t="s">
        <v>20</v>
      </c>
      <c r="E1053" s="6" t="str">
        <f>"符丁太"</f>
        <v>符丁太</v>
      </c>
      <c r="F1053" s="6" t="str">
        <f>"男"</f>
        <v>男</v>
      </c>
    </row>
    <row r="1054" spans="1:6" ht="30" customHeight="1">
      <c r="A1054" s="6">
        <v>1052</v>
      </c>
      <c r="B1054" s="6" t="str">
        <f>"530020230601181051108042"</f>
        <v>530020230601181051108042</v>
      </c>
      <c r="C1054" s="6" t="str">
        <f t="shared" si="70"/>
        <v>0201</v>
      </c>
      <c r="D1054" s="6" t="s">
        <v>20</v>
      </c>
      <c r="E1054" s="6" t="str">
        <f>"司雅芬"</f>
        <v>司雅芬</v>
      </c>
      <c r="F1054" s="6" t="str">
        <f aca="true" t="shared" si="72" ref="F1054:F1059">"女"</f>
        <v>女</v>
      </c>
    </row>
    <row r="1055" spans="1:6" ht="30" customHeight="1">
      <c r="A1055" s="6">
        <v>1053</v>
      </c>
      <c r="B1055" s="6" t="str">
        <f>"530020230601133723106957"</f>
        <v>530020230601133723106957</v>
      </c>
      <c r="C1055" s="6" t="str">
        <f t="shared" si="70"/>
        <v>0201</v>
      </c>
      <c r="D1055" s="6" t="s">
        <v>20</v>
      </c>
      <c r="E1055" s="6" t="str">
        <f>"符美云"</f>
        <v>符美云</v>
      </c>
      <c r="F1055" s="6" t="str">
        <f t="shared" si="72"/>
        <v>女</v>
      </c>
    </row>
    <row r="1056" spans="1:6" ht="30" customHeight="1">
      <c r="A1056" s="6">
        <v>1054</v>
      </c>
      <c r="B1056" s="6" t="str">
        <f>"530020230601213911108679"</f>
        <v>530020230601213911108679</v>
      </c>
      <c r="C1056" s="6" t="str">
        <f t="shared" si="70"/>
        <v>0201</v>
      </c>
      <c r="D1056" s="6" t="s">
        <v>20</v>
      </c>
      <c r="E1056" s="6" t="str">
        <f>"王佳佳"</f>
        <v>王佳佳</v>
      </c>
      <c r="F1056" s="6" t="str">
        <f t="shared" si="72"/>
        <v>女</v>
      </c>
    </row>
    <row r="1057" spans="1:6" ht="30" customHeight="1">
      <c r="A1057" s="6">
        <v>1055</v>
      </c>
      <c r="B1057" s="6" t="str">
        <f>"530020230602002015109164"</f>
        <v>530020230602002015109164</v>
      </c>
      <c r="C1057" s="6" t="str">
        <f t="shared" si="70"/>
        <v>0201</v>
      </c>
      <c r="D1057" s="6" t="s">
        <v>20</v>
      </c>
      <c r="E1057" s="6" t="str">
        <f>"谢应翠"</f>
        <v>谢应翠</v>
      </c>
      <c r="F1057" s="6" t="str">
        <f t="shared" si="72"/>
        <v>女</v>
      </c>
    </row>
    <row r="1058" spans="1:6" ht="30" customHeight="1">
      <c r="A1058" s="6">
        <v>1056</v>
      </c>
      <c r="B1058" s="6" t="str">
        <f>"530020230602013024109225"</f>
        <v>530020230602013024109225</v>
      </c>
      <c r="C1058" s="6" t="str">
        <f t="shared" si="70"/>
        <v>0201</v>
      </c>
      <c r="D1058" s="6" t="s">
        <v>20</v>
      </c>
      <c r="E1058" s="6" t="str">
        <f>"赵菊瑞"</f>
        <v>赵菊瑞</v>
      </c>
      <c r="F1058" s="6" t="str">
        <f t="shared" si="72"/>
        <v>女</v>
      </c>
    </row>
    <row r="1059" spans="1:6" ht="30" customHeight="1">
      <c r="A1059" s="6">
        <v>1057</v>
      </c>
      <c r="B1059" s="6" t="str">
        <f>"530020230531234801105077"</f>
        <v>530020230531234801105077</v>
      </c>
      <c r="C1059" s="6" t="str">
        <f t="shared" si="70"/>
        <v>0201</v>
      </c>
      <c r="D1059" s="6" t="s">
        <v>20</v>
      </c>
      <c r="E1059" s="6" t="str">
        <f>"符秋春"</f>
        <v>符秋春</v>
      </c>
      <c r="F1059" s="6" t="str">
        <f t="shared" si="72"/>
        <v>女</v>
      </c>
    </row>
    <row r="1060" spans="1:6" ht="30" customHeight="1">
      <c r="A1060" s="6">
        <v>1058</v>
      </c>
      <c r="B1060" s="6" t="str">
        <f>"530020230601014530105172"</f>
        <v>530020230601014530105172</v>
      </c>
      <c r="C1060" s="6" t="str">
        <f t="shared" si="70"/>
        <v>0201</v>
      </c>
      <c r="D1060" s="6" t="s">
        <v>20</v>
      </c>
      <c r="E1060" s="6" t="str">
        <f>"张艺"</f>
        <v>张艺</v>
      </c>
      <c r="F1060" s="6" t="str">
        <f>"男"</f>
        <v>男</v>
      </c>
    </row>
    <row r="1061" spans="1:6" ht="30" customHeight="1">
      <c r="A1061" s="6">
        <v>1059</v>
      </c>
      <c r="B1061" s="6" t="str">
        <f>"530020230601071352105201"</f>
        <v>530020230601071352105201</v>
      </c>
      <c r="C1061" s="6" t="str">
        <f t="shared" si="70"/>
        <v>0201</v>
      </c>
      <c r="D1061" s="6" t="s">
        <v>20</v>
      </c>
      <c r="E1061" s="6" t="str">
        <f>"何萃婷"</f>
        <v>何萃婷</v>
      </c>
      <c r="F1061" s="6" t="str">
        <f aca="true" t="shared" si="73" ref="F1061:F1074">"女"</f>
        <v>女</v>
      </c>
    </row>
    <row r="1062" spans="1:6" ht="30" customHeight="1">
      <c r="A1062" s="6">
        <v>1060</v>
      </c>
      <c r="B1062" s="6" t="str">
        <f>"530020230602085321109432"</f>
        <v>530020230602085321109432</v>
      </c>
      <c r="C1062" s="6" t="str">
        <f t="shared" si="70"/>
        <v>0201</v>
      </c>
      <c r="D1062" s="6" t="s">
        <v>20</v>
      </c>
      <c r="E1062" s="6" t="str">
        <f>"钟慧"</f>
        <v>钟慧</v>
      </c>
      <c r="F1062" s="6" t="str">
        <f t="shared" si="73"/>
        <v>女</v>
      </c>
    </row>
    <row r="1063" spans="1:6" ht="30" customHeight="1">
      <c r="A1063" s="6">
        <v>1061</v>
      </c>
      <c r="B1063" s="6" t="str">
        <f>"53002023053015264898446"</f>
        <v>53002023053015264898446</v>
      </c>
      <c r="C1063" s="6" t="str">
        <f t="shared" si="70"/>
        <v>0201</v>
      </c>
      <c r="D1063" s="6" t="s">
        <v>20</v>
      </c>
      <c r="E1063" s="6" t="str">
        <f>"谢锦芬"</f>
        <v>谢锦芬</v>
      </c>
      <c r="F1063" s="6" t="str">
        <f t="shared" si="73"/>
        <v>女</v>
      </c>
    </row>
    <row r="1064" spans="1:6" ht="30" customHeight="1">
      <c r="A1064" s="6">
        <v>1062</v>
      </c>
      <c r="B1064" s="6" t="str">
        <f>"530020230602091548109510"</f>
        <v>530020230602091548109510</v>
      </c>
      <c r="C1064" s="6" t="str">
        <f t="shared" si="70"/>
        <v>0201</v>
      </c>
      <c r="D1064" s="6" t="s">
        <v>20</v>
      </c>
      <c r="E1064" s="6" t="str">
        <f>"冯珊珊"</f>
        <v>冯珊珊</v>
      </c>
      <c r="F1064" s="6" t="str">
        <f t="shared" si="73"/>
        <v>女</v>
      </c>
    </row>
    <row r="1065" spans="1:6" ht="30" customHeight="1">
      <c r="A1065" s="6">
        <v>1063</v>
      </c>
      <c r="B1065" s="6" t="str">
        <f>"53002023052922113095139"</f>
        <v>53002023052922113095139</v>
      </c>
      <c r="C1065" s="6" t="str">
        <f t="shared" si="70"/>
        <v>0201</v>
      </c>
      <c r="D1065" s="6" t="s">
        <v>20</v>
      </c>
      <c r="E1065" s="6" t="str">
        <f>"冯丽娟"</f>
        <v>冯丽娟</v>
      </c>
      <c r="F1065" s="6" t="str">
        <f t="shared" si="73"/>
        <v>女</v>
      </c>
    </row>
    <row r="1066" spans="1:6" ht="30" customHeight="1">
      <c r="A1066" s="6">
        <v>1064</v>
      </c>
      <c r="B1066" s="6" t="str">
        <f>"530020230531103304102005"</f>
        <v>530020230531103304102005</v>
      </c>
      <c r="C1066" s="6" t="str">
        <f t="shared" si="70"/>
        <v>0201</v>
      </c>
      <c r="D1066" s="6" t="s">
        <v>20</v>
      </c>
      <c r="E1066" s="6" t="str">
        <f>"马蕊"</f>
        <v>马蕊</v>
      </c>
      <c r="F1066" s="6" t="str">
        <f t="shared" si="73"/>
        <v>女</v>
      </c>
    </row>
    <row r="1067" spans="1:6" ht="30" customHeight="1">
      <c r="A1067" s="6">
        <v>1065</v>
      </c>
      <c r="B1067" s="6" t="str">
        <f>"530020230602092312109541"</f>
        <v>530020230602092312109541</v>
      </c>
      <c r="C1067" s="6" t="str">
        <f t="shared" si="70"/>
        <v>0201</v>
      </c>
      <c r="D1067" s="6" t="s">
        <v>20</v>
      </c>
      <c r="E1067" s="6" t="str">
        <f>"李晨龄"</f>
        <v>李晨龄</v>
      </c>
      <c r="F1067" s="6" t="str">
        <f t="shared" si="73"/>
        <v>女</v>
      </c>
    </row>
    <row r="1068" spans="1:6" ht="30" customHeight="1">
      <c r="A1068" s="6">
        <v>1066</v>
      </c>
      <c r="B1068" s="6" t="str">
        <f>"530020230602091337109502"</f>
        <v>530020230602091337109502</v>
      </c>
      <c r="C1068" s="6" t="str">
        <f t="shared" si="70"/>
        <v>0201</v>
      </c>
      <c r="D1068" s="6" t="s">
        <v>20</v>
      </c>
      <c r="E1068" s="6" t="str">
        <f>"陈秋香"</f>
        <v>陈秋香</v>
      </c>
      <c r="F1068" s="6" t="str">
        <f t="shared" si="73"/>
        <v>女</v>
      </c>
    </row>
    <row r="1069" spans="1:6" ht="30" customHeight="1">
      <c r="A1069" s="6">
        <v>1067</v>
      </c>
      <c r="B1069" s="6" t="str">
        <f>"530020230602093010109573"</f>
        <v>530020230602093010109573</v>
      </c>
      <c r="C1069" s="6" t="str">
        <f t="shared" si="70"/>
        <v>0201</v>
      </c>
      <c r="D1069" s="6" t="s">
        <v>20</v>
      </c>
      <c r="E1069" s="6" t="str">
        <f>"潘春洁"</f>
        <v>潘春洁</v>
      </c>
      <c r="F1069" s="6" t="str">
        <f t="shared" si="73"/>
        <v>女</v>
      </c>
    </row>
    <row r="1070" spans="1:6" ht="30" customHeight="1">
      <c r="A1070" s="6">
        <v>1068</v>
      </c>
      <c r="B1070" s="6" t="str">
        <f>"53002023052921523395027"</f>
        <v>53002023052921523395027</v>
      </c>
      <c r="C1070" s="6" t="str">
        <f t="shared" si="70"/>
        <v>0201</v>
      </c>
      <c r="D1070" s="6" t="s">
        <v>20</v>
      </c>
      <c r="E1070" s="6" t="str">
        <f>"吉琳静"</f>
        <v>吉琳静</v>
      </c>
      <c r="F1070" s="6" t="str">
        <f t="shared" si="73"/>
        <v>女</v>
      </c>
    </row>
    <row r="1071" spans="1:6" ht="30" customHeight="1">
      <c r="A1071" s="6">
        <v>1069</v>
      </c>
      <c r="B1071" s="6" t="str">
        <f>"530020230602082431109353"</f>
        <v>530020230602082431109353</v>
      </c>
      <c r="C1071" s="6" t="str">
        <f t="shared" si="70"/>
        <v>0201</v>
      </c>
      <c r="D1071" s="6" t="s">
        <v>20</v>
      </c>
      <c r="E1071" s="6" t="str">
        <f>"王小集"</f>
        <v>王小集</v>
      </c>
      <c r="F1071" s="6" t="str">
        <f t="shared" si="73"/>
        <v>女</v>
      </c>
    </row>
    <row r="1072" spans="1:6" ht="30" customHeight="1">
      <c r="A1072" s="6">
        <v>1070</v>
      </c>
      <c r="B1072" s="6" t="str">
        <f>"530020230602092946109571"</f>
        <v>530020230602092946109571</v>
      </c>
      <c r="C1072" s="6" t="str">
        <f t="shared" si="70"/>
        <v>0201</v>
      </c>
      <c r="D1072" s="6" t="s">
        <v>20</v>
      </c>
      <c r="E1072" s="6" t="str">
        <f>"曾婷"</f>
        <v>曾婷</v>
      </c>
      <c r="F1072" s="6" t="str">
        <f t="shared" si="73"/>
        <v>女</v>
      </c>
    </row>
    <row r="1073" spans="1:6" ht="30" customHeight="1">
      <c r="A1073" s="6">
        <v>1071</v>
      </c>
      <c r="B1073" s="6" t="str">
        <f>"530020230602082356109349"</f>
        <v>530020230602082356109349</v>
      </c>
      <c r="C1073" s="6" t="str">
        <f t="shared" si="70"/>
        <v>0201</v>
      </c>
      <c r="D1073" s="6" t="s">
        <v>20</v>
      </c>
      <c r="E1073" s="6" t="str">
        <f>"张韵迎"</f>
        <v>张韵迎</v>
      </c>
      <c r="F1073" s="6" t="str">
        <f t="shared" si="73"/>
        <v>女</v>
      </c>
    </row>
    <row r="1074" spans="1:6" ht="30" customHeight="1">
      <c r="A1074" s="6">
        <v>1072</v>
      </c>
      <c r="B1074" s="6" t="str">
        <f>"530020230602100337109703"</f>
        <v>530020230602100337109703</v>
      </c>
      <c r="C1074" s="6" t="str">
        <f t="shared" si="70"/>
        <v>0201</v>
      </c>
      <c r="D1074" s="6" t="s">
        <v>20</v>
      </c>
      <c r="E1074" s="6" t="str">
        <f>"陈菊妃"</f>
        <v>陈菊妃</v>
      </c>
      <c r="F1074" s="6" t="str">
        <f t="shared" si="73"/>
        <v>女</v>
      </c>
    </row>
    <row r="1075" spans="1:6" ht="30" customHeight="1">
      <c r="A1075" s="6">
        <v>1073</v>
      </c>
      <c r="B1075" s="6" t="str">
        <f>"530020230602093436109599"</f>
        <v>530020230602093436109599</v>
      </c>
      <c r="C1075" s="6" t="str">
        <f t="shared" si="70"/>
        <v>0201</v>
      </c>
      <c r="D1075" s="6" t="s">
        <v>20</v>
      </c>
      <c r="E1075" s="6" t="str">
        <f>"李柏林"</f>
        <v>李柏林</v>
      </c>
      <c r="F1075" s="6" t="str">
        <f>"男"</f>
        <v>男</v>
      </c>
    </row>
    <row r="1076" spans="1:6" ht="30" customHeight="1">
      <c r="A1076" s="6">
        <v>1074</v>
      </c>
      <c r="B1076" s="6" t="str">
        <f>"530020230602092939109570"</f>
        <v>530020230602092939109570</v>
      </c>
      <c r="C1076" s="6" t="str">
        <f t="shared" si="70"/>
        <v>0201</v>
      </c>
      <c r="D1076" s="6" t="s">
        <v>20</v>
      </c>
      <c r="E1076" s="6" t="str">
        <f>"洪丽美"</f>
        <v>洪丽美</v>
      </c>
      <c r="F1076" s="6" t="str">
        <f aca="true" t="shared" si="74" ref="F1076:F1094">"女"</f>
        <v>女</v>
      </c>
    </row>
    <row r="1077" spans="1:6" ht="30" customHeight="1">
      <c r="A1077" s="6">
        <v>1075</v>
      </c>
      <c r="B1077" s="6" t="str">
        <f>"530020230602102659109807"</f>
        <v>530020230602102659109807</v>
      </c>
      <c r="C1077" s="6" t="str">
        <f t="shared" si="70"/>
        <v>0201</v>
      </c>
      <c r="D1077" s="6" t="s">
        <v>20</v>
      </c>
      <c r="E1077" s="6" t="str">
        <f>"吴文妹"</f>
        <v>吴文妹</v>
      </c>
      <c r="F1077" s="6" t="str">
        <f t="shared" si="74"/>
        <v>女</v>
      </c>
    </row>
    <row r="1078" spans="1:6" ht="30" customHeight="1">
      <c r="A1078" s="6">
        <v>1076</v>
      </c>
      <c r="B1078" s="6" t="str">
        <f>"530020230531161705103589"</f>
        <v>530020230531161705103589</v>
      </c>
      <c r="C1078" s="6" t="str">
        <f t="shared" si="70"/>
        <v>0201</v>
      </c>
      <c r="D1078" s="6" t="s">
        <v>20</v>
      </c>
      <c r="E1078" s="6" t="str">
        <f>"洪丽比"</f>
        <v>洪丽比</v>
      </c>
      <c r="F1078" s="6" t="str">
        <f t="shared" si="74"/>
        <v>女</v>
      </c>
    </row>
    <row r="1079" spans="1:6" ht="30" customHeight="1">
      <c r="A1079" s="6">
        <v>1077</v>
      </c>
      <c r="B1079" s="6" t="str">
        <f>"530020230602101247109744"</f>
        <v>530020230602101247109744</v>
      </c>
      <c r="C1079" s="6" t="str">
        <f t="shared" si="70"/>
        <v>0201</v>
      </c>
      <c r="D1079" s="6" t="s">
        <v>20</v>
      </c>
      <c r="E1079" s="6" t="str">
        <f>"李锦丽"</f>
        <v>李锦丽</v>
      </c>
      <c r="F1079" s="6" t="str">
        <f t="shared" si="74"/>
        <v>女</v>
      </c>
    </row>
    <row r="1080" spans="1:6" ht="30" customHeight="1">
      <c r="A1080" s="6">
        <v>1078</v>
      </c>
      <c r="B1080" s="6" t="str">
        <f>"530020230602102805109812"</f>
        <v>530020230602102805109812</v>
      </c>
      <c r="C1080" s="6" t="str">
        <f aca="true" t="shared" si="75" ref="C1080:C1094">"0201"</f>
        <v>0201</v>
      </c>
      <c r="D1080" s="6" t="s">
        <v>20</v>
      </c>
      <c r="E1080" s="6" t="str">
        <f>"关力坤"</f>
        <v>关力坤</v>
      </c>
      <c r="F1080" s="6" t="str">
        <f t="shared" si="74"/>
        <v>女</v>
      </c>
    </row>
    <row r="1081" spans="1:6" ht="30" customHeight="1">
      <c r="A1081" s="6">
        <v>1079</v>
      </c>
      <c r="B1081" s="6" t="str">
        <f>"530020230602103352109833"</f>
        <v>530020230602103352109833</v>
      </c>
      <c r="C1081" s="6" t="str">
        <f t="shared" si="75"/>
        <v>0201</v>
      </c>
      <c r="D1081" s="6" t="s">
        <v>20</v>
      </c>
      <c r="E1081" s="6" t="str">
        <f>"陈丽萍"</f>
        <v>陈丽萍</v>
      </c>
      <c r="F1081" s="6" t="str">
        <f t="shared" si="74"/>
        <v>女</v>
      </c>
    </row>
    <row r="1082" spans="1:6" ht="30" customHeight="1">
      <c r="A1082" s="6">
        <v>1080</v>
      </c>
      <c r="B1082" s="6" t="str">
        <f>"53002023053017420399297"</f>
        <v>53002023053017420399297</v>
      </c>
      <c r="C1082" s="6" t="str">
        <f t="shared" si="75"/>
        <v>0201</v>
      </c>
      <c r="D1082" s="6" t="s">
        <v>20</v>
      </c>
      <c r="E1082" s="6" t="str">
        <f>"黎"</f>
        <v>黎</v>
      </c>
      <c r="F1082" s="6" t="str">
        <f t="shared" si="74"/>
        <v>女</v>
      </c>
    </row>
    <row r="1083" spans="1:6" ht="30" customHeight="1">
      <c r="A1083" s="6">
        <v>1081</v>
      </c>
      <c r="B1083" s="6" t="str">
        <f>"530020230531121319102573"</f>
        <v>530020230531121319102573</v>
      </c>
      <c r="C1083" s="6" t="str">
        <f t="shared" si="75"/>
        <v>0201</v>
      </c>
      <c r="D1083" s="6" t="s">
        <v>20</v>
      </c>
      <c r="E1083" s="6" t="str">
        <f>"颜唐琳"</f>
        <v>颜唐琳</v>
      </c>
      <c r="F1083" s="6" t="str">
        <f t="shared" si="74"/>
        <v>女</v>
      </c>
    </row>
    <row r="1084" spans="1:6" ht="30" customHeight="1">
      <c r="A1084" s="6">
        <v>1082</v>
      </c>
      <c r="B1084" s="6" t="str">
        <f>"530020230602104703109899"</f>
        <v>530020230602104703109899</v>
      </c>
      <c r="C1084" s="6" t="str">
        <f t="shared" si="75"/>
        <v>0201</v>
      </c>
      <c r="D1084" s="6" t="s">
        <v>20</v>
      </c>
      <c r="E1084" s="6" t="str">
        <f>"黎万霞"</f>
        <v>黎万霞</v>
      </c>
      <c r="F1084" s="6" t="str">
        <f t="shared" si="74"/>
        <v>女</v>
      </c>
    </row>
    <row r="1085" spans="1:6" ht="30" customHeight="1">
      <c r="A1085" s="6">
        <v>1083</v>
      </c>
      <c r="B1085" s="6" t="str">
        <f>"530020230602104848109903"</f>
        <v>530020230602104848109903</v>
      </c>
      <c r="C1085" s="6" t="str">
        <f t="shared" si="75"/>
        <v>0201</v>
      </c>
      <c r="D1085" s="6" t="s">
        <v>20</v>
      </c>
      <c r="E1085" s="6" t="str">
        <f>"黄香坛"</f>
        <v>黄香坛</v>
      </c>
      <c r="F1085" s="6" t="str">
        <f t="shared" si="74"/>
        <v>女</v>
      </c>
    </row>
    <row r="1086" spans="1:6" ht="30" customHeight="1">
      <c r="A1086" s="6">
        <v>1084</v>
      </c>
      <c r="B1086" s="6" t="str">
        <f>"53002023052914244692453"</f>
        <v>53002023052914244692453</v>
      </c>
      <c r="C1086" s="6" t="str">
        <f t="shared" si="75"/>
        <v>0201</v>
      </c>
      <c r="D1086" s="6" t="s">
        <v>20</v>
      </c>
      <c r="E1086" s="6" t="str">
        <f>"林艳"</f>
        <v>林艳</v>
      </c>
      <c r="F1086" s="6" t="str">
        <f t="shared" si="74"/>
        <v>女</v>
      </c>
    </row>
    <row r="1087" spans="1:6" ht="30" customHeight="1">
      <c r="A1087" s="6">
        <v>1085</v>
      </c>
      <c r="B1087" s="6" t="str">
        <f>"530020230602105522109944"</f>
        <v>530020230602105522109944</v>
      </c>
      <c r="C1087" s="6" t="str">
        <f t="shared" si="75"/>
        <v>0201</v>
      </c>
      <c r="D1087" s="6" t="s">
        <v>20</v>
      </c>
      <c r="E1087" s="6" t="str">
        <f>"陈洁"</f>
        <v>陈洁</v>
      </c>
      <c r="F1087" s="6" t="str">
        <f t="shared" si="74"/>
        <v>女</v>
      </c>
    </row>
    <row r="1088" spans="1:6" ht="30" customHeight="1">
      <c r="A1088" s="6">
        <v>1086</v>
      </c>
      <c r="B1088" s="6" t="str">
        <f>"530020230602104812109901"</f>
        <v>530020230602104812109901</v>
      </c>
      <c r="C1088" s="6" t="str">
        <f t="shared" si="75"/>
        <v>0201</v>
      </c>
      <c r="D1088" s="6" t="s">
        <v>20</v>
      </c>
      <c r="E1088" s="6" t="str">
        <f>"王颖"</f>
        <v>王颖</v>
      </c>
      <c r="F1088" s="6" t="str">
        <f t="shared" si="74"/>
        <v>女</v>
      </c>
    </row>
    <row r="1089" spans="1:6" ht="30" customHeight="1">
      <c r="A1089" s="6">
        <v>1087</v>
      </c>
      <c r="B1089" s="6" t="str">
        <f>"53002023052916050493159"</f>
        <v>53002023052916050493159</v>
      </c>
      <c r="C1089" s="6" t="str">
        <f t="shared" si="75"/>
        <v>0201</v>
      </c>
      <c r="D1089" s="6" t="s">
        <v>20</v>
      </c>
      <c r="E1089" s="6" t="str">
        <f>"王小钻"</f>
        <v>王小钻</v>
      </c>
      <c r="F1089" s="6" t="str">
        <f t="shared" si="74"/>
        <v>女</v>
      </c>
    </row>
    <row r="1090" spans="1:6" ht="30" customHeight="1">
      <c r="A1090" s="6">
        <v>1088</v>
      </c>
      <c r="B1090" s="6" t="str">
        <f>"530020230602111547110043"</f>
        <v>530020230602111547110043</v>
      </c>
      <c r="C1090" s="6" t="str">
        <f t="shared" si="75"/>
        <v>0201</v>
      </c>
      <c r="D1090" s="6" t="s">
        <v>20</v>
      </c>
      <c r="E1090" s="6" t="str">
        <f>"唐明怡"</f>
        <v>唐明怡</v>
      </c>
      <c r="F1090" s="6" t="str">
        <f t="shared" si="74"/>
        <v>女</v>
      </c>
    </row>
    <row r="1091" spans="1:6" ht="30" customHeight="1">
      <c r="A1091" s="6">
        <v>1089</v>
      </c>
      <c r="B1091" s="6" t="str">
        <f>"530020230602110747110007"</f>
        <v>530020230602110747110007</v>
      </c>
      <c r="C1091" s="6" t="str">
        <f t="shared" si="75"/>
        <v>0201</v>
      </c>
      <c r="D1091" s="6" t="s">
        <v>20</v>
      </c>
      <c r="E1091" s="6" t="str">
        <f>"霍永倩"</f>
        <v>霍永倩</v>
      </c>
      <c r="F1091" s="6" t="str">
        <f t="shared" si="74"/>
        <v>女</v>
      </c>
    </row>
    <row r="1092" spans="1:6" ht="30" customHeight="1">
      <c r="A1092" s="6">
        <v>1090</v>
      </c>
      <c r="B1092" s="6" t="str">
        <f>"530020230602104921109908"</f>
        <v>530020230602104921109908</v>
      </c>
      <c r="C1092" s="6" t="str">
        <f t="shared" si="75"/>
        <v>0201</v>
      </c>
      <c r="D1092" s="6" t="s">
        <v>20</v>
      </c>
      <c r="E1092" s="6" t="str">
        <f>"容镜希"</f>
        <v>容镜希</v>
      </c>
      <c r="F1092" s="6" t="str">
        <f t="shared" si="74"/>
        <v>女</v>
      </c>
    </row>
    <row r="1093" spans="1:6" ht="30" customHeight="1">
      <c r="A1093" s="6">
        <v>1091</v>
      </c>
      <c r="B1093" s="6" t="str">
        <f>"530020230601162009107607"</f>
        <v>530020230601162009107607</v>
      </c>
      <c r="C1093" s="6" t="str">
        <f t="shared" si="75"/>
        <v>0201</v>
      </c>
      <c r="D1093" s="6" t="s">
        <v>20</v>
      </c>
      <c r="E1093" s="6" t="str">
        <f>"钟周洛"</f>
        <v>钟周洛</v>
      </c>
      <c r="F1093" s="6" t="str">
        <f t="shared" si="74"/>
        <v>女</v>
      </c>
    </row>
    <row r="1094" spans="1:6" ht="30" customHeight="1">
      <c r="A1094" s="6">
        <v>1092</v>
      </c>
      <c r="B1094" s="6" t="str">
        <f>"530020230602110110109985"</f>
        <v>530020230602110110109985</v>
      </c>
      <c r="C1094" s="6" t="str">
        <f t="shared" si="75"/>
        <v>0201</v>
      </c>
      <c r="D1094" s="6" t="s">
        <v>20</v>
      </c>
      <c r="E1094" s="6" t="str">
        <f>"林婧"</f>
        <v>林婧</v>
      </c>
      <c r="F1094" s="6" t="str">
        <f t="shared" si="74"/>
        <v>女</v>
      </c>
    </row>
    <row r="1095" spans="1:6" ht="30" customHeight="1">
      <c r="A1095" s="6">
        <v>1093</v>
      </c>
      <c r="B1095" s="6" t="str">
        <f>"53002023052709411583805"</f>
        <v>53002023052709411583805</v>
      </c>
      <c r="C1095" s="6" t="str">
        <f aca="true" t="shared" si="76" ref="C1095:C1158">"0202"</f>
        <v>0202</v>
      </c>
      <c r="D1095" s="6" t="s">
        <v>21</v>
      </c>
      <c r="E1095" s="6" t="str">
        <f>"邹健峰"</f>
        <v>邹健峰</v>
      </c>
      <c r="F1095" s="6" t="str">
        <f>"男"</f>
        <v>男</v>
      </c>
    </row>
    <row r="1096" spans="1:6" ht="30" customHeight="1">
      <c r="A1096" s="6">
        <v>1094</v>
      </c>
      <c r="B1096" s="6" t="str">
        <f>"53002023052710264084013"</f>
        <v>53002023052710264084013</v>
      </c>
      <c r="C1096" s="6" t="str">
        <f t="shared" si="76"/>
        <v>0202</v>
      </c>
      <c r="D1096" s="6" t="s">
        <v>21</v>
      </c>
      <c r="E1096" s="6" t="str">
        <f>"徐桃来"</f>
        <v>徐桃来</v>
      </c>
      <c r="F1096" s="6" t="str">
        <f>"女"</f>
        <v>女</v>
      </c>
    </row>
    <row r="1097" spans="1:6" ht="30" customHeight="1">
      <c r="A1097" s="6">
        <v>1095</v>
      </c>
      <c r="B1097" s="6" t="str">
        <f>"53002023052711074984198"</f>
        <v>53002023052711074984198</v>
      </c>
      <c r="C1097" s="6" t="str">
        <f t="shared" si="76"/>
        <v>0202</v>
      </c>
      <c r="D1097" s="6" t="s">
        <v>21</v>
      </c>
      <c r="E1097" s="6" t="str">
        <f>"吴振卿"</f>
        <v>吴振卿</v>
      </c>
      <c r="F1097" s="6" t="str">
        <f>"男"</f>
        <v>男</v>
      </c>
    </row>
    <row r="1098" spans="1:6" ht="30" customHeight="1">
      <c r="A1098" s="6">
        <v>1096</v>
      </c>
      <c r="B1098" s="6" t="str">
        <f>"53002023052710242684004"</f>
        <v>53002023052710242684004</v>
      </c>
      <c r="C1098" s="6" t="str">
        <f t="shared" si="76"/>
        <v>0202</v>
      </c>
      <c r="D1098" s="6" t="s">
        <v>21</v>
      </c>
      <c r="E1098" s="6" t="str">
        <f>"林静茹"</f>
        <v>林静茹</v>
      </c>
      <c r="F1098" s="6" t="str">
        <f>"女"</f>
        <v>女</v>
      </c>
    </row>
    <row r="1099" spans="1:6" ht="30" customHeight="1">
      <c r="A1099" s="6">
        <v>1097</v>
      </c>
      <c r="B1099" s="6" t="str">
        <f>"53002023052710045683915"</f>
        <v>53002023052710045683915</v>
      </c>
      <c r="C1099" s="6" t="str">
        <f t="shared" si="76"/>
        <v>0202</v>
      </c>
      <c r="D1099" s="6" t="s">
        <v>21</v>
      </c>
      <c r="E1099" s="6" t="str">
        <f>"黄博夫"</f>
        <v>黄博夫</v>
      </c>
      <c r="F1099" s="6" t="str">
        <f>"男"</f>
        <v>男</v>
      </c>
    </row>
    <row r="1100" spans="1:6" ht="30" customHeight="1">
      <c r="A1100" s="6">
        <v>1098</v>
      </c>
      <c r="B1100" s="6" t="str">
        <f>"53002023052714364484919"</f>
        <v>53002023052714364484919</v>
      </c>
      <c r="C1100" s="6" t="str">
        <f t="shared" si="76"/>
        <v>0202</v>
      </c>
      <c r="D1100" s="6" t="s">
        <v>21</v>
      </c>
      <c r="E1100" s="6" t="str">
        <f>"简天智"</f>
        <v>简天智</v>
      </c>
      <c r="F1100" s="6" t="str">
        <f>"男"</f>
        <v>男</v>
      </c>
    </row>
    <row r="1101" spans="1:6" ht="30" customHeight="1">
      <c r="A1101" s="6">
        <v>1099</v>
      </c>
      <c r="B1101" s="6" t="str">
        <f>"53002023052710121383947"</f>
        <v>53002023052710121383947</v>
      </c>
      <c r="C1101" s="6" t="str">
        <f t="shared" si="76"/>
        <v>0202</v>
      </c>
      <c r="D1101" s="6" t="s">
        <v>21</v>
      </c>
      <c r="E1101" s="6" t="str">
        <f>"符坤璐"</f>
        <v>符坤璐</v>
      </c>
      <c r="F1101" s="6" t="str">
        <f>"女"</f>
        <v>女</v>
      </c>
    </row>
    <row r="1102" spans="1:6" ht="30" customHeight="1">
      <c r="A1102" s="6">
        <v>1100</v>
      </c>
      <c r="B1102" s="6" t="str">
        <f>"53002023052717030285430"</f>
        <v>53002023052717030285430</v>
      </c>
      <c r="C1102" s="6" t="str">
        <f t="shared" si="76"/>
        <v>0202</v>
      </c>
      <c r="D1102" s="6" t="s">
        <v>21</v>
      </c>
      <c r="E1102" s="6" t="str">
        <f>"王萍艳"</f>
        <v>王萍艳</v>
      </c>
      <c r="F1102" s="6" t="str">
        <f>"女"</f>
        <v>女</v>
      </c>
    </row>
    <row r="1103" spans="1:6" ht="30" customHeight="1">
      <c r="A1103" s="6">
        <v>1101</v>
      </c>
      <c r="B1103" s="6" t="str">
        <f>"53002023052717575885602"</f>
        <v>53002023052717575885602</v>
      </c>
      <c r="C1103" s="6" t="str">
        <f t="shared" si="76"/>
        <v>0202</v>
      </c>
      <c r="D1103" s="6" t="s">
        <v>21</v>
      </c>
      <c r="E1103" s="6" t="str">
        <f>"杜传国"</f>
        <v>杜传国</v>
      </c>
      <c r="F1103" s="6" t="str">
        <f>"男"</f>
        <v>男</v>
      </c>
    </row>
    <row r="1104" spans="1:6" ht="30" customHeight="1">
      <c r="A1104" s="6">
        <v>1102</v>
      </c>
      <c r="B1104" s="6" t="str">
        <f>"53002023052718353685676"</f>
        <v>53002023052718353685676</v>
      </c>
      <c r="C1104" s="6" t="str">
        <f t="shared" si="76"/>
        <v>0202</v>
      </c>
      <c r="D1104" s="6" t="s">
        <v>21</v>
      </c>
      <c r="E1104" s="6" t="str">
        <f>"孙睿"</f>
        <v>孙睿</v>
      </c>
      <c r="F1104" s="6" t="str">
        <f>"女"</f>
        <v>女</v>
      </c>
    </row>
    <row r="1105" spans="1:6" ht="30" customHeight="1">
      <c r="A1105" s="6">
        <v>1103</v>
      </c>
      <c r="B1105" s="6" t="str">
        <f>"53002023052718544385732"</f>
        <v>53002023052718544385732</v>
      </c>
      <c r="C1105" s="6" t="str">
        <f t="shared" si="76"/>
        <v>0202</v>
      </c>
      <c r="D1105" s="6" t="s">
        <v>21</v>
      </c>
      <c r="E1105" s="6" t="str">
        <f>"王晶"</f>
        <v>王晶</v>
      </c>
      <c r="F1105" s="6" t="str">
        <f>"女"</f>
        <v>女</v>
      </c>
    </row>
    <row r="1106" spans="1:6" ht="30" customHeight="1">
      <c r="A1106" s="6">
        <v>1104</v>
      </c>
      <c r="B1106" s="6" t="str">
        <f>"53002023052721042386134"</f>
        <v>53002023052721042386134</v>
      </c>
      <c r="C1106" s="6" t="str">
        <f t="shared" si="76"/>
        <v>0202</v>
      </c>
      <c r="D1106" s="6" t="s">
        <v>21</v>
      </c>
      <c r="E1106" s="6" t="str">
        <f>"符文倩"</f>
        <v>符文倩</v>
      </c>
      <c r="F1106" s="6" t="str">
        <f>"女"</f>
        <v>女</v>
      </c>
    </row>
    <row r="1107" spans="1:6" ht="30" customHeight="1">
      <c r="A1107" s="6">
        <v>1105</v>
      </c>
      <c r="B1107" s="6" t="str">
        <f>"53002023052723330786564"</f>
        <v>53002023052723330786564</v>
      </c>
      <c r="C1107" s="6" t="str">
        <f t="shared" si="76"/>
        <v>0202</v>
      </c>
      <c r="D1107" s="6" t="s">
        <v>21</v>
      </c>
      <c r="E1107" s="6" t="str">
        <f>"文高聪"</f>
        <v>文高聪</v>
      </c>
      <c r="F1107" s="6" t="str">
        <f>"男"</f>
        <v>男</v>
      </c>
    </row>
    <row r="1108" spans="1:6" ht="30" customHeight="1">
      <c r="A1108" s="6">
        <v>1106</v>
      </c>
      <c r="B1108" s="6" t="str">
        <f>"53002023052812353787318"</f>
        <v>53002023052812353787318</v>
      </c>
      <c r="C1108" s="6" t="str">
        <f t="shared" si="76"/>
        <v>0202</v>
      </c>
      <c r="D1108" s="6" t="s">
        <v>21</v>
      </c>
      <c r="E1108" s="6" t="str">
        <f>"郭坤女"</f>
        <v>郭坤女</v>
      </c>
      <c r="F1108" s="6" t="str">
        <f>"女"</f>
        <v>女</v>
      </c>
    </row>
    <row r="1109" spans="1:6" ht="30" customHeight="1">
      <c r="A1109" s="6">
        <v>1107</v>
      </c>
      <c r="B1109" s="6" t="str">
        <f>"53002023052813013987403"</f>
        <v>53002023052813013987403</v>
      </c>
      <c r="C1109" s="6" t="str">
        <f t="shared" si="76"/>
        <v>0202</v>
      </c>
      <c r="D1109" s="6" t="s">
        <v>21</v>
      </c>
      <c r="E1109" s="6" t="str">
        <f>"罗琼欣"</f>
        <v>罗琼欣</v>
      </c>
      <c r="F1109" s="6" t="str">
        <f>"女"</f>
        <v>女</v>
      </c>
    </row>
    <row r="1110" spans="1:6" ht="30" customHeight="1">
      <c r="A1110" s="6">
        <v>1108</v>
      </c>
      <c r="B1110" s="6" t="str">
        <f>"53002023052814080487566"</f>
        <v>53002023052814080487566</v>
      </c>
      <c r="C1110" s="6" t="str">
        <f t="shared" si="76"/>
        <v>0202</v>
      </c>
      <c r="D1110" s="6" t="s">
        <v>21</v>
      </c>
      <c r="E1110" s="6" t="str">
        <f>"黄忠贵"</f>
        <v>黄忠贵</v>
      </c>
      <c r="F1110" s="6" t="str">
        <f>"男"</f>
        <v>男</v>
      </c>
    </row>
    <row r="1111" spans="1:6" ht="30" customHeight="1">
      <c r="A1111" s="6">
        <v>1109</v>
      </c>
      <c r="B1111" s="6" t="str">
        <f>"53002023052814551887670"</f>
        <v>53002023052814551887670</v>
      </c>
      <c r="C1111" s="6" t="str">
        <f t="shared" si="76"/>
        <v>0202</v>
      </c>
      <c r="D1111" s="6" t="s">
        <v>21</v>
      </c>
      <c r="E1111" s="6" t="str">
        <f>"吴哲婷"</f>
        <v>吴哲婷</v>
      </c>
      <c r="F1111" s="6" t="str">
        <f>"女"</f>
        <v>女</v>
      </c>
    </row>
    <row r="1112" spans="1:6" ht="30" customHeight="1">
      <c r="A1112" s="6">
        <v>1110</v>
      </c>
      <c r="B1112" s="6" t="str">
        <f>"53002023052815495887815"</f>
        <v>53002023052815495887815</v>
      </c>
      <c r="C1112" s="6" t="str">
        <f t="shared" si="76"/>
        <v>0202</v>
      </c>
      <c r="D1112" s="6" t="s">
        <v>21</v>
      </c>
      <c r="E1112" s="6" t="str">
        <f>"李平旺"</f>
        <v>李平旺</v>
      </c>
      <c r="F1112" s="6" t="str">
        <f>"男"</f>
        <v>男</v>
      </c>
    </row>
    <row r="1113" spans="1:6" ht="30" customHeight="1">
      <c r="A1113" s="6">
        <v>1111</v>
      </c>
      <c r="B1113" s="6" t="str">
        <f>"53002023052816575788023"</f>
        <v>53002023052816575788023</v>
      </c>
      <c r="C1113" s="6" t="str">
        <f t="shared" si="76"/>
        <v>0202</v>
      </c>
      <c r="D1113" s="6" t="s">
        <v>21</v>
      </c>
      <c r="E1113" s="6" t="str">
        <f>"钟林蓉"</f>
        <v>钟林蓉</v>
      </c>
      <c r="F1113" s="6" t="str">
        <f>"女"</f>
        <v>女</v>
      </c>
    </row>
    <row r="1114" spans="1:6" ht="30" customHeight="1">
      <c r="A1114" s="6">
        <v>1112</v>
      </c>
      <c r="B1114" s="6" t="str">
        <f>"53002023052817013588038"</f>
        <v>53002023052817013588038</v>
      </c>
      <c r="C1114" s="6" t="str">
        <f t="shared" si="76"/>
        <v>0202</v>
      </c>
      <c r="D1114" s="6" t="s">
        <v>21</v>
      </c>
      <c r="E1114" s="6" t="str">
        <f>"邓华清"</f>
        <v>邓华清</v>
      </c>
      <c r="F1114" s="6" t="str">
        <f>"女"</f>
        <v>女</v>
      </c>
    </row>
    <row r="1115" spans="1:6" ht="30" customHeight="1">
      <c r="A1115" s="6">
        <v>1113</v>
      </c>
      <c r="B1115" s="6" t="str">
        <f>"53002023052817053988044"</f>
        <v>53002023052817053988044</v>
      </c>
      <c r="C1115" s="6" t="str">
        <f t="shared" si="76"/>
        <v>0202</v>
      </c>
      <c r="D1115" s="6" t="s">
        <v>21</v>
      </c>
      <c r="E1115" s="6" t="str">
        <f>"曾小丽"</f>
        <v>曾小丽</v>
      </c>
      <c r="F1115" s="6" t="str">
        <f>"女"</f>
        <v>女</v>
      </c>
    </row>
    <row r="1116" spans="1:6" ht="30" customHeight="1">
      <c r="A1116" s="6">
        <v>1114</v>
      </c>
      <c r="B1116" s="6" t="str">
        <f>"53002023052818011588296"</f>
        <v>53002023052818011588296</v>
      </c>
      <c r="C1116" s="6" t="str">
        <f t="shared" si="76"/>
        <v>0202</v>
      </c>
      <c r="D1116" s="6" t="s">
        <v>21</v>
      </c>
      <c r="E1116" s="6" t="str">
        <f>"王丽娟"</f>
        <v>王丽娟</v>
      </c>
      <c r="F1116" s="6" t="str">
        <f>"女"</f>
        <v>女</v>
      </c>
    </row>
    <row r="1117" spans="1:6" ht="30" customHeight="1">
      <c r="A1117" s="6">
        <v>1115</v>
      </c>
      <c r="B1117" s="6" t="str">
        <f>"53002023052818542788411"</f>
        <v>53002023052818542788411</v>
      </c>
      <c r="C1117" s="6" t="str">
        <f t="shared" si="76"/>
        <v>0202</v>
      </c>
      <c r="D1117" s="6" t="s">
        <v>21</v>
      </c>
      <c r="E1117" s="6" t="str">
        <f>"李俊德"</f>
        <v>李俊德</v>
      </c>
      <c r="F1117" s="6" t="str">
        <f>"男"</f>
        <v>男</v>
      </c>
    </row>
    <row r="1118" spans="1:6" ht="30" customHeight="1">
      <c r="A1118" s="6">
        <v>1116</v>
      </c>
      <c r="B1118" s="6" t="str">
        <f>"53002023052819043688449"</f>
        <v>53002023052819043688449</v>
      </c>
      <c r="C1118" s="6" t="str">
        <f t="shared" si="76"/>
        <v>0202</v>
      </c>
      <c r="D1118" s="6" t="s">
        <v>21</v>
      </c>
      <c r="E1118" s="6" t="str">
        <f>"李恒"</f>
        <v>李恒</v>
      </c>
      <c r="F1118" s="6" t="str">
        <f>"男"</f>
        <v>男</v>
      </c>
    </row>
    <row r="1119" spans="1:6" ht="30" customHeight="1">
      <c r="A1119" s="6">
        <v>1117</v>
      </c>
      <c r="B1119" s="6" t="str">
        <f>"53002023052819522588565"</f>
        <v>53002023052819522588565</v>
      </c>
      <c r="C1119" s="6" t="str">
        <f t="shared" si="76"/>
        <v>0202</v>
      </c>
      <c r="D1119" s="6" t="s">
        <v>21</v>
      </c>
      <c r="E1119" s="6" t="str">
        <f>"林颖"</f>
        <v>林颖</v>
      </c>
      <c r="F1119" s="6" t="str">
        <f aca="true" t="shared" si="77" ref="F1119:F1125">"女"</f>
        <v>女</v>
      </c>
    </row>
    <row r="1120" spans="1:6" ht="30" customHeight="1">
      <c r="A1120" s="6">
        <v>1118</v>
      </c>
      <c r="B1120" s="6" t="str">
        <f>"53002023052820274688671"</f>
        <v>53002023052820274688671</v>
      </c>
      <c r="C1120" s="6" t="str">
        <f t="shared" si="76"/>
        <v>0202</v>
      </c>
      <c r="D1120" s="6" t="s">
        <v>21</v>
      </c>
      <c r="E1120" s="6" t="str">
        <f>"王晓娜"</f>
        <v>王晓娜</v>
      </c>
      <c r="F1120" s="6" t="str">
        <f t="shared" si="77"/>
        <v>女</v>
      </c>
    </row>
    <row r="1121" spans="1:6" ht="30" customHeight="1">
      <c r="A1121" s="6">
        <v>1119</v>
      </c>
      <c r="B1121" s="6" t="str">
        <f>"53002023052820544888768"</f>
        <v>53002023052820544888768</v>
      </c>
      <c r="C1121" s="6" t="str">
        <f t="shared" si="76"/>
        <v>0202</v>
      </c>
      <c r="D1121" s="6" t="s">
        <v>21</v>
      </c>
      <c r="E1121" s="6" t="str">
        <f>"林海选"</f>
        <v>林海选</v>
      </c>
      <c r="F1121" s="6" t="str">
        <f t="shared" si="77"/>
        <v>女</v>
      </c>
    </row>
    <row r="1122" spans="1:6" ht="30" customHeight="1">
      <c r="A1122" s="6">
        <v>1120</v>
      </c>
      <c r="B1122" s="6" t="str">
        <f>"53002023052821172788842"</f>
        <v>53002023052821172788842</v>
      </c>
      <c r="C1122" s="6" t="str">
        <f t="shared" si="76"/>
        <v>0202</v>
      </c>
      <c r="D1122" s="6" t="s">
        <v>21</v>
      </c>
      <c r="E1122" s="6" t="str">
        <f>"王符姑"</f>
        <v>王符姑</v>
      </c>
      <c r="F1122" s="6" t="str">
        <f t="shared" si="77"/>
        <v>女</v>
      </c>
    </row>
    <row r="1123" spans="1:6" ht="30" customHeight="1">
      <c r="A1123" s="6">
        <v>1121</v>
      </c>
      <c r="B1123" s="6" t="str">
        <f>"53002023052811495887207"</f>
        <v>53002023052811495887207</v>
      </c>
      <c r="C1123" s="6" t="str">
        <f t="shared" si="76"/>
        <v>0202</v>
      </c>
      <c r="D1123" s="6" t="s">
        <v>21</v>
      </c>
      <c r="E1123" s="6" t="str">
        <f>"周美奇"</f>
        <v>周美奇</v>
      </c>
      <c r="F1123" s="6" t="str">
        <f t="shared" si="77"/>
        <v>女</v>
      </c>
    </row>
    <row r="1124" spans="1:6" ht="30" customHeight="1">
      <c r="A1124" s="6">
        <v>1122</v>
      </c>
      <c r="B1124" s="6" t="str">
        <f>"53002023052816174387898"</f>
        <v>53002023052816174387898</v>
      </c>
      <c r="C1124" s="6" t="str">
        <f t="shared" si="76"/>
        <v>0202</v>
      </c>
      <c r="D1124" s="6" t="s">
        <v>21</v>
      </c>
      <c r="E1124" s="6" t="str">
        <f>"吴水丹"</f>
        <v>吴水丹</v>
      </c>
      <c r="F1124" s="6" t="str">
        <f t="shared" si="77"/>
        <v>女</v>
      </c>
    </row>
    <row r="1125" spans="1:6" ht="30" customHeight="1">
      <c r="A1125" s="6">
        <v>1123</v>
      </c>
      <c r="B1125" s="6" t="str">
        <f>"53002023052822502589165"</f>
        <v>53002023052822502589165</v>
      </c>
      <c r="C1125" s="6" t="str">
        <f t="shared" si="76"/>
        <v>0202</v>
      </c>
      <c r="D1125" s="6" t="s">
        <v>21</v>
      </c>
      <c r="E1125" s="6" t="str">
        <f>"谢宾慧"</f>
        <v>谢宾慧</v>
      </c>
      <c r="F1125" s="6" t="str">
        <f t="shared" si="77"/>
        <v>女</v>
      </c>
    </row>
    <row r="1126" spans="1:6" ht="30" customHeight="1">
      <c r="A1126" s="6">
        <v>1124</v>
      </c>
      <c r="B1126" s="6" t="str">
        <f>"53002023052900063889335"</f>
        <v>53002023052900063889335</v>
      </c>
      <c r="C1126" s="6" t="str">
        <f t="shared" si="76"/>
        <v>0202</v>
      </c>
      <c r="D1126" s="6" t="s">
        <v>21</v>
      </c>
      <c r="E1126" s="6" t="str">
        <f>"王业中"</f>
        <v>王业中</v>
      </c>
      <c r="F1126" s="6" t="str">
        <f>"男"</f>
        <v>男</v>
      </c>
    </row>
    <row r="1127" spans="1:6" ht="30" customHeight="1">
      <c r="A1127" s="6">
        <v>1125</v>
      </c>
      <c r="B1127" s="6" t="str">
        <f>"53002023052900470989366"</f>
        <v>53002023052900470989366</v>
      </c>
      <c r="C1127" s="6" t="str">
        <f t="shared" si="76"/>
        <v>0202</v>
      </c>
      <c r="D1127" s="6" t="s">
        <v>21</v>
      </c>
      <c r="E1127" s="6" t="str">
        <f>"郭海丽"</f>
        <v>郭海丽</v>
      </c>
      <c r="F1127" s="6" t="str">
        <f>"女"</f>
        <v>女</v>
      </c>
    </row>
    <row r="1128" spans="1:6" ht="30" customHeight="1">
      <c r="A1128" s="6">
        <v>1126</v>
      </c>
      <c r="B1128" s="6" t="str">
        <f>"53002023052909251690040"</f>
        <v>53002023052909251690040</v>
      </c>
      <c r="C1128" s="6" t="str">
        <f t="shared" si="76"/>
        <v>0202</v>
      </c>
      <c r="D1128" s="6" t="s">
        <v>21</v>
      </c>
      <c r="E1128" s="6" t="str">
        <f>"符秋丽"</f>
        <v>符秋丽</v>
      </c>
      <c r="F1128" s="6" t="str">
        <f>"女"</f>
        <v>女</v>
      </c>
    </row>
    <row r="1129" spans="1:6" ht="30" customHeight="1">
      <c r="A1129" s="6">
        <v>1127</v>
      </c>
      <c r="B1129" s="6" t="str">
        <f>"53002023052909251490039"</f>
        <v>53002023052909251490039</v>
      </c>
      <c r="C1129" s="6" t="str">
        <f t="shared" si="76"/>
        <v>0202</v>
      </c>
      <c r="D1129" s="6" t="s">
        <v>21</v>
      </c>
      <c r="E1129" s="6" t="str">
        <f>"韩林定"</f>
        <v>韩林定</v>
      </c>
      <c r="F1129" s="6" t="str">
        <f>"男"</f>
        <v>男</v>
      </c>
    </row>
    <row r="1130" spans="1:6" ht="30" customHeight="1">
      <c r="A1130" s="6">
        <v>1128</v>
      </c>
      <c r="B1130" s="6" t="str">
        <f>"53002023052910172490652"</f>
        <v>53002023052910172490652</v>
      </c>
      <c r="C1130" s="6" t="str">
        <f t="shared" si="76"/>
        <v>0202</v>
      </c>
      <c r="D1130" s="6" t="s">
        <v>21</v>
      </c>
      <c r="E1130" s="6" t="str">
        <f>"王一云"</f>
        <v>王一云</v>
      </c>
      <c r="F1130" s="6" t="str">
        <f>"女"</f>
        <v>女</v>
      </c>
    </row>
    <row r="1131" spans="1:6" ht="30" customHeight="1">
      <c r="A1131" s="6">
        <v>1129</v>
      </c>
      <c r="B1131" s="6" t="str">
        <f>"53002023052910344190843"</f>
        <v>53002023052910344190843</v>
      </c>
      <c r="C1131" s="6" t="str">
        <f t="shared" si="76"/>
        <v>0202</v>
      </c>
      <c r="D1131" s="6" t="s">
        <v>21</v>
      </c>
      <c r="E1131" s="6" t="str">
        <f>"朱金丽"</f>
        <v>朱金丽</v>
      </c>
      <c r="F1131" s="6" t="str">
        <f>"女"</f>
        <v>女</v>
      </c>
    </row>
    <row r="1132" spans="1:6" ht="30" customHeight="1">
      <c r="A1132" s="6">
        <v>1130</v>
      </c>
      <c r="B1132" s="6" t="str">
        <f>"53002023052909522790349"</f>
        <v>53002023052909522790349</v>
      </c>
      <c r="C1132" s="6" t="str">
        <f t="shared" si="76"/>
        <v>0202</v>
      </c>
      <c r="D1132" s="6" t="s">
        <v>21</v>
      </c>
      <c r="E1132" s="6" t="str">
        <f>"符耀芬"</f>
        <v>符耀芬</v>
      </c>
      <c r="F1132" s="6" t="str">
        <f>"女"</f>
        <v>女</v>
      </c>
    </row>
    <row r="1133" spans="1:6" ht="30" customHeight="1">
      <c r="A1133" s="6">
        <v>1131</v>
      </c>
      <c r="B1133" s="6" t="str">
        <f>"53002023052910403490920"</f>
        <v>53002023052910403490920</v>
      </c>
      <c r="C1133" s="6" t="str">
        <f t="shared" si="76"/>
        <v>0202</v>
      </c>
      <c r="D1133" s="6" t="s">
        <v>21</v>
      </c>
      <c r="E1133" s="6" t="str">
        <f>"陈家钰"</f>
        <v>陈家钰</v>
      </c>
      <c r="F1133" s="6" t="str">
        <f>"女"</f>
        <v>女</v>
      </c>
    </row>
    <row r="1134" spans="1:6" ht="30" customHeight="1">
      <c r="A1134" s="6">
        <v>1132</v>
      </c>
      <c r="B1134" s="6" t="str">
        <f>"53002023052911184491297"</f>
        <v>53002023052911184491297</v>
      </c>
      <c r="C1134" s="6" t="str">
        <f t="shared" si="76"/>
        <v>0202</v>
      </c>
      <c r="D1134" s="6" t="s">
        <v>21</v>
      </c>
      <c r="E1134" s="6" t="str">
        <f>"陈余英"</f>
        <v>陈余英</v>
      </c>
      <c r="F1134" s="6" t="str">
        <f>"女"</f>
        <v>女</v>
      </c>
    </row>
    <row r="1135" spans="1:6" ht="30" customHeight="1">
      <c r="A1135" s="6">
        <v>1133</v>
      </c>
      <c r="B1135" s="6" t="str">
        <f>"53002023052821500888961"</f>
        <v>53002023052821500888961</v>
      </c>
      <c r="C1135" s="6" t="str">
        <f t="shared" si="76"/>
        <v>0202</v>
      </c>
      <c r="D1135" s="6" t="s">
        <v>21</v>
      </c>
      <c r="E1135" s="6" t="str">
        <f>"李拔培"</f>
        <v>李拔培</v>
      </c>
      <c r="F1135" s="6" t="str">
        <f>"男"</f>
        <v>男</v>
      </c>
    </row>
    <row r="1136" spans="1:6" ht="30" customHeight="1">
      <c r="A1136" s="6">
        <v>1134</v>
      </c>
      <c r="B1136" s="6" t="str">
        <f>"53002023052911460891511"</f>
        <v>53002023052911460891511</v>
      </c>
      <c r="C1136" s="6" t="str">
        <f t="shared" si="76"/>
        <v>0202</v>
      </c>
      <c r="D1136" s="6" t="s">
        <v>21</v>
      </c>
      <c r="E1136" s="6" t="str">
        <f>"王晓倩"</f>
        <v>王晓倩</v>
      </c>
      <c r="F1136" s="6" t="str">
        <f aca="true" t="shared" si="78" ref="F1136:F1143">"女"</f>
        <v>女</v>
      </c>
    </row>
    <row r="1137" spans="1:6" ht="30" customHeight="1">
      <c r="A1137" s="6">
        <v>1135</v>
      </c>
      <c r="B1137" s="6" t="str">
        <f>"53002023052912131291736"</f>
        <v>53002023052912131291736</v>
      </c>
      <c r="C1137" s="6" t="str">
        <f t="shared" si="76"/>
        <v>0202</v>
      </c>
      <c r="D1137" s="6" t="s">
        <v>21</v>
      </c>
      <c r="E1137" s="6" t="str">
        <f>"陈丽莹"</f>
        <v>陈丽莹</v>
      </c>
      <c r="F1137" s="6" t="str">
        <f t="shared" si="78"/>
        <v>女</v>
      </c>
    </row>
    <row r="1138" spans="1:6" ht="30" customHeight="1">
      <c r="A1138" s="6">
        <v>1136</v>
      </c>
      <c r="B1138" s="6" t="str">
        <f>"53002023052911522891571"</f>
        <v>53002023052911522891571</v>
      </c>
      <c r="C1138" s="6" t="str">
        <f t="shared" si="76"/>
        <v>0202</v>
      </c>
      <c r="D1138" s="6" t="s">
        <v>21</v>
      </c>
      <c r="E1138" s="6" t="str">
        <f>"田玉玲"</f>
        <v>田玉玲</v>
      </c>
      <c r="F1138" s="6" t="str">
        <f t="shared" si="78"/>
        <v>女</v>
      </c>
    </row>
    <row r="1139" spans="1:6" ht="30" customHeight="1">
      <c r="A1139" s="6">
        <v>1137</v>
      </c>
      <c r="B1139" s="6" t="str">
        <f>"53002023052911482191538"</f>
        <v>53002023052911482191538</v>
      </c>
      <c r="C1139" s="6" t="str">
        <f t="shared" si="76"/>
        <v>0202</v>
      </c>
      <c r="D1139" s="6" t="s">
        <v>21</v>
      </c>
      <c r="E1139" s="6" t="str">
        <f>"张雯昕"</f>
        <v>张雯昕</v>
      </c>
      <c r="F1139" s="6" t="str">
        <f t="shared" si="78"/>
        <v>女</v>
      </c>
    </row>
    <row r="1140" spans="1:6" ht="30" customHeight="1">
      <c r="A1140" s="6">
        <v>1138</v>
      </c>
      <c r="B1140" s="6" t="str">
        <f>"53002023052912334791862"</f>
        <v>53002023052912334791862</v>
      </c>
      <c r="C1140" s="6" t="str">
        <f t="shared" si="76"/>
        <v>0202</v>
      </c>
      <c r="D1140" s="6" t="s">
        <v>21</v>
      </c>
      <c r="E1140" s="6" t="str">
        <f>"陈小冬"</f>
        <v>陈小冬</v>
      </c>
      <c r="F1140" s="6" t="str">
        <f t="shared" si="78"/>
        <v>女</v>
      </c>
    </row>
    <row r="1141" spans="1:6" ht="30" customHeight="1">
      <c r="A1141" s="6">
        <v>1139</v>
      </c>
      <c r="B1141" s="6" t="str">
        <f>"53002023052912140791740"</f>
        <v>53002023052912140791740</v>
      </c>
      <c r="C1141" s="6" t="str">
        <f t="shared" si="76"/>
        <v>0202</v>
      </c>
      <c r="D1141" s="6" t="s">
        <v>21</v>
      </c>
      <c r="E1141" s="6" t="str">
        <f>"曹静依"</f>
        <v>曹静依</v>
      </c>
      <c r="F1141" s="6" t="str">
        <f t="shared" si="78"/>
        <v>女</v>
      </c>
    </row>
    <row r="1142" spans="1:6" ht="30" customHeight="1">
      <c r="A1142" s="6">
        <v>1140</v>
      </c>
      <c r="B1142" s="6" t="str">
        <f>"53002023052913284892196"</f>
        <v>53002023052913284892196</v>
      </c>
      <c r="C1142" s="6" t="str">
        <f t="shared" si="76"/>
        <v>0202</v>
      </c>
      <c r="D1142" s="6" t="s">
        <v>21</v>
      </c>
      <c r="E1142" s="6" t="str">
        <f>"李倩"</f>
        <v>李倩</v>
      </c>
      <c r="F1142" s="6" t="str">
        <f t="shared" si="78"/>
        <v>女</v>
      </c>
    </row>
    <row r="1143" spans="1:6" ht="30" customHeight="1">
      <c r="A1143" s="6">
        <v>1141</v>
      </c>
      <c r="B1143" s="6" t="str">
        <f>"53002023052915172092782"</f>
        <v>53002023052915172092782</v>
      </c>
      <c r="C1143" s="6" t="str">
        <f t="shared" si="76"/>
        <v>0202</v>
      </c>
      <c r="D1143" s="6" t="s">
        <v>21</v>
      </c>
      <c r="E1143" s="6" t="str">
        <f>"苏元丽"</f>
        <v>苏元丽</v>
      </c>
      <c r="F1143" s="6" t="str">
        <f t="shared" si="78"/>
        <v>女</v>
      </c>
    </row>
    <row r="1144" spans="1:6" ht="30" customHeight="1">
      <c r="A1144" s="6">
        <v>1142</v>
      </c>
      <c r="B1144" s="6" t="str">
        <f>"53002023052819245788502"</f>
        <v>53002023052819245788502</v>
      </c>
      <c r="C1144" s="6" t="str">
        <f t="shared" si="76"/>
        <v>0202</v>
      </c>
      <c r="D1144" s="6" t="s">
        <v>21</v>
      </c>
      <c r="E1144" s="6" t="str">
        <f>"黄光森"</f>
        <v>黄光森</v>
      </c>
      <c r="F1144" s="6" t="str">
        <f>"男"</f>
        <v>男</v>
      </c>
    </row>
    <row r="1145" spans="1:6" ht="30" customHeight="1">
      <c r="A1145" s="6">
        <v>1143</v>
      </c>
      <c r="B1145" s="6" t="str">
        <f>"53002023052915402092965"</f>
        <v>53002023052915402092965</v>
      </c>
      <c r="C1145" s="6" t="str">
        <f t="shared" si="76"/>
        <v>0202</v>
      </c>
      <c r="D1145" s="6" t="s">
        <v>21</v>
      </c>
      <c r="E1145" s="6" t="str">
        <f>"黄方"</f>
        <v>黄方</v>
      </c>
      <c r="F1145" s="6" t="str">
        <f aca="true" t="shared" si="79" ref="F1145:F1151">"女"</f>
        <v>女</v>
      </c>
    </row>
    <row r="1146" spans="1:6" ht="30" customHeight="1">
      <c r="A1146" s="6">
        <v>1144</v>
      </c>
      <c r="B1146" s="6" t="str">
        <f>"53002023052916540993528"</f>
        <v>53002023052916540993528</v>
      </c>
      <c r="C1146" s="6" t="str">
        <f t="shared" si="76"/>
        <v>0202</v>
      </c>
      <c r="D1146" s="6" t="s">
        <v>21</v>
      </c>
      <c r="E1146" s="6" t="str">
        <f>"蔡春梅"</f>
        <v>蔡春梅</v>
      </c>
      <c r="F1146" s="6" t="str">
        <f t="shared" si="79"/>
        <v>女</v>
      </c>
    </row>
    <row r="1147" spans="1:6" ht="30" customHeight="1">
      <c r="A1147" s="6">
        <v>1145</v>
      </c>
      <c r="B1147" s="6" t="str">
        <f>"53002023052918013993892"</f>
        <v>53002023052918013993892</v>
      </c>
      <c r="C1147" s="6" t="str">
        <f t="shared" si="76"/>
        <v>0202</v>
      </c>
      <c r="D1147" s="6" t="s">
        <v>21</v>
      </c>
      <c r="E1147" s="6" t="str">
        <f>"文凤甜"</f>
        <v>文凤甜</v>
      </c>
      <c r="F1147" s="6" t="str">
        <f t="shared" si="79"/>
        <v>女</v>
      </c>
    </row>
    <row r="1148" spans="1:6" ht="30" customHeight="1">
      <c r="A1148" s="6">
        <v>1146</v>
      </c>
      <c r="B1148" s="6" t="str">
        <f>"53002023052918381794058"</f>
        <v>53002023052918381794058</v>
      </c>
      <c r="C1148" s="6" t="str">
        <f t="shared" si="76"/>
        <v>0202</v>
      </c>
      <c r="D1148" s="6" t="s">
        <v>21</v>
      </c>
      <c r="E1148" s="6" t="str">
        <f>"曾秀燕"</f>
        <v>曾秀燕</v>
      </c>
      <c r="F1148" s="6" t="str">
        <f t="shared" si="79"/>
        <v>女</v>
      </c>
    </row>
    <row r="1149" spans="1:6" ht="30" customHeight="1">
      <c r="A1149" s="6">
        <v>1147</v>
      </c>
      <c r="B1149" s="6" t="str">
        <f>"53002023052919171394206"</f>
        <v>53002023052919171394206</v>
      </c>
      <c r="C1149" s="6" t="str">
        <f t="shared" si="76"/>
        <v>0202</v>
      </c>
      <c r="D1149" s="6" t="s">
        <v>21</v>
      </c>
      <c r="E1149" s="6" t="str">
        <f>"万书萍"</f>
        <v>万书萍</v>
      </c>
      <c r="F1149" s="6" t="str">
        <f t="shared" si="79"/>
        <v>女</v>
      </c>
    </row>
    <row r="1150" spans="1:6" ht="30" customHeight="1">
      <c r="A1150" s="6">
        <v>1148</v>
      </c>
      <c r="B1150" s="6" t="str">
        <f>"53002023052918480494101"</f>
        <v>53002023052918480494101</v>
      </c>
      <c r="C1150" s="6" t="str">
        <f t="shared" si="76"/>
        <v>0202</v>
      </c>
      <c r="D1150" s="6" t="s">
        <v>21</v>
      </c>
      <c r="E1150" s="6" t="str">
        <f>"徐敏"</f>
        <v>徐敏</v>
      </c>
      <c r="F1150" s="6" t="str">
        <f t="shared" si="79"/>
        <v>女</v>
      </c>
    </row>
    <row r="1151" spans="1:6" ht="30" customHeight="1">
      <c r="A1151" s="6">
        <v>1149</v>
      </c>
      <c r="B1151" s="6" t="str">
        <f>"53002023052917581493882"</f>
        <v>53002023052917581493882</v>
      </c>
      <c r="C1151" s="6" t="str">
        <f t="shared" si="76"/>
        <v>0202</v>
      </c>
      <c r="D1151" s="6" t="s">
        <v>21</v>
      </c>
      <c r="E1151" s="6" t="str">
        <f>"黄镜泽"</f>
        <v>黄镜泽</v>
      </c>
      <c r="F1151" s="6" t="str">
        <f t="shared" si="79"/>
        <v>女</v>
      </c>
    </row>
    <row r="1152" spans="1:6" ht="30" customHeight="1">
      <c r="A1152" s="6">
        <v>1150</v>
      </c>
      <c r="B1152" s="6" t="str">
        <f>"53002023052823290789268"</f>
        <v>53002023052823290789268</v>
      </c>
      <c r="C1152" s="6" t="str">
        <f t="shared" si="76"/>
        <v>0202</v>
      </c>
      <c r="D1152" s="6" t="s">
        <v>21</v>
      </c>
      <c r="E1152" s="6" t="str">
        <f>"曾令嘉"</f>
        <v>曾令嘉</v>
      </c>
      <c r="F1152" s="6" t="str">
        <f>"男"</f>
        <v>男</v>
      </c>
    </row>
    <row r="1153" spans="1:6" ht="30" customHeight="1">
      <c r="A1153" s="6">
        <v>1151</v>
      </c>
      <c r="B1153" s="6" t="str">
        <f>"53002023052920301394550"</f>
        <v>53002023052920301394550</v>
      </c>
      <c r="C1153" s="6" t="str">
        <f t="shared" si="76"/>
        <v>0202</v>
      </c>
      <c r="D1153" s="6" t="s">
        <v>21</v>
      </c>
      <c r="E1153" s="6" t="str">
        <f>"黄美柳"</f>
        <v>黄美柳</v>
      </c>
      <c r="F1153" s="6" t="str">
        <f>"女"</f>
        <v>女</v>
      </c>
    </row>
    <row r="1154" spans="1:6" ht="30" customHeight="1">
      <c r="A1154" s="6">
        <v>1152</v>
      </c>
      <c r="B1154" s="6" t="str">
        <f>"53002023052720024185930"</f>
        <v>53002023052720024185930</v>
      </c>
      <c r="C1154" s="6" t="str">
        <f t="shared" si="76"/>
        <v>0202</v>
      </c>
      <c r="D1154" s="6" t="s">
        <v>21</v>
      </c>
      <c r="E1154" s="6" t="str">
        <f>"曾根生"</f>
        <v>曾根生</v>
      </c>
      <c r="F1154" s="6" t="str">
        <f>"男"</f>
        <v>男</v>
      </c>
    </row>
    <row r="1155" spans="1:6" ht="30" customHeight="1">
      <c r="A1155" s="6">
        <v>1153</v>
      </c>
      <c r="B1155" s="6" t="str">
        <f>"53002023052921120294787"</f>
        <v>53002023052921120294787</v>
      </c>
      <c r="C1155" s="6" t="str">
        <f t="shared" si="76"/>
        <v>0202</v>
      </c>
      <c r="D1155" s="6" t="s">
        <v>21</v>
      </c>
      <c r="E1155" s="6" t="str">
        <f>"王巧梅"</f>
        <v>王巧梅</v>
      </c>
      <c r="F1155" s="6" t="str">
        <f aca="true" t="shared" si="80" ref="F1155:F1161">"女"</f>
        <v>女</v>
      </c>
    </row>
    <row r="1156" spans="1:6" ht="30" customHeight="1">
      <c r="A1156" s="6">
        <v>1154</v>
      </c>
      <c r="B1156" s="6" t="str">
        <f>"53002023052921285094883"</f>
        <v>53002023052921285094883</v>
      </c>
      <c r="C1156" s="6" t="str">
        <f t="shared" si="76"/>
        <v>0202</v>
      </c>
      <c r="D1156" s="6" t="s">
        <v>21</v>
      </c>
      <c r="E1156" s="6" t="str">
        <f>"邢琛琛"</f>
        <v>邢琛琛</v>
      </c>
      <c r="F1156" s="6" t="str">
        <f t="shared" si="80"/>
        <v>女</v>
      </c>
    </row>
    <row r="1157" spans="1:6" ht="30" customHeight="1">
      <c r="A1157" s="6">
        <v>1155</v>
      </c>
      <c r="B1157" s="6" t="str">
        <f>"53002023052817131588069"</f>
        <v>53002023052817131588069</v>
      </c>
      <c r="C1157" s="6" t="str">
        <f t="shared" si="76"/>
        <v>0202</v>
      </c>
      <c r="D1157" s="6" t="s">
        <v>21</v>
      </c>
      <c r="E1157" s="6" t="str">
        <f>"陈小红"</f>
        <v>陈小红</v>
      </c>
      <c r="F1157" s="6" t="str">
        <f t="shared" si="80"/>
        <v>女</v>
      </c>
    </row>
    <row r="1158" spans="1:6" ht="30" customHeight="1">
      <c r="A1158" s="6">
        <v>1156</v>
      </c>
      <c r="B1158" s="6" t="str">
        <f>"53002023052919012994144"</f>
        <v>53002023052919012994144</v>
      </c>
      <c r="C1158" s="6" t="str">
        <f t="shared" si="76"/>
        <v>0202</v>
      </c>
      <c r="D1158" s="6" t="s">
        <v>21</v>
      </c>
      <c r="E1158" s="6" t="str">
        <f>"郑雪"</f>
        <v>郑雪</v>
      </c>
      <c r="F1158" s="6" t="str">
        <f t="shared" si="80"/>
        <v>女</v>
      </c>
    </row>
    <row r="1159" spans="1:6" ht="30" customHeight="1">
      <c r="A1159" s="6">
        <v>1157</v>
      </c>
      <c r="B1159" s="6" t="str">
        <f>"53002023052910593591116"</f>
        <v>53002023052910593591116</v>
      </c>
      <c r="C1159" s="6" t="str">
        <f aca="true" t="shared" si="81" ref="C1159:C1222">"0202"</f>
        <v>0202</v>
      </c>
      <c r="D1159" s="6" t="s">
        <v>21</v>
      </c>
      <c r="E1159" s="6" t="str">
        <f>"陈应美"</f>
        <v>陈应美</v>
      </c>
      <c r="F1159" s="6" t="str">
        <f t="shared" si="80"/>
        <v>女</v>
      </c>
    </row>
    <row r="1160" spans="1:6" ht="30" customHeight="1">
      <c r="A1160" s="6">
        <v>1158</v>
      </c>
      <c r="B1160" s="6" t="str">
        <f>"53002023052921052694737"</f>
        <v>53002023052921052694737</v>
      </c>
      <c r="C1160" s="6" t="str">
        <f t="shared" si="81"/>
        <v>0202</v>
      </c>
      <c r="D1160" s="6" t="s">
        <v>21</v>
      </c>
      <c r="E1160" s="6" t="str">
        <f>"林美伶"</f>
        <v>林美伶</v>
      </c>
      <c r="F1160" s="6" t="str">
        <f t="shared" si="80"/>
        <v>女</v>
      </c>
    </row>
    <row r="1161" spans="1:6" ht="30" customHeight="1">
      <c r="A1161" s="6">
        <v>1159</v>
      </c>
      <c r="B1161" s="6" t="str">
        <f>"53002023052913202992155"</f>
        <v>53002023052913202992155</v>
      </c>
      <c r="C1161" s="6" t="str">
        <f t="shared" si="81"/>
        <v>0202</v>
      </c>
      <c r="D1161" s="6" t="s">
        <v>21</v>
      </c>
      <c r="E1161" s="6" t="str">
        <f>"曾娟"</f>
        <v>曾娟</v>
      </c>
      <c r="F1161" s="6" t="str">
        <f t="shared" si="80"/>
        <v>女</v>
      </c>
    </row>
    <row r="1162" spans="1:6" ht="30" customHeight="1">
      <c r="A1162" s="6">
        <v>1160</v>
      </c>
      <c r="B1162" s="6" t="str">
        <f>"53002023052923232595512"</f>
        <v>53002023052923232595512</v>
      </c>
      <c r="C1162" s="6" t="str">
        <f t="shared" si="81"/>
        <v>0202</v>
      </c>
      <c r="D1162" s="6" t="s">
        <v>21</v>
      </c>
      <c r="E1162" s="6" t="str">
        <f>"李伟杰"</f>
        <v>李伟杰</v>
      </c>
      <c r="F1162" s="6" t="str">
        <f>"男"</f>
        <v>男</v>
      </c>
    </row>
    <row r="1163" spans="1:6" ht="30" customHeight="1">
      <c r="A1163" s="6">
        <v>1161</v>
      </c>
      <c r="B1163" s="6" t="str">
        <f>"53002023052910320790801"</f>
        <v>53002023052910320790801</v>
      </c>
      <c r="C1163" s="6" t="str">
        <f t="shared" si="81"/>
        <v>0202</v>
      </c>
      <c r="D1163" s="6" t="s">
        <v>21</v>
      </c>
      <c r="E1163" s="6" t="str">
        <f>"王霞"</f>
        <v>王霞</v>
      </c>
      <c r="F1163" s="6" t="str">
        <f>"女"</f>
        <v>女</v>
      </c>
    </row>
    <row r="1164" spans="1:6" ht="30" customHeight="1">
      <c r="A1164" s="6">
        <v>1162</v>
      </c>
      <c r="B1164" s="6" t="str">
        <f>"53002023053007243295775"</f>
        <v>53002023053007243295775</v>
      </c>
      <c r="C1164" s="6" t="str">
        <f t="shared" si="81"/>
        <v>0202</v>
      </c>
      <c r="D1164" s="6" t="s">
        <v>21</v>
      </c>
      <c r="E1164" s="6" t="str">
        <f>"许美丹"</f>
        <v>许美丹</v>
      </c>
      <c r="F1164" s="6" t="str">
        <f>"女"</f>
        <v>女</v>
      </c>
    </row>
    <row r="1165" spans="1:6" ht="30" customHeight="1">
      <c r="A1165" s="6">
        <v>1163</v>
      </c>
      <c r="B1165" s="6" t="str">
        <f>"53002023053008251695857"</f>
        <v>53002023053008251695857</v>
      </c>
      <c r="C1165" s="6" t="str">
        <f t="shared" si="81"/>
        <v>0202</v>
      </c>
      <c r="D1165" s="6" t="s">
        <v>21</v>
      </c>
      <c r="E1165" s="6" t="str">
        <f>"符秋选"</f>
        <v>符秋选</v>
      </c>
      <c r="F1165" s="6" t="str">
        <f>"女"</f>
        <v>女</v>
      </c>
    </row>
    <row r="1166" spans="1:6" ht="30" customHeight="1">
      <c r="A1166" s="6">
        <v>1164</v>
      </c>
      <c r="B1166" s="6" t="str">
        <f>"53002023053008375995891"</f>
        <v>53002023053008375995891</v>
      </c>
      <c r="C1166" s="6" t="str">
        <f t="shared" si="81"/>
        <v>0202</v>
      </c>
      <c r="D1166" s="6" t="s">
        <v>21</v>
      </c>
      <c r="E1166" s="6" t="str">
        <f>"林升恒"</f>
        <v>林升恒</v>
      </c>
      <c r="F1166" s="6" t="str">
        <f>"男"</f>
        <v>男</v>
      </c>
    </row>
    <row r="1167" spans="1:6" ht="30" customHeight="1">
      <c r="A1167" s="6">
        <v>1165</v>
      </c>
      <c r="B1167" s="6" t="str">
        <f>"53002023052910215190698"</f>
        <v>53002023052910215190698</v>
      </c>
      <c r="C1167" s="6" t="str">
        <f t="shared" si="81"/>
        <v>0202</v>
      </c>
      <c r="D1167" s="6" t="s">
        <v>21</v>
      </c>
      <c r="E1167" s="6" t="str">
        <f>"林鸿英"</f>
        <v>林鸿英</v>
      </c>
      <c r="F1167" s="6" t="str">
        <f aca="true" t="shared" si="82" ref="F1167:F1177">"女"</f>
        <v>女</v>
      </c>
    </row>
    <row r="1168" spans="1:6" ht="30" customHeight="1">
      <c r="A1168" s="6">
        <v>1166</v>
      </c>
      <c r="B1168" s="6" t="str">
        <f>"53002023053009101996063"</f>
        <v>53002023053009101996063</v>
      </c>
      <c r="C1168" s="6" t="str">
        <f t="shared" si="81"/>
        <v>0202</v>
      </c>
      <c r="D1168" s="6" t="s">
        <v>21</v>
      </c>
      <c r="E1168" s="6" t="str">
        <f>"符冬妹"</f>
        <v>符冬妹</v>
      </c>
      <c r="F1168" s="6" t="str">
        <f t="shared" si="82"/>
        <v>女</v>
      </c>
    </row>
    <row r="1169" spans="1:6" ht="30" customHeight="1">
      <c r="A1169" s="6">
        <v>1167</v>
      </c>
      <c r="B1169" s="6" t="str">
        <f>"53002023053008541395954"</f>
        <v>53002023053008541395954</v>
      </c>
      <c r="C1169" s="6" t="str">
        <f t="shared" si="81"/>
        <v>0202</v>
      </c>
      <c r="D1169" s="6" t="s">
        <v>21</v>
      </c>
      <c r="E1169" s="6" t="str">
        <f>"翁海花"</f>
        <v>翁海花</v>
      </c>
      <c r="F1169" s="6" t="str">
        <f t="shared" si="82"/>
        <v>女</v>
      </c>
    </row>
    <row r="1170" spans="1:6" ht="30" customHeight="1">
      <c r="A1170" s="6">
        <v>1168</v>
      </c>
      <c r="B1170" s="6" t="str">
        <f>"53002023053009222096164"</f>
        <v>53002023053009222096164</v>
      </c>
      <c r="C1170" s="6" t="str">
        <f t="shared" si="81"/>
        <v>0202</v>
      </c>
      <c r="D1170" s="6" t="s">
        <v>21</v>
      </c>
      <c r="E1170" s="6" t="str">
        <f>"陈苗"</f>
        <v>陈苗</v>
      </c>
      <c r="F1170" s="6" t="str">
        <f t="shared" si="82"/>
        <v>女</v>
      </c>
    </row>
    <row r="1171" spans="1:6" ht="30" customHeight="1">
      <c r="A1171" s="6">
        <v>1169</v>
      </c>
      <c r="B1171" s="6" t="str">
        <f>"53002023052723534386603"</f>
        <v>53002023052723534386603</v>
      </c>
      <c r="C1171" s="6" t="str">
        <f t="shared" si="81"/>
        <v>0202</v>
      </c>
      <c r="D1171" s="6" t="s">
        <v>21</v>
      </c>
      <c r="E1171" s="6" t="str">
        <f>"李正兰"</f>
        <v>李正兰</v>
      </c>
      <c r="F1171" s="6" t="str">
        <f t="shared" si="82"/>
        <v>女</v>
      </c>
    </row>
    <row r="1172" spans="1:6" ht="30" customHeight="1">
      <c r="A1172" s="6">
        <v>1170</v>
      </c>
      <c r="B1172" s="6" t="str">
        <f>"53002023053010373296755"</f>
        <v>53002023053010373296755</v>
      </c>
      <c r="C1172" s="6" t="str">
        <f t="shared" si="81"/>
        <v>0202</v>
      </c>
      <c r="D1172" s="6" t="s">
        <v>21</v>
      </c>
      <c r="E1172" s="6" t="str">
        <f>"黎经萍"</f>
        <v>黎经萍</v>
      </c>
      <c r="F1172" s="6" t="str">
        <f t="shared" si="82"/>
        <v>女</v>
      </c>
    </row>
    <row r="1173" spans="1:6" ht="30" customHeight="1">
      <c r="A1173" s="6">
        <v>1171</v>
      </c>
      <c r="B1173" s="6" t="str">
        <f>"53002023053010363496746"</f>
        <v>53002023053010363496746</v>
      </c>
      <c r="C1173" s="6" t="str">
        <f t="shared" si="81"/>
        <v>0202</v>
      </c>
      <c r="D1173" s="6" t="s">
        <v>21</v>
      </c>
      <c r="E1173" s="6" t="str">
        <f>"朱树花"</f>
        <v>朱树花</v>
      </c>
      <c r="F1173" s="6" t="str">
        <f t="shared" si="82"/>
        <v>女</v>
      </c>
    </row>
    <row r="1174" spans="1:6" ht="30" customHeight="1">
      <c r="A1174" s="6">
        <v>1172</v>
      </c>
      <c r="B1174" s="6" t="str">
        <f>"53002023053010372796754"</f>
        <v>53002023053010372796754</v>
      </c>
      <c r="C1174" s="6" t="str">
        <f t="shared" si="81"/>
        <v>0202</v>
      </c>
      <c r="D1174" s="6" t="s">
        <v>21</v>
      </c>
      <c r="E1174" s="6" t="str">
        <f>"唐艳婷"</f>
        <v>唐艳婷</v>
      </c>
      <c r="F1174" s="6" t="str">
        <f t="shared" si="82"/>
        <v>女</v>
      </c>
    </row>
    <row r="1175" spans="1:6" ht="30" customHeight="1">
      <c r="A1175" s="6">
        <v>1173</v>
      </c>
      <c r="B1175" s="6" t="str">
        <f>"53002023052923364595560"</f>
        <v>53002023052923364595560</v>
      </c>
      <c r="C1175" s="6" t="str">
        <f t="shared" si="81"/>
        <v>0202</v>
      </c>
      <c r="D1175" s="6" t="s">
        <v>21</v>
      </c>
      <c r="E1175" s="6" t="str">
        <f>"王含文"</f>
        <v>王含文</v>
      </c>
      <c r="F1175" s="6" t="str">
        <f t="shared" si="82"/>
        <v>女</v>
      </c>
    </row>
    <row r="1176" spans="1:6" ht="30" customHeight="1">
      <c r="A1176" s="6">
        <v>1174</v>
      </c>
      <c r="B1176" s="6" t="str">
        <f>"53002023052911095991217"</f>
        <v>53002023052911095991217</v>
      </c>
      <c r="C1176" s="6" t="str">
        <f t="shared" si="81"/>
        <v>0202</v>
      </c>
      <c r="D1176" s="6" t="s">
        <v>21</v>
      </c>
      <c r="E1176" s="6" t="str">
        <f>"邓欣欣"</f>
        <v>邓欣欣</v>
      </c>
      <c r="F1176" s="6" t="str">
        <f t="shared" si="82"/>
        <v>女</v>
      </c>
    </row>
    <row r="1177" spans="1:6" ht="30" customHeight="1">
      <c r="A1177" s="6">
        <v>1175</v>
      </c>
      <c r="B1177" s="6" t="str">
        <f>"53002023052921341594918"</f>
        <v>53002023052921341594918</v>
      </c>
      <c r="C1177" s="6" t="str">
        <f t="shared" si="81"/>
        <v>0202</v>
      </c>
      <c r="D1177" s="6" t="s">
        <v>21</v>
      </c>
      <c r="E1177" s="6" t="str">
        <f>"吉受玲"</f>
        <v>吉受玲</v>
      </c>
      <c r="F1177" s="6" t="str">
        <f t="shared" si="82"/>
        <v>女</v>
      </c>
    </row>
    <row r="1178" spans="1:6" ht="30" customHeight="1">
      <c r="A1178" s="6">
        <v>1176</v>
      </c>
      <c r="B1178" s="6" t="str">
        <f>"53002023053010281496671"</f>
        <v>53002023053010281496671</v>
      </c>
      <c r="C1178" s="6" t="str">
        <f t="shared" si="81"/>
        <v>0202</v>
      </c>
      <c r="D1178" s="6" t="s">
        <v>21</v>
      </c>
      <c r="E1178" s="6" t="str">
        <f>"符超全"</f>
        <v>符超全</v>
      </c>
      <c r="F1178" s="6" t="str">
        <f>"男"</f>
        <v>男</v>
      </c>
    </row>
    <row r="1179" spans="1:6" ht="30" customHeight="1">
      <c r="A1179" s="6">
        <v>1177</v>
      </c>
      <c r="B1179" s="6" t="str">
        <f>"53002023053011070997011"</f>
        <v>53002023053011070997011</v>
      </c>
      <c r="C1179" s="6" t="str">
        <f t="shared" si="81"/>
        <v>0202</v>
      </c>
      <c r="D1179" s="6" t="s">
        <v>21</v>
      </c>
      <c r="E1179" s="6" t="str">
        <f>"李维庭"</f>
        <v>李维庭</v>
      </c>
      <c r="F1179" s="6" t="str">
        <f>"女"</f>
        <v>女</v>
      </c>
    </row>
    <row r="1180" spans="1:6" ht="30" customHeight="1">
      <c r="A1180" s="6">
        <v>1178</v>
      </c>
      <c r="B1180" s="6" t="str">
        <f>"53002023053009475196365"</f>
        <v>53002023053009475196365</v>
      </c>
      <c r="C1180" s="6" t="str">
        <f t="shared" si="81"/>
        <v>0202</v>
      </c>
      <c r="D1180" s="6" t="s">
        <v>21</v>
      </c>
      <c r="E1180" s="6" t="str">
        <f>"陈长荟"</f>
        <v>陈长荟</v>
      </c>
      <c r="F1180" s="6" t="str">
        <f>"男"</f>
        <v>男</v>
      </c>
    </row>
    <row r="1181" spans="1:6" ht="30" customHeight="1">
      <c r="A1181" s="6">
        <v>1179</v>
      </c>
      <c r="B1181" s="6" t="str">
        <f>"53002023053009374996281"</f>
        <v>53002023053009374996281</v>
      </c>
      <c r="C1181" s="6" t="str">
        <f t="shared" si="81"/>
        <v>0202</v>
      </c>
      <c r="D1181" s="6" t="s">
        <v>21</v>
      </c>
      <c r="E1181" s="6" t="str">
        <f>"李怡婕"</f>
        <v>李怡婕</v>
      </c>
      <c r="F1181" s="6" t="str">
        <f>"女"</f>
        <v>女</v>
      </c>
    </row>
    <row r="1182" spans="1:6" ht="30" customHeight="1">
      <c r="A1182" s="6">
        <v>1180</v>
      </c>
      <c r="B1182" s="6" t="str">
        <f>"53002023053006505095764"</f>
        <v>53002023053006505095764</v>
      </c>
      <c r="C1182" s="6" t="str">
        <f t="shared" si="81"/>
        <v>0202</v>
      </c>
      <c r="D1182" s="6" t="s">
        <v>21</v>
      </c>
      <c r="E1182" s="6" t="str">
        <f>"何李丽"</f>
        <v>何李丽</v>
      </c>
      <c r="F1182" s="6" t="str">
        <f>"女"</f>
        <v>女</v>
      </c>
    </row>
    <row r="1183" spans="1:6" ht="30" customHeight="1">
      <c r="A1183" s="6">
        <v>1181</v>
      </c>
      <c r="B1183" s="6" t="str">
        <f>"53002023053013043897757"</f>
        <v>53002023053013043897757</v>
      </c>
      <c r="C1183" s="6" t="str">
        <f t="shared" si="81"/>
        <v>0202</v>
      </c>
      <c r="D1183" s="6" t="s">
        <v>21</v>
      </c>
      <c r="E1183" s="6" t="str">
        <f>"许佩汝"</f>
        <v>许佩汝</v>
      </c>
      <c r="F1183" s="6" t="str">
        <f>"女"</f>
        <v>女</v>
      </c>
    </row>
    <row r="1184" spans="1:6" ht="30" customHeight="1">
      <c r="A1184" s="6">
        <v>1182</v>
      </c>
      <c r="B1184" s="6" t="str">
        <f>"53002023053012293297552"</f>
        <v>53002023053012293297552</v>
      </c>
      <c r="C1184" s="6" t="str">
        <f t="shared" si="81"/>
        <v>0202</v>
      </c>
      <c r="D1184" s="6" t="s">
        <v>21</v>
      </c>
      <c r="E1184" s="6" t="str">
        <f>"李多科"</f>
        <v>李多科</v>
      </c>
      <c r="F1184" s="6" t="str">
        <f>"男"</f>
        <v>男</v>
      </c>
    </row>
    <row r="1185" spans="1:6" ht="30" customHeight="1">
      <c r="A1185" s="6">
        <v>1183</v>
      </c>
      <c r="B1185" s="6" t="str">
        <f>"53002023052916053393164"</f>
        <v>53002023052916053393164</v>
      </c>
      <c r="C1185" s="6" t="str">
        <f t="shared" si="81"/>
        <v>0202</v>
      </c>
      <c r="D1185" s="6" t="s">
        <v>21</v>
      </c>
      <c r="E1185" s="6" t="str">
        <f>"谢立妹"</f>
        <v>谢立妹</v>
      </c>
      <c r="F1185" s="6" t="str">
        <f aca="true" t="shared" si="83" ref="F1185:F1193">"女"</f>
        <v>女</v>
      </c>
    </row>
    <row r="1186" spans="1:6" ht="30" customHeight="1">
      <c r="A1186" s="6">
        <v>1184</v>
      </c>
      <c r="B1186" s="6" t="str">
        <f>"53002023053015131098367"</f>
        <v>53002023053015131098367</v>
      </c>
      <c r="C1186" s="6" t="str">
        <f t="shared" si="81"/>
        <v>0202</v>
      </c>
      <c r="D1186" s="6" t="s">
        <v>21</v>
      </c>
      <c r="E1186" s="6" t="str">
        <f>"王艳秋"</f>
        <v>王艳秋</v>
      </c>
      <c r="F1186" s="6" t="str">
        <f t="shared" si="83"/>
        <v>女</v>
      </c>
    </row>
    <row r="1187" spans="1:6" ht="30" customHeight="1">
      <c r="A1187" s="6">
        <v>1185</v>
      </c>
      <c r="B1187" s="6" t="str">
        <f>"53002023053015064098326"</f>
        <v>53002023053015064098326</v>
      </c>
      <c r="C1187" s="6" t="str">
        <f t="shared" si="81"/>
        <v>0202</v>
      </c>
      <c r="D1187" s="6" t="s">
        <v>21</v>
      </c>
      <c r="E1187" s="6" t="str">
        <f>"李珍"</f>
        <v>李珍</v>
      </c>
      <c r="F1187" s="6" t="str">
        <f t="shared" si="83"/>
        <v>女</v>
      </c>
    </row>
    <row r="1188" spans="1:6" ht="30" customHeight="1">
      <c r="A1188" s="6">
        <v>1186</v>
      </c>
      <c r="B1188" s="6" t="str">
        <f>"53002023053015102098351"</f>
        <v>53002023053015102098351</v>
      </c>
      <c r="C1188" s="6" t="str">
        <f t="shared" si="81"/>
        <v>0202</v>
      </c>
      <c r="D1188" s="6" t="s">
        <v>21</v>
      </c>
      <c r="E1188" s="6" t="str">
        <f>"符万方"</f>
        <v>符万方</v>
      </c>
      <c r="F1188" s="6" t="str">
        <f t="shared" si="83"/>
        <v>女</v>
      </c>
    </row>
    <row r="1189" spans="1:6" ht="30" customHeight="1">
      <c r="A1189" s="6">
        <v>1187</v>
      </c>
      <c r="B1189" s="6" t="str">
        <f>"53002023052812095987257"</f>
        <v>53002023052812095987257</v>
      </c>
      <c r="C1189" s="6" t="str">
        <f t="shared" si="81"/>
        <v>0202</v>
      </c>
      <c r="D1189" s="6" t="s">
        <v>21</v>
      </c>
      <c r="E1189" s="6" t="str">
        <f>"孙菊"</f>
        <v>孙菊</v>
      </c>
      <c r="F1189" s="6" t="str">
        <f t="shared" si="83"/>
        <v>女</v>
      </c>
    </row>
    <row r="1190" spans="1:6" ht="30" customHeight="1">
      <c r="A1190" s="6">
        <v>1188</v>
      </c>
      <c r="B1190" s="6" t="str">
        <f>"53002023053014552398250"</f>
        <v>53002023053014552398250</v>
      </c>
      <c r="C1190" s="6" t="str">
        <f t="shared" si="81"/>
        <v>0202</v>
      </c>
      <c r="D1190" s="6" t="s">
        <v>21</v>
      </c>
      <c r="E1190" s="6" t="str">
        <f>"朱玉兰"</f>
        <v>朱玉兰</v>
      </c>
      <c r="F1190" s="6" t="str">
        <f t="shared" si="83"/>
        <v>女</v>
      </c>
    </row>
    <row r="1191" spans="1:6" ht="30" customHeight="1">
      <c r="A1191" s="6">
        <v>1189</v>
      </c>
      <c r="B1191" s="6" t="str">
        <f>"53002023053017172699165"</f>
        <v>53002023053017172699165</v>
      </c>
      <c r="C1191" s="6" t="str">
        <f t="shared" si="81"/>
        <v>0202</v>
      </c>
      <c r="D1191" s="6" t="s">
        <v>21</v>
      </c>
      <c r="E1191" s="6" t="str">
        <f>"陈丽丽"</f>
        <v>陈丽丽</v>
      </c>
      <c r="F1191" s="6" t="str">
        <f t="shared" si="83"/>
        <v>女</v>
      </c>
    </row>
    <row r="1192" spans="1:6" ht="30" customHeight="1">
      <c r="A1192" s="6">
        <v>1190</v>
      </c>
      <c r="B1192" s="6" t="str">
        <f>"53002023053017252099208"</f>
        <v>53002023053017252099208</v>
      </c>
      <c r="C1192" s="6" t="str">
        <f t="shared" si="81"/>
        <v>0202</v>
      </c>
      <c r="D1192" s="6" t="s">
        <v>21</v>
      </c>
      <c r="E1192" s="6" t="str">
        <f>"羊高联"</f>
        <v>羊高联</v>
      </c>
      <c r="F1192" s="6" t="str">
        <f t="shared" si="83"/>
        <v>女</v>
      </c>
    </row>
    <row r="1193" spans="1:6" ht="30" customHeight="1">
      <c r="A1193" s="6">
        <v>1191</v>
      </c>
      <c r="B1193" s="6" t="str">
        <f>"53002023053018055199404"</f>
        <v>53002023053018055199404</v>
      </c>
      <c r="C1193" s="6" t="str">
        <f t="shared" si="81"/>
        <v>0202</v>
      </c>
      <c r="D1193" s="6" t="s">
        <v>21</v>
      </c>
      <c r="E1193" s="6" t="str">
        <f>"石长虹"</f>
        <v>石长虹</v>
      </c>
      <c r="F1193" s="6" t="str">
        <f t="shared" si="83"/>
        <v>女</v>
      </c>
    </row>
    <row r="1194" spans="1:6" ht="30" customHeight="1">
      <c r="A1194" s="6">
        <v>1192</v>
      </c>
      <c r="B1194" s="6" t="str">
        <f>"53002023052907545989456"</f>
        <v>53002023052907545989456</v>
      </c>
      <c r="C1194" s="6" t="str">
        <f t="shared" si="81"/>
        <v>0202</v>
      </c>
      <c r="D1194" s="6" t="s">
        <v>21</v>
      </c>
      <c r="E1194" s="6" t="str">
        <f>"张基华"</f>
        <v>张基华</v>
      </c>
      <c r="F1194" s="6" t="str">
        <f>"男"</f>
        <v>男</v>
      </c>
    </row>
    <row r="1195" spans="1:6" ht="30" customHeight="1">
      <c r="A1195" s="6">
        <v>1193</v>
      </c>
      <c r="B1195" s="6" t="str">
        <f>"53002023053018560399606"</f>
        <v>53002023053018560399606</v>
      </c>
      <c r="C1195" s="6" t="str">
        <f t="shared" si="81"/>
        <v>0202</v>
      </c>
      <c r="D1195" s="6" t="s">
        <v>21</v>
      </c>
      <c r="E1195" s="6" t="str">
        <f>"郑秋香"</f>
        <v>郑秋香</v>
      </c>
      <c r="F1195" s="6" t="str">
        <f>"女"</f>
        <v>女</v>
      </c>
    </row>
    <row r="1196" spans="1:6" ht="30" customHeight="1">
      <c r="A1196" s="6">
        <v>1194</v>
      </c>
      <c r="B1196" s="6" t="str">
        <f>"530020230530203028100037"</f>
        <v>530020230530203028100037</v>
      </c>
      <c r="C1196" s="6" t="str">
        <f t="shared" si="81"/>
        <v>0202</v>
      </c>
      <c r="D1196" s="6" t="s">
        <v>21</v>
      </c>
      <c r="E1196" s="6" t="str">
        <f>"吴志妃"</f>
        <v>吴志妃</v>
      </c>
      <c r="F1196" s="6" t="str">
        <f>"女"</f>
        <v>女</v>
      </c>
    </row>
    <row r="1197" spans="1:6" ht="30" customHeight="1">
      <c r="A1197" s="6">
        <v>1195</v>
      </c>
      <c r="B1197" s="6" t="str">
        <f>"530020230530215521100442"</f>
        <v>530020230530215521100442</v>
      </c>
      <c r="C1197" s="6" t="str">
        <f t="shared" si="81"/>
        <v>0202</v>
      </c>
      <c r="D1197" s="6" t="s">
        <v>21</v>
      </c>
      <c r="E1197" s="6" t="str">
        <f>"许桃垮"</f>
        <v>许桃垮</v>
      </c>
      <c r="F1197" s="6" t="str">
        <f>"女"</f>
        <v>女</v>
      </c>
    </row>
    <row r="1198" spans="1:6" ht="30" customHeight="1">
      <c r="A1198" s="6">
        <v>1196</v>
      </c>
      <c r="B1198" s="6" t="str">
        <f>"53002023052919201494227"</f>
        <v>53002023052919201494227</v>
      </c>
      <c r="C1198" s="6" t="str">
        <f t="shared" si="81"/>
        <v>0202</v>
      </c>
      <c r="D1198" s="6" t="s">
        <v>21</v>
      </c>
      <c r="E1198" s="6" t="str">
        <f>"符孟文"</f>
        <v>符孟文</v>
      </c>
      <c r="F1198" s="6" t="str">
        <f>"男"</f>
        <v>男</v>
      </c>
    </row>
    <row r="1199" spans="1:6" ht="30" customHeight="1">
      <c r="A1199" s="6">
        <v>1197</v>
      </c>
      <c r="B1199" s="6" t="str">
        <f>"530020230530221718100556"</f>
        <v>530020230530221718100556</v>
      </c>
      <c r="C1199" s="6" t="str">
        <f t="shared" si="81"/>
        <v>0202</v>
      </c>
      <c r="D1199" s="6" t="s">
        <v>21</v>
      </c>
      <c r="E1199" s="6" t="str">
        <f>"林诗梦"</f>
        <v>林诗梦</v>
      </c>
      <c r="F1199" s="6" t="str">
        <f>"女"</f>
        <v>女</v>
      </c>
    </row>
    <row r="1200" spans="1:6" ht="30" customHeight="1">
      <c r="A1200" s="6">
        <v>1198</v>
      </c>
      <c r="B1200" s="6" t="str">
        <f>"53002023052908382789592"</f>
        <v>53002023052908382789592</v>
      </c>
      <c r="C1200" s="6" t="str">
        <f t="shared" si="81"/>
        <v>0202</v>
      </c>
      <c r="D1200" s="6" t="s">
        <v>21</v>
      </c>
      <c r="E1200" s="6" t="str">
        <f>"张昌越"</f>
        <v>张昌越</v>
      </c>
      <c r="F1200" s="6" t="str">
        <f>"男"</f>
        <v>男</v>
      </c>
    </row>
    <row r="1201" spans="1:6" ht="30" customHeight="1">
      <c r="A1201" s="6">
        <v>1199</v>
      </c>
      <c r="B1201" s="6" t="str">
        <f>"53002023053014023497996"</f>
        <v>53002023053014023497996</v>
      </c>
      <c r="C1201" s="6" t="str">
        <f t="shared" si="81"/>
        <v>0202</v>
      </c>
      <c r="D1201" s="6" t="s">
        <v>21</v>
      </c>
      <c r="E1201" s="6" t="str">
        <f>"程雯"</f>
        <v>程雯</v>
      </c>
      <c r="F1201" s="6" t="str">
        <f>"女"</f>
        <v>女</v>
      </c>
    </row>
    <row r="1202" spans="1:6" ht="30" customHeight="1">
      <c r="A1202" s="6">
        <v>1200</v>
      </c>
      <c r="B1202" s="6" t="str">
        <f>"530020230530225728100738"</f>
        <v>530020230530225728100738</v>
      </c>
      <c r="C1202" s="6" t="str">
        <f t="shared" si="81"/>
        <v>0202</v>
      </c>
      <c r="D1202" s="6" t="s">
        <v>21</v>
      </c>
      <c r="E1202" s="6" t="str">
        <f>"麦昌妹"</f>
        <v>麦昌妹</v>
      </c>
      <c r="F1202" s="6" t="str">
        <f>"女"</f>
        <v>女</v>
      </c>
    </row>
    <row r="1203" spans="1:6" ht="30" customHeight="1">
      <c r="A1203" s="6">
        <v>1201</v>
      </c>
      <c r="B1203" s="6" t="str">
        <f>"530020230531083805101232"</f>
        <v>530020230531083805101232</v>
      </c>
      <c r="C1203" s="6" t="str">
        <f t="shared" si="81"/>
        <v>0202</v>
      </c>
      <c r="D1203" s="6" t="s">
        <v>21</v>
      </c>
      <c r="E1203" s="6" t="str">
        <f>"蒙庆"</f>
        <v>蒙庆</v>
      </c>
      <c r="F1203" s="6" t="str">
        <f>"男"</f>
        <v>男</v>
      </c>
    </row>
    <row r="1204" spans="1:6" ht="30" customHeight="1">
      <c r="A1204" s="6">
        <v>1202</v>
      </c>
      <c r="B1204" s="6" t="str">
        <f>"53002023052909362490164"</f>
        <v>53002023052909362490164</v>
      </c>
      <c r="C1204" s="6" t="str">
        <f t="shared" si="81"/>
        <v>0202</v>
      </c>
      <c r="D1204" s="6" t="s">
        <v>21</v>
      </c>
      <c r="E1204" s="6" t="str">
        <f>"吴培燕"</f>
        <v>吴培燕</v>
      </c>
      <c r="F1204" s="6" t="str">
        <f aca="true" t="shared" si="84" ref="F1204:F1209">"女"</f>
        <v>女</v>
      </c>
    </row>
    <row r="1205" spans="1:6" ht="30" customHeight="1">
      <c r="A1205" s="6">
        <v>1203</v>
      </c>
      <c r="B1205" s="6" t="str">
        <f>"530020230531091846101462"</f>
        <v>530020230531091846101462</v>
      </c>
      <c r="C1205" s="6" t="str">
        <f t="shared" si="81"/>
        <v>0202</v>
      </c>
      <c r="D1205" s="6" t="s">
        <v>21</v>
      </c>
      <c r="E1205" s="6" t="str">
        <f>"蔡乔乔"</f>
        <v>蔡乔乔</v>
      </c>
      <c r="F1205" s="6" t="str">
        <f t="shared" si="84"/>
        <v>女</v>
      </c>
    </row>
    <row r="1206" spans="1:6" ht="30" customHeight="1">
      <c r="A1206" s="6">
        <v>1204</v>
      </c>
      <c r="B1206" s="6" t="str">
        <f>"530020230531085241101289"</f>
        <v>530020230531085241101289</v>
      </c>
      <c r="C1206" s="6" t="str">
        <f t="shared" si="81"/>
        <v>0202</v>
      </c>
      <c r="D1206" s="6" t="s">
        <v>21</v>
      </c>
      <c r="E1206" s="6" t="str">
        <f>"黄玉宝"</f>
        <v>黄玉宝</v>
      </c>
      <c r="F1206" s="6" t="str">
        <f t="shared" si="84"/>
        <v>女</v>
      </c>
    </row>
    <row r="1207" spans="1:6" ht="30" customHeight="1">
      <c r="A1207" s="6">
        <v>1205</v>
      </c>
      <c r="B1207" s="6" t="str">
        <f>"530020230531063636101081"</f>
        <v>530020230531063636101081</v>
      </c>
      <c r="C1207" s="6" t="str">
        <f t="shared" si="81"/>
        <v>0202</v>
      </c>
      <c r="D1207" s="6" t="s">
        <v>21</v>
      </c>
      <c r="E1207" s="6" t="str">
        <f>"林以花"</f>
        <v>林以花</v>
      </c>
      <c r="F1207" s="6" t="str">
        <f t="shared" si="84"/>
        <v>女</v>
      </c>
    </row>
    <row r="1208" spans="1:6" ht="30" customHeight="1">
      <c r="A1208" s="6">
        <v>1206</v>
      </c>
      <c r="B1208" s="6" t="str">
        <f>"53002023052912343391867"</f>
        <v>53002023052912343391867</v>
      </c>
      <c r="C1208" s="6" t="str">
        <f t="shared" si="81"/>
        <v>0202</v>
      </c>
      <c r="D1208" s="6" t="s">
        <v>21</v>
      </c>
      <c r="E1208" s="6" t="str">
        <f>"吴梅转"</f>
        <v>吴梅转</v>
      </c>
      <c r="F1208" s="6" t="str">
        <f t="shared" si="84"/>
        <v>女</v>
      </c>
    </row>
    <row r="1209" spans="1:6" ht="30" customHeight="1">
      <c r="A1209" s="6">
        <v>1207</v>
      </c>
      <c r="B1209" s="6" t="str">
        <f>"53002023053019172099700"</f>
        <v>53002023053019172099700</v>
      </c>
      <c r="C1209" s="6" t="str">
        <f t="shared" si="81"/>
        <v>0202</v>
      </c>
      <c r="D1209" s="6" t="s">
        <v>21</v>
      </c>
      <c r="E1209" s="6" t="str">
        <f>"林彩美"</f>
        <v>林彩美</v>
      </c>
      <c r="F1209" s="6" t="str">
        <f t="shared" si="84"/>
        <v>女</v>
      </c>
    </row>
    <row r="1210" spans="1:6" ht="30" customHeight="1">
      <c r="A1210" s="6">
        <v>1208</v>
      </c>
      <c r="B1210" s="6" t="str">
        <f>"53002023053012011497406"</f>
        <v>53002023053012011497406</v>
      </c>
      <c r="C1210" s="6" t="str">
        <f t="shared" si="81"/>
        <v>0202</v>
      </c>
      <c r="D1210" s="6" t="s">
        <v>21</v>
      </c>
      <c r="E1210" s="6" t="str">
        <f>"陈国瑶"</f>
        <v>陈国瑶</v>
      </c>
      <c r="F1210" s="6" t="str">
        <f>"男"</f>
        <v>男</v>
      </c>
    </row>
    <row r="1211" spans="1:6" ht="30" customHeight="1">
      <c r="A1211" s="6">
        <v>1209</v>
      </c>
      <c r="B1211" s="6" t="str">
        <f>"530020230531093740101600"</f>
        <v>530020230531093740101600</v>
      </c>
      <c r="C1211" s="6" t="str">
        <f t="shared" si="81"/>
        <v>0202</v>
      </c>
      <c r="D1211" s="6" t="s">
        <v>21</v>
      </c>
      <c r="E1211" s="6" t="str">
        <f>"蒋春玉"</f>
        <v>蒋春玉</v>
      </c>
      <c r="F1211" s="6" t="str">
        <f aca="true" t="shared" si="85" ref="F1211:F1221">"女"</f>
        <v>女</v>
      </c>
    </row>
    <row r="1212" spans="1:6" ht="30" customHeight="1">
      <c r="A1212" s="6">
        <v>1210</v>
      </c>
      <c r="B1212" s="6" t="str">
        <f>"53002023052712073384437"</f>
        <v>53002023052712073384437</v>
      </c>
      <c r="C1212" s="6" t="str">
        <f t="shared" si="81"/>
        <v>0202</v>
      </c>
      <c r="D1212" s="6" t="s">
        <v>21</v>
      </c>
      <c r="E1212" s="6" t="str">
        <f>"薛芳芳"</f>
        <v>薛芳芳</v>
      </c>
      <c r="F1212" s="6" t="str">
        <f t="shared" si="85"/>
        <v>女</v>
      </c>
    </row>
    <row r="1213" spans="1:6" ht="30" customHeight="1">
      <c r="A1213" s="6">
        <v>1211</v>
      </c>
      <c r="B1213" s="6" t="str">
        <f>"530020230531100933101852"</f>
        <v>530020230531100933101852</v>
      </c>
      <c r="C1213" s="6" t="str">
        <f t="shared" si="81"/>
        <v>0202</v>
      </c>
      <c r="D1213" s="6" t="s">
        <v>21</v>
      </c>
      <c r="E1213" s="6" t="str">
        <f>"陈思思"</f>
        <v>陈思思</v>
      </c>
      <c r="F1213" s="6" t="str">
        <f t="shared" si="85"/>
        <v>女</v>
      </c>
    </row>
    <row r="1214" spans="1:6" ht="30" customHeight="1">
      <c r="A1214" s="6">
        <v>1212</v>
      </c>
      <c r="B1214" s="6" t="str">
        <f>"530020230531104019102045"</f>
        <v>530020230531104019102045</v>
      </c>
      <c r="C1214" s="6" t="str">
        <f t="shared" si="81"/>
        <v>0202</v>
      </c>
      <c r="D1214" s="6" t="s">
        <v>21</v>
      </c>
      <c r="E1214" s="6" t="str">
        <f>"唐青霞"</f>
        <v>唐青霞</v>
      </c>
      <c r="F1214" s="6" t="str">
        <f t="shared" si="85"/>
        <v>女</v>
      </c>
    </row>
    <row r="1215" spans="1:6" ht="30" customHeight="1">
      <c r="A1215" s="6">
        <v>1213</v>
      </c>
      <c r="B1215" s="6" t="str">
        <f>"530020230531120053102521"</f>
        <v>530020230531120053102521</v>
      </c>
      <c r="C1215" s="6" t="str">
        <f t="shared" si="81"/>
        <v>0202</v>
      </c>
      <c r="D1215" s="6" t="s">
        <v>21</v>
      </c>
      <c r="E1215" s="6" t="str">
        <f>"吴瑞云"</f>
        <v>吴瑞云</v>
      </c>
      <c r="F1215" s="6" t="str">
        <f t="shared" si="85"/>
        <v>女</v>
      </c>
    </row>
    <row r="1216" spans="1:6" ht="30" customHeight="1">
      <c r="A1216" s="6">
        <v>1214</v>
      </c>
      <c r="B1216" s="6" t="str">
        <f>"530020230531134117102951"</f>
        <v>530020230531134117102951</v>
      </c>
      <c r="C1216" s="6" t="str">
        <f t="shared" si="81"/>
        <v>0202</v>
      </c>
      <c r="D1216" s="6" t="s">
        <v>21</v>
      </c>
      <c r="E1216" s="6" t="str">
        <f>"王昌喜"</f>
        <v>王昌喜</v>
      </c>
      <c r="F1216" s="6" t="str">
        <f t="shared" si="85"/>
        <v>女</v>
      </c>
    </row>
    <row r="1217" spans="1:6" ht="30" customHeight="1">
      <c r="A1217" s="6">
        <v>1215</v>
      </c>
      <c r="B1217" s="6" t="str">
        <f>"530020230531160344103514"</f>
        <v>530020230531160344103514</v>
      </c>
      <c r="C1217" s="6" t="str">
        <f t="shared" si="81"/>
        <v>0202</v>
      </c>
      <c r="D1217" s="6" t="s">
        <v>21</v>
      </c>
      <c r="E1217" s="6" t="str">
        <f>"李冬舅"</f>
        <v>李冬舅</v>
      </c>
      <c r="F1217" s="6" t="str">
        <f t="shared" si="85"/>
        <v>女</v>
      </c>
    </row>
    <row r="1218" spans="1:6" ht="30" customHeight="1">
      <c r="A1218" s="6">
        <v>1216</v>
      </c>
      <c r="B1218" s="6" t="str">
        <f>"53002023053016370898914"</f>
        <v>53002023053016370898914</v>
      </c>
      <c r="C1218" s="6" t="str">
        <f t="shared" si="81"/>
        <v>0202</v>
      </c>
      <c r="D1218" s="6" t="s">
        <v>21</v>
      </c>
      <c r="E1218" s="6" t="str">
        <f>"文晓慧"</f>
        <v>文晓慧</v>
      </c>
      <c r="F1218" s="6" t="str">
        <f t="shared" si="85"/>
        <v>女</v>
      </c>
    </row>
    <row r="1219" spans="1:6" ht="30" customHeight="1">
      <c r="A1219" s="6">
        <v>1217</v>
      </c>
      <c r="B1219" s="6" t="str">
        <f>"53002023052912083491704"</f>
        <v>53002023052912083491704</v>
      </c>
      <c r="C1219" s="6" t="str">
        <f t="shared" si="81"/>
        <v>0202</v>
      </c>
      <c r="D1219" s="6" t="s">
        <v>21</v>
      </c>
      <c r="E1219" s="6" t="str">
        <f>"王君"</f>
        <v>王君</v>
      </c>
      <c r="F1219" s="6" t="str">
        <f t="shared" si="85"/>
        <v>女</v>
      </c>
    </row>
    <row r="1220" spans="1:6" ht="30" customHeight="1">
      <c r="A1220" s="6">
        <v>1218</v>
      </c>
      <c r="B1220" s="6" t="str">
        <f>"530020230531172859103932"</f>
        <v>530020230531172859103932</v>
      </c>
      <c r="C1220" s="6" t="str">
        <f t="shared" si="81"/>
        <v>0202</v>
      </c>
      <c r="D1220" s="6" t="s">
        <v>21</v>
      </c>
      <c r="E1220" s="6" t="str">
        <f>"董秀芬"</f>
        <v>董秀芬</v>
      </c>
      <c r="F1220" s="6" t="str">
        <f t="shared" si="85"/>
        <v>女</v>
      </c>
    </row>
    <row r="1221" spans="1:6" ht="30" customHeight="1">
      <c r="A1221" s="6">
        <v>1219</v>
      </c>
      <c r="B1221" s="6" t="str">
        <f>"530020230531184521104169"</f>
        <v>530020230531184521104169</v>
      </c>
      <c r="C1221" s="6" t="str">
        <f t="shared" si="81"/>
        <v>0202</v>
      </c>
      <c r="D1221" s="6" t="s">
        <v>21</v>
      </c>
      <c r="E1221" s="6" t="str">
        <f>"林施妹"</f>
        <v>林施妹</v>
      </c>
      <c r="F1221" s="6" t="str">
        <f t="shared" si="85"/>
        <v>女</v>
      </c>
    </row>
    <row r="1222" spans="1:6" ht="30" customHeight="1">
      <c r="A1222" s="6">
        <v>1220</v>
      </c>
      <c r="B1222" s="6" t="str">
        <f>"530020230531190529104214"</f>
        <v>530020230531190529104214</v>
      </c>
      <c r="C1222" s="6" t="str">
        <f t="shared" si="81"/>
        <v>0202</v>
      </c>
      <c r="D1222" s="6" t="s">
        <v>21</v>
      </c>
      <c r="E1222" s="6" t="str">
        <f>"方其向"</f>
        <v>方其向</v>
      </c>
      <c r="F1222" s="6" t="str">
        <f>"男"</f>
        <v>男</v>
      </c>
    </row>
    <row r="1223" spans="1:6" ht="30" customHeight="1">
      <c r="A1223" s="6">
        <v>1221</v>
      </c>
      <c r="B1223" s="6" t="str">
        <f>"53002023053018251199483"</f>
        <v>53002023053018251199483</v>
      </c>
      <c r="C1223" s="6" t="str">
        <f aca="true" t="shared" si="86" ref="C1223:C1268">"0202"</f>
        <v>0202</v>
      </c>
      <c r="D1223" s="6" t="s">
        <v>21</v>
      </c>
      <c r="E1223" s="6" t="str">
        <f>"羊琼梅"</f>
        <v>羊琼梅</v>
      </c>
      <c r="F1223" s="6" t="str">
        <f>"女"</f>
        <v>女</v>
      </c>
    </row>
    <row r="1224" spans="1:6" ht="30" customHeight="1">
      <c r="A1224" s="6">
        <v>1222</v>
      </c>
      <c r="B1224" s="6" t="str">
        <f>"530020230531172157103908"</f>
        <v>530020230531172157103908</v>
      </c>
      <c r="C1224" s="6" t="str">
        <f t="shared" si="86"/>
        <v>0202</v>
      </c>
      <c r="D1224" s="6" t="s">
        <v>21</v>
      </c>
      <c r="E1224" s="6" t="str">
        <f>"李洪莉"</f>
        <v>李洪莉</v>
      </c>
      <c r="F1224" s="6" t="str">
        <f>"女"</f>
        <v>女</v>
      </c>
    </row>
    <row r="1225" spans="1:6" ht="30" customHeight="1">
      <c r="A1225" s="6">
        <v>1223</v>
      </c>
      <c r="B1225" s="6" t="str">
        <f>"530020230531204740104517"</f>
        <v>530020230531204740104517</v>
      </c>
      <c r="C1225" s="6" t="str">
        <f t="shared" si="86"/>
        <v>0202</v>
      </c>
      <c r="D1225" s="6" t="s">
        <v>21</v>
      </c>
      <c r="E1225" s="6" t="str">
        <f>"杨贵荣"</f>
        <v>杨贵荣</v>
      </c>
      <c r="F1225" s="6" t="str">
        <f>"男"</f>
        <v>男</v>
      </c>
    </row>
    <row r="1226" spans="1:6" ht="30" customHeight="1">
      <c r="A1226" s="6">
        <v>1224</v>
      </c>
      <c r="B1226" s="6" t="str">
        <f>"53002023052916395093430"</f>
        <v>53002023052916395093430</v>
      </c>
      <c r="C1226" s="6" t="str">
        <f t="shared" si="86"/>
        <v>0202</v>
      </c>
      <c r="D1226" s="6" t="s">
        <v>21</v>
      </c>
      <c r="E1226" s="6" t="str">
        <f>"蔡佳琪"</f>
        <v>蔡佳琪</v>
      </c>
      <c r="F1226" s="6" t="str">
        <f aca="true" t="shared" si="87" ref="F1226:F1234">"女"</f>
        <v>女</v>
      </c>
    </row>
    <row r="1227" spans="1:6" ht="30" customHeight="1">
      <c r="A1227" s="6">
        <v>1225</v>
      </c>
      <c r="B1227" s="6" t="str">
        <f>"530020230531075828101136"</f>
        <v>530020230531075828101136</v>
      </c>
      <c r="C1227" s="6" t="str">
        <f t="shared" si="86"/>
        <v>0202</v>
      </c>
      <c r="D1227" s="6" t="s">
        <v>21</v>
      </c>
      <c r="E1227" s="6" t="str">
        <f>"古德丽"</f>
        <v>古德丽</v>
      </c>
      <c r="F1227" s="6" t="str">
        <f t="shared" si="87"/>
        <v>女</v>
      </c>
    </row>
    <row r="1228" spans="1:6" ht="30" customHeight="1">
      <c r="A1228" s="6">
        <v>1226</v>
      </c>
      <c r="B1228" s="6" t="str">
        <f>"530020230601000019105095"</f>
        <v>530020230601000019105095</v>
      </c>
      <c r="C1228" s="6" t="str">
        <f t="shared" si="86"/>
        <v>0202</v>
      </c>
      <c r="D1228" s="6" t="s">
        <v>21</v>
      </c>
      <c r="E1228" s="6" t="str">
        <f>"林婷"</f>
        <v>林婷</v>
      </c>
      <c r="F1228" s="6" t="str">
        <f t="shared" si="87"/>
        <v>女</v>
      </c>
    </row>
    <row r="1229" spans="1:6" ht="30" customHeight="1">
      <c r="A1229" s="6">
        <v>1227</v>
      </c>
      <c r="B1229" s="6" t="str">
        <f>"530020230601002254105114"</f>
        <v>530020230601002254105114</v>
      </c>
      <c r="C1229" s="6" t="str">
        <f t="shared" si="86"/>
        <v>0202</v>
      </c>
      <c r="D1229" s="6" t="s">
        <v>21</v>
      </c>
      <c r="E1229" s="6" t="str">
        <f>"陈秀联"</f>
        <v>陈秀联</v>
      </c>
      <c r="F1229" s="6" t="str">
        <f t="shared" si="87"/>
        <v>女</v>
      </c>
    </row>
    <row r="1230" spans="1:6" ht="30" customHeight="1">
      <c r="A1230" s="6">
        <v>1228</v>
      </c>
      <c r="B1230" s="6" t="str">
        <f>"530020230601080307105238"</f>
        <v>530020230601080307105238</v>
      </c>
      <c r="C1230" s="6" t="str">
        <f t="shared" si="86"/>
        <v>0202</v>
      </c>
      <c r="D1230" s="6" t="s">
        <v>21</v>
      </c>
      <c r="E1230" s="6" t="str">
        <f>"王彩云"</f>
        <v>王彩云</v>
      </c>
      <c r="F1230" s="6" t="str">
        <f t="shared" si="87"/>
        <v>女</v>
      </c>
    </row>
    <row r="1231" spans="1:6" ht="30" customHeight="1">
      <c r="A1231" s="6">
        <v>1229</v>
      </c>
      <c r="B1231" s="6" t="str">
        <f>"53002023053011102597044"</f>
        <v>53002023053011102597044</v>
      </c>
      <c r="C1231" s="6" t="str">
        <f t="shared" si="86"/>
        <v>0202</v>
      </c>
      <c r="D1231" s="6" t="s">
        <v>21</v>
      </c>
      <c r="E1231" s="6" t="str">
        <f>"王迪"</f>
        <v>王迪</v>
      </c>
      <c r="F1231" s="6" t="str">
        <f t="shared" si="87"/>
        <v>女</v>
      </c>
    </row>
    <row r="1232" spans="1:6" ht="30" customHeight="1">
      <c r="A1232" s="6">
        <v>1230</v>
      </c>
      <c r="B1232" s="6" t="str">
        <f>"530020230531152919103344"</f>
        <v>530020230531152919103344</v>
      </c>
      <c r="C1232" s="6" t="str">
        <f t="shared" si="86"/>
        <v>0202</v>
      </c>
      <c r="D1232" s="6" t="s">
        <v>21</v>
      </c>
      <c r="E1232" s="6" t="str">
        <f>"王雪真"</f>
        <v>王雪真</v>
      </c>
      <c r="F1232" s="6" t="str">
        <f t="shared" si="87"/>
        <v>女</v>
      </c>
    </row>
    <row r="1233" spans="1:6" ht="30" customHeight="1">
      <c r="A1233" s="6">
        <v>1231</v>
      </c>
      <c r="B1233" s="6" t="str">
        <f>"530020230601102012105985"</f>
        <v>530020230601102012105985</v>
      </c>
      <c r="C1233" s="6" t="str">
        <f t="shared" si="86"/>
        <v>0202</v>
      </c>
      <c r="D1233" s="6" t="s">
        <v>21</v>
      </c>
      <c r="E1233" s="6" t="str">
        <f>"薛和玉"</f>
        <v>薛和玉</v>
      </c>
      <c r="F1233" s="6" t="str">
        <f t="shared" si="87"/>
        <v>女</v>
      </c>
    </row>
    <row r="1234" spans="1:6" ht="30" customHeight="1">
      <c r="A1234" s="6">
        <v>1232</v>
      </c>
      <c r="B1234" s="6" t="str">
        <f>"530020230601104156106132"</f>
        <v>530020230601104156106132</v>
      </c>
      <c r="C1234" s="6" t="str">
        <f t="shared" si="86"/>
        <v>0202</v>
      </c>
      <c r="D1234" s="6" t="s">
        <v>21</v>
      </c>
      <c r="E1234" s="6" t="str">
        <f>"苏向婷"</f>
        <v>苏向婷</v>
      </c>
      <c r="F1234" s="6" t="str">
        <f t="shared" si="87"/>
        <v>女</v>
      </c>
    </row>
    <row r="1235" spans="1:6" ht="30" customHeight="1">
      <c r="A1235" s="6">
        <v>1233</v>
      </c>
      <c r="B1235" s="6" t="str">
        <f>"530020230601112215106378"</f>
        <v>530020230601112215106378</v>
      </c>
      <c r="C1235" s="6" t="str">
        <f t="shared" si="86"/>
        <v>0202</v>
      </c>
      <c r="D1235" s="6" t="s">
        <v>21</v>
      </c>
      <c r="E1235" s="6" t="str">
        <f>"陈海瑞"</f>
        <v>陈海瑞</v>
      </c>
      <c r="F1235" s="6" t="str">
        <f>"男"</f>
        <v>男</v>
      </c>
    </row>
    <row r="1236" spans="1:6" ht="30" customHeight="1">
      <c r="A1236" s="6">
        <v>1234</v>
      </c>
      <c r="B1236" s="6" t="str">
        <f>"530020230531213347104688"</f>
        <v>530020230531213347104688</v>
      </c>
      <c r="C1236" s="6" t="str">
        <f t="shared" si="86"/>
        <v>0202</v>
      </c>
      <c r="D1236" s="6" t="s">
        <v>21</v>
      </c>
      <c r="E1236" s="6" t="str">
        <f>"王海丽"</f>
        <v>王海丽</v>
      </c>
      <c r="F1236" s="6" t="str">
        <f>"女"</f>
        <v>女</v>
      </c>
    </row>
    <row r="1237" spans="1:6" ht="30" customHeight="1">
      <c r="A1237" s="6">
        <v>1235</v>
      </c>
      <c r="B1237" s="6" t="str">
        <f>"530020230601114913106507"</f>
        <v>530020230601114913106507</v>
      </c>
      <c r="C1237" s="6" t="str">
        <f t="shared" si="86"/>
        <v>0202</v>
      </c>
      <c r="D1237" s="6" t="s">
        <v>21</v>
      </c>
      <c r="E1237" s="6" t="str">
        <f>"杨井桑"</f>
        <v>杨井桑</v>
      </c>
      <c r="F1237" s="6" t="str">
        <f>"女"</f>
        <v>女</v>
      </c>
    </row>
    <row r="1238" spans="1:6" ht="30" customHeight="1">
      <c r="A1238" s="6">
        <v>1236</v>
      </c>
      <c r="B1238" s="6" t="str">
        <f>"530020230601121311106622"</f>
        <v>530020230601121311106622</v>
      </c>
      <c r="C1238" s="6" t="str">
        <f t="shared" si="86"/>
        <v>0202</v>
      </c>
      <c r="D1238" s="6" t="s">
        <v>21</v>
      </c>
      <c r="E1238" s="6" t="str">
        <f>"吴清奕"</f>
        <v>吴清奕</v>
      </c>
      <c r="F1238" s="6" t="str">
        <f>"男"</f>
        <v>男</v>
      </c>
    </row>
    <row r="1239" spans="1:6" ht="30" customHeight="1">
      <c r="A1239" s="6">
        <v>1237</v>
      </c>
      <c r="B1239" s="6" t="str">
        <f>"530020230601124356106761"</f>
        <v>530020230601124356106761</v>
      </c>
      <c r="C1239" s="6" t="str">
        <f t="shared" si="86"/>
        <v>0202</v>
      </c>
      <c r="D1239" s="6" t="s">
        <v>21</v>
      </c>
      <c r="E1239" s="6" t="str">
        <f>"杨卓婷"</f>
        <v>杨卓婷</v>
      </c>
      <c r="F1239" s="6" t="str">
        <f>"女"</f>
        <v>女</v>
      </c>
    </row>
    <row r="1240" spans="1:6" ht="30" customHeight="1">
      <c r="A1240" s="6">
        <v>1238</v>
      </c>
      <c r="B1240" s="6" t="str">
        <f>"530020230601125116106787"</f>
        <v>530020230601125116106787</v>
      </c>
      <c r="C1240" s="6" t="str">
        <f t="shared" si="86"/>
        <v>0202</v>
      </c>
      <c r="D1240" s="6" t="s">
        <v>21</v>
      </c>
      <c r="E1240" s="6" t="str">
        <f>"王冬灵"</f>
        <v>王冬灵</v>
      </c>
      <c r="F1240" s="6" t="str">
        <f>"女"</f>
        <v>女</v>
      </c>
    </row>
    <row r="1241" spans="1:6" ht="30" customHeight="1">
      <c r="A1241" s="6">
        <v>1239</v>
      </c>
      <c r="B1241" s="6" t="str">
        <f>"53002023052821581488985"</f>
        <v>53002023052821581488985</v>
      </c>
      <c r="C1241" s="6" t="str">
        <f t="shared" si="86"/>
        <v>0202</v>
      </c>
      <c r="D1241" s="6" t="s">
        <v>21</v>
      </c>
      <c r="E1241" s="6" t="str">
        <f>"陈承冠"</f>
        <v>陈承冠</v>
      </c>
      <c r="F1241" s="6" t="str">
        <f>"男"</f>
        <v>男</v>
      </c>
    </row>
    <row r="1242" spans="1:6" ht="30" customHeight="1">
      <c r="A1242" s="6">
        <v>1240</v>
      </c>
      <c r="B1242" s="6" t="str">
        <f>"530020230601123126106692"</f>
        <v>530020230601123126106692</v>
      </c>
      <c r="C1242" s="6" t="str">
        <f t="shared" si="86"/>
        <v>0202</v>
      </c>
      <c r="D1242" s="6" t="s">
        <v>21</v>
      </c>
      <c r="E1242" s="6" t="str">
        <f>"李文茹"</f>
        <v>李文茹</v>
      </c>
      <c r="F1242" s="6" t="str">
        <f>"女"</f>
        <v>女</v>
      </c>
    </row>
    <row r="1243" spans="1:6" ht="30" customHeight="1">
      <c r="A1243" s="6">
        <v>1241</v>
      </c>
      <c r="B1243" s="6" t="str">
        <f>"53002023052915143392756"</f>
        <v>53002023052915143392756</v>
      </c>
      <c r="C1243" s="6" t="str">
        <f t="shared" si="86"/>
        <v>0202</v>
      </c>
      <c r="D1243" s="6" t="s">
        <v>21</v>
      </c>
      <c r="E1243" s="6" t="str">
        <f>"田师文"</f>
        <v>田师文</v>
      </c>
      <c r="F1243" s="6" t="str">
        <f>"女"</f>
        <v>女</v>
      </c>
    </row>
    <row r="1244" spans="1:6" ht="30" customHeight="1">
      <c r="A1244" s="6">
        <v>1242</v>
      </c>
      <c r="B1244" s="6" t="str">
        <f>"53002023053010095396525"</f>
        <v>53002023053010095396525</v>
      </c>
      <c r="C1244" s="6" t="str">
        <f t="shared" si="86"/>
        <v>0202</v>
      </c>
      <c r="D1244" s="6" t="s">
        <v>21</v>
      </c>
      <c r="E1244" s="6" t="str">
        <f>"唐小丽"</f>
        <v>唐小丽</v>
      </c>
      <c r="F1244" s="6" t="str">
        <f>"女"</f>
        <v>女</v>
      </c>
    </row>
    <row r="1245" spans="1:6" ht="30" customHeight="1">
      <c r="A1245" s="6">
        <v>1243</v>
      </c>
      <c r="B1245" s="6" t="str">
        <f>"530020230601151933107338"</f>
        <v>530020230601151933107338</v>
      </c>
      <c r="C1245" s="6" t="str">
        <f t="shared" si="86"/>
        <v>0202</v>
      </c>
      <c r="D1245" s="6" t="s">
        <v>21</v>
      </c>
      <c r="E1245" s="6" t="str">
        <f>"陈三妹"</f>
        <v>陈三妹</v>
      </c>
      <c r="F1245" s="6" t="str">
        <f>"女"</f>
        <v>女</v>
      </c>
    </row>
    <row r="1246" spans="1:6" ht="30" customHeight="1">
      <c r="A1246" s="6">
        <v>1244</v>
      </c>
      <c r="B1246" s="6" t="str">
        <f>"530020230601152931107381"</f>
        <v>530020230601152931107381</v>
      </c>
      <c r="C1246" s="6" t="str">
        <f t="shared" si="86"/>
        <v>0202</v>
      </c>
      <c r="D1246" s="6" t="s">
        <v>21</v>
      </c>
      <c r="E1246" s="6" t="str">
        <f>"方金灵"</f>
        <v>方金灵</v>
      </c>
      <c r="F1246" s="6" t="str">
        <f>"女"</f>
        <v>女</v>
      </c>
    </row>
    <row r="1247" spans="1:6" ht="30" customHeight="1">
      <c r="A1247" s="6">
        <v>1245</v>
      </c>
      <c r="B1247" s="6" t="str">
        <f>"530020230601075903105232"</f>
        <v>530020230601075903105232</v>
      </c>
      <c r="C1247" s="6" t="str">
        <f t="shared" si="86"/>
        <v>0202</v>
      </c>
      <c r="D1247" s="6" t="s">
        <v>21</v>
      </c>
      <c r="E1247" s="6" t="str">
        <f>"林道才"</f>
        <v>林道才</v>
      </c>
      <c r="F1247" s="6" t="str">
        <f>"男"</f>
        <v>男</v>
      </c>
    </row>
    <row r="1248" spans="1:6" ht="30" customHeight="1">
      <c r="A1248" s="6">
        <v>1246</v>
      </c>
      <c r="B1248" s="6" t="str">
        <f>"530020230601164843107735"</f>
        <v>530020230601164843107735</v>
      </c>
      <c r="C1248" s="6" t="str">
        <f t="shared" si="86"/>
        <v>0202</v>
      </c>
      <c r="D1248" s="6" t="s">
        <v>21</v>
      </c>
      <c r="E1248" s="6" t="str">
        <f>"李定爱"</f>
        <v>李定爱</v>
      </c>
      <c r="F1248" s="6" t="str">
        <f aca="true" t="shared" si="88" ref="F1248:F1255">"女"</f>
        <v>女</v>
      </c>
    </row>
    <row r="1249" spans="1:6" ht="30" customHeight="1">
      <c r="A1249" s="6">
        <v>1247</v>
      </c>
      <c r="B1249" s="6" t="str">
        <f>"530020230601171638107862"</f>
        <v>530020230601171638107862</v>
      </c>
      <c r="C1249" s="6" t="str">
        <f t="shared" si="86"/>
        <v>0202</v>
      </c>
      <c r="D1249" s="6" t="s">
        <v>21</v>
      </c>
      <c r="E1249" s="6" t="str">
        <f>"符子娟"</f>
        <v>符子娟</v>
      </c>
      <c r="F1249" s="6" t="str">
        <f t="shared" si="88"/>
        <v>女</v>
      </c>
    </row>
    <row r="1250" spans="1:6" ht="30" customHeight="1">
      <c r="A1250" s="6">
        <v>1248</v>
      </c>
      <c r="B1250" s="6" t="str">
        <f>"530020230601175110107979"</f>
        <v>530020230601175110107979</v>
      </c>
      <c r="C1250" s="6" t="str">
        <f t="shared" si="86"/>
        <v>0202</v>
      </c>
      <c r="D1250" s="6" t="s">
        <v>21</v>
      </c>
      <c r="E1250" s="6" t="str">
        <f>"周焕凤"</f>
        <v>周焕凤</v>
      </c>
      <c r="F1250" s="6" t="str">
        <f t="shared" si="88"/>
        <v>女</v>
      </c>
    </row>
    <row r="1251" spans="1:6" ht="30" customHeight="1">
      <c r="A1251" s="6">
        <v>1249</v>
      </c>
      <c r="B1251" s="6" t="str">
        <f>"530020230601161208107570"</f>
        <v>530020230601161208107570</v>
      </c>
      <c r="C1251" s="6" t="str">
        <f t="shared" si="86"/>
        <v>0202</v>
      </c>
      <c r="D1251" s="6" t="s">
        <v>21</v>
      </c>
      <c r="E1251" s="6" t="str">
        <f>"吴晓燕"</f>
        <v>吴晓燕</v>
      </c>
      <c r="F1251" s="6" t="str">
        <f t="shared" si="88"/>
        <v>女</v>
      </c>
    </row>
    <row r="1252" spans="1:6" ht="30" customHeight="1">
      <c r="A1252" s="6">
        <v>1250</v>
      </c>
      <c r="B1252" s="6" t="str">
        <f>"53002023052811530187217"</f>
        <v>53002023052811530187217</v>
      </c>
      <c r="C1252" s="6" t="str">
        <f t="shared" si="86"/>
        <v>0202</v>
      </c>
      <c r="D1252" s="6" t="s">
        <v>21</v>
      </c>
      <c r="E1252" s="6" t="str">
        <f>"郑依萍"</f>
        <v>郑依萍</v>
      </c>
      <c r="F1252" s="6" t="str">
        <f t="shared" si="88"/>
        <v>女</v>
      </c>
    </row>
    <row r="1253" spans="1:6" ht="30" customHeight="1">
      <c r="A1253" s="6">
        <v>1251</v>
      </c>
      <c r="B1253" s="6" t="str">
        <f>"530020230601205205108503"</f>
        <v>530020230601205205108503</v>
      </c>
      <c r="C1253" s="6" t="str">
        <f t="shared" si="86"/>
        <v>0202</v>
      </c>
      <c r="D1253" s="6" t="s">
        <v>21</v>
      </c>
      <c r="E1253" s="6" t="str">
        <f>"刘玲叶"</f>
        <v>刘玲叶</v>
      </c>
      <c r="F1253" s="6" t="str">
        <f t="shared" si="88"/>
        <v>女</v>
      </c>
    </row>
    <row r="1254" spans="1:6" ht="30" customHeight="1">
      <c r="A1254" s="6">
        <v>1252</v>
      </c>
      <c r="B1254" s="6" t="str">
        <f>"530020230601224628108949"</f>
        <v>530020230601224628108949</v>
      </c>
      <c r="C1254" s="6" t="str">
        <f t="shared" si="86"/>
        <v>0202</v>
      </c>
      <c r="D1254" s="6" t="s">
        <v>21</v>
      </c>
      <c r="E1254" s="6" t="str">
        <f>"王春琼"</f>
        <v>王春琼</v>
      </c>
      <c r="F1254" s="6" t="str">
        <f t="shared" si="88"/>
        <v>女</v>
      </c>
    </row>
    <row r="1255" spans="1:6" ht="30" customHeight="1">
      <c r="A1255" s="6">
        <v>1253</v>
      </c>
      <c r="B1255" s="6" t="str">
        <f>"530020230601190302108194"</f>
        <v>530020230601190302108194</v>
      </c>
      <c r="C1255" s="6" t="str">
        <f t="shared" si="86"/>
        <v>0202</v>
      </c>
      <c r="D1255" s="6" t="s">
        <v>21</v>
      </c>
      <c r="E1255" s="6" t="str">
        <f>"石若萍"</f>
        <v>石若萍</v>
      </c>
      <c r="F1255" s="6" t="str">
        <f t="shared" si="88"/>
        <v>女</v>
      </c>
    </row>
    <row r="1256" spans="1:6" ht="30" customHeight="1">
      <c r="A1256" s="6">
        <v>1254</v>
      </c>
      <c r="B1256" s="6" t="str">
        <f>"530020230601232336109050"</f>
        <v>530020230601232336109050</v>
      </c>
      <c r="C1256" s="6" t="str">
        <f t="shared" si="86"/>
        <v>0202</v>
      </c>
      <c r="D1256" s="6" t="s">
        <v>21</v>
      </c>
      <c r="E1256" s="6" t="str">
        <f>"肖灿友"</f>
        <v>肖灿友</v>
      </c>
      <c r="F1256" s="6" t="str">
        <f>"男"</f>
        <v>男</v>
      </c>
    </row>
    <row r="1257" spans="1:6" ht="30" customHeight="1">
      <c r="A1257" s="6">
        <v>1255</v>
      </c>
      <c r="B1257" s="6" t="str">
        <f>"530020230531122755102642"</f>
        <v>530020230531122755102642</v>
      </c>
      <c r="C1257" s="6" t="str">
        <f t="shared" si="86"/>
        <v>0202</v>
      </c>
      <c r="D1257" s="6" t="s">
        <v>21</v>
      </c>
      <c r="E1257" s="6" t="str">
        <f>"王秋琴"</f>
        <v>王秋琴</v>
      </c>
      <c r="F1257" s="6" t="str">
        <f>"女"</f>
        <v>女</v>
      </c>
    </row>
    <row r="1258" spans="1:6" ht="30" customHeight="1">
      <c r="A1258" s="6">
        <v>1256</v>
      </c>
      <c r="B1258" s="6" t="str">
        <f>"530020230602032124109250"</f>
        <v>530020230602032124109250</v>
      </c>
      <c r="C1258" s="6" t="str">
        <f t="shared" si="86"/>
        <v>0202</v>
      </c>
      <c r="D1258" s="6" t="s">
        <v>21</v>
      </c>
      <c r="E1258" s="6" t="str">
        <f>"薛美令"</f>
        <v>薛美令</v>
      </c>
      <c r="F1258" s="6" t="str">
        <f>"女"</f>
        <v>女</v>
      </c>
    </row>
    <row r="1259" spans="1:6" ht="30" customHeight="1">
      <c r="A1259" s="6">
        <v>1257</v>
      </c>
      <c r="B1259" s="6" t="str">
        <f>"530020230601105328106213"</f>
        <v>530020230601105328106213</v>
      </c>
      <c r="C1259" s="6" t="str">
        <f t="shared" si="86"/>
        <v>0202</v>
      </c>
      <c r="D1259" s="6" t="s">
        <v>21</v>
      </c>
      <c r="E1259" s="6" t="str">
        <f>"张宝月"</f>
        <v>张宝月</v>
      </c>
      <c r="F1259" s="6" t="str">
        <f>"女"</f>
        <v>女</v>
      </c>
    </row>
    <row r="1260" spans="1:6" ht="30" customHeight="1">
      <c r="A1260" s="6">
        <v>1258</v>
      </c>
      <c r="B1260" s="6" t="str">
        <f>"530020230602061130109265"</f>
        <v>530020230602061130109265</v>
      </c>
      <c r="C1260" s="6" t="str">
        <f t="shared" si="86"/>
        <v>0202</v>
      </c>
      <c r="D1260" s="6" t="s">
        <v>21</v>
      </c>
      <c r="E1260" s="6" t="str">
        <f>"洪利吉"</f>
        <v>洪利吉</v>
      </c>
      <c r="F1260" s="6" t="str">
        <f>"女"</f>
        <v>女</v>
      </c>
    </row>
    <row r="1261" spans="1:6" ht="30" customHeight="1">
      <c r="A1261" s="6">
        <v>1259</v>
      </c>
      <c r="B1261" s="6" t="str">
        <f>"530020230602082440109354"</f>
        <v>530020230602082440109354</v>
      </c>
      <c r="C1261" s="6" t="str">
        <f t="shared" si="86"/>
        <v>0202</v>
      </c>
      <c r="D1261" s="6" t="s">
        <v>21</v>
      </c>
      <c r="E1261" s="6" t="str">
        <f>"吴曼谊"</f>
        <v>吴曼谊</v>
      </c>
      <c r="F1261" s="6" t="str">
        <f>"女"</f>
        <v>女</v>
      </c>
    </row>
    <row r="1262" spans="1:6" ht="30" customHeight="1">
      <c r="A1262" s="6">
        <v>1260</v>
      </c>
      <c r="B1262" s="6" t="str">
        <f>"530020230602084354109411"</f>
        <v>530020230602084354109411</v>
      </c>
      <c r="C1262" s="6" t="str">
        <f t="shared" si="86"/>
        <v>0202</v>
      </c>
      <c r="D1262" s="6" t="s">
        <v>21</v>
      </c>
      <c r="E1262" s="6" t="str">
        <f>"李云飞"</f>
        <v>李云飞</v>
      </c>
      <c r="F1262" s="6" t="str">
        <f>"男"</f>
        <v>男</v>
      </c>
    </row>
    <row r="1263" spans="1:6" ht="30" customHeight="1">
      <c r="A1263" s="6">
        <v>1261</v>
      </c>
      <c r="B1263" s="6" t="str">
        <f>"530020230601183926108124"</f>
        <v>530020230601183926108124</v>
      </c>
      <c r="C1263" s="6" t="str">
        <f t="shared" si="86"/>
        <v>0202</v>
      </c>
      <c r="D1263" s="6" t="s">
        <v>21</v>
      </c>
      <c r="E1263" s="6" t="str">
        <f>"朱风女"</f>
        <v>朱风女</v>
      </c>
      <c r="F1263" s="6" t="str">
        <f aca="true" t="shared" si="89" ref="F1263:F1303">"女"</f>
        <v>女</v>
      </c>
    </row>
    <row r="1264" spans="1:6" ht="30" customHeight="1">
      <c r="A1264" s="6">
        <v>1262</v>
      </c>
      <c r="B1264" s="6" t="str">
        <f>"530020230601203448108444"</f>
        <v>530020230601203448108444</v>
      </c>
      <c r="C1264" s="6" t="str">
        <f t="shared" si="86"/>
        <v>0202</v>
      </c>
      <c r="D1264" s="6" t="s">
        <v>21</v>
      </c>
      <c r="E1264" s="6" t="str">
        <f>"陈海霞"</f>
        <v>陈海霞</v>
      </c>
      <c r="F1264" s="6" t="str">
        <f t="shared" si="89"/>
        <v>女</v>
      </c>
    </row>
    <row r="1265" spans="1:6" ht="30" customHeight="1">
      <c r="A1265" s="6">
        <v>1263</v>
      </c>
      <c r="B1265" s="6" t="str">
        <f>"530020230602102239109788"</f>
        <v>530020230602102239109788</v>
      </c>
      <c r="C1265" s="6" t="str">
        <f t="shared" si="86"/>
        <v>0202</v>
      </c>
      <c r="D1265" s="6" t="s">
        <v>21</v>
      </c>
      <c r="E1265" s="6" t="str">
        <f>"张馨月"</f>
        <v>张馨月</v>
      </c>
      <c r="F1265" s="6" t="str">
        <f t="shared" si="89"/>
        <v>女</v>
      </c>
    </row>
    <row r="1266" spans="1:6" ht="30" customHeight="1">
      <c r="A1266" s="6">
        <v>1264</v>
      </c>
      <c r="B1266" s="6" t="str">
        <f>"530020230602104425109887"</f>
        <v>530020230602104425109887</v>
      </c>
      <c r="C1266" s="6" t="str">
        <f t="shared" si="86"/>
        <v>0202</v>
      </c>
      <c r="D1266" s="6" t="s">
        <v>21</v>
      </c>
      <c r="E1266" s="6" t="str">
        <f>"陈秋媛"</f>
        <v>陈秋媛</v>
      </c>
      <c r="F1266" s="6" t="str">
        <f t="shared" si="89"/>
        <v>女</v>
      </c>
    </row>
    <row r="1267" spans="1:6" ht="30" customHeight="1">
      <c r="A1267" s="6">
        <v>1265</v>
      </c>
      <c r="B1267" s="6" t="str">
        <f>"530020230602105409109937"</f>
        <v>530020230602105409109937</v>
      </c>
      <c r="C1267" s="6" t="str">
        <f t="shared" si="86"/>
        <v>0202</v>
      </c>
      <c r="D1267" s="6" t="s">
        <v>21</v>
      </c>
      <c r="E1267" s="6" t="str">
        <f>"周丽妃"</f>
        <v>周丽妃</v>
      </c>
      <c r="F1267" s="6" t="str">
        <f t="shared" si="89"/>
        <v>女</v>
      </c>
    </row>
    <row r="1268" spans="1:6" ht="30" customHeight="1">
      <c r="A1268" s="6">
        <v>1266</v>
      </c>
      <c r="B1268" s="6" t="str">
        <f>"530020230602105824109968"</f>
        <v>530020230602105824109968</v>
      </c>
      <c r="C1268" s="6" t="str">
        <f t="shared" si="86"/>
        <v>0202</v>
      </c>
      <c r="D1268" s="6" t="s">
        <v>21</v>
      </c>
      <c r="E1268" s="6" t="str">
        <f>"陈慧萍"</f>
        <v>陈慧萍</v>
      </c>
      <c r="F1268" s="6" t="str">
        <f t="shared" si="89"/>
        <v>女</v>
      </c>
    </row>
    <row r="1269" spans="1:6" ht="30" customHeight="1">
      <c r="A1269" s="6">
        <v>1267</v>
      </c>
      <c r="B1269" s="6" t="str">
        <f>"53002023052709063483678"</f>
        <v>53002023052709063483678</v>
      </c>
      <c r="C1269" s="6" t="str">
        <f aca="true" t="shared" si="90" ref="C1269:C1332">"0203"</f>
        <v>0203</v>
      </c>
      <c r="D1269" s="6" t="s">
        <v>22</v>
      </c>
      <c r="E1269" s="6" t="str">
        <f>"詹嘉雯"</f>
        <v>詹嘉雯</v>
      </c>
      <c r="F1269" s="6" t="str">
        <f t="shared" si="89"/>
        <v>女</v>
      </c>
    </row>
    <row r="1270" spans="1:6" ht="30" customHeight="1">
      <c r="A1270" s="6">
        <v>1268</v>
      </c>
      <c r="B1270" s="6" t="str">
        <f>"53002023052709130383700"</f>
        <v>53002023052709130383700</v>
      </c>
      <c r="C1270" s="6" t="str">
        <f t="shared" si="90"/>
        <v>0203</v>
      </c>
      <c r="D1270" s="6" t="s">
        <v>22</v>
      </c>
      <c r="E1270" s="6" t="str">
        <f>"黎秋丽"</f>
        <v>黎秋丽</v>
      </c>
      <c r="F1270" s="6" t="str">
        <f t="shared" si="89"/>
        <v>女</v>
      </c>
    </row>
    <row r="1271" spans="1:6" ht="30" customHeight="1">
      <c r="A1271" s="6">
        <v>1269</v>
      </c>
      <c r="B1271" s="6" t="str">
        <f>"53002023052709192683726"</f>
        <v>53002023052709192683726</v>
      </c>
      <c r="C1271" s="6" t="str">
        <f t="shared" si="90"/>
        <v>0203</v>
      </c>
      <c r="D1271" s="6" t="s">
        <v>22</v>
      </c>
      <c r="E1271" s="6" t="str">
        <f>"吴高敏"</f>
        <v>吴高敏</v>
      </c>
      <c r="F1271" s="6" t="str">
        <f t="shared" si="89"/>
        <v>女</v>
      </c>
    </row>
    <row r="1272" spans="1:6" ht="30" customHeight="1">
      <c r="A1272" s="6">
        <v>1270</v>
      </c>
      <c r="B1272" s="6" t="str">
        <f>"53002023052709214183733"</f>
        <v>53002023052709214183733</v>
      </c>
      <c r="C1272" s="6" t="str">
        <f t="shared" si="90"/>
        <v>0203</v>
      </c>
      <c r="D1272" s="6" t="s">
        <v>22</v>
      </c>
      <c r="E1272" s="6" t="str">
        <f>"余思爽"</f>
        <v>余思爽</v>
      </c>
      <c r="F1272" s="6" t="str">
        <f t="shared" si="89"/>
        <v>女</v>
      </c>
    </row>
    <row r="1273" spans="1:6" ht="30" customHeight="1">
      <c r="A1273" s="6">
        <v>1271</v>
      </c>
      <c r="B1273" s="6" t="str">
        <f>"53002023052709335383779"</f>
        <v>53002023052709335383779</v>
      </c>
      <c r="C1273" s="6" t="str">
        <f t="shared" si="90"/>
        <v>0203</v>
      </c>
      <c r="D1273" s="6" t="s">
        <v>22</v>
      </c>
      <c r="E1273" s="6" t="str">
        <f>"罗艺雯"</f>
        <v>罗艺雯</v>
      </c>
      <c r="F1273" s="6" t="str">
        <f t="shared" si="89"/>
        <v>女</v>
      </c>
    </row>
    <row r="1274" spans="1:6" ht="30" customHeight="1">
      <c r="A1274" s="6">
        <v>1272</v>
      </c>
      <c r="B1274" s="6" t="str">
        <f>"53002023052709465583826"</f>
        <v>53002023052709465583826</v>
      </c>
      <c r="C1274" s="6" t="str">
        <f t="shared" si="90"/>
        <v>0203</v>
      </c>
      <c r="D1274" s="6" t="s">
        <v>22</v>
      </c>
      <c r="E1274" s="6" t="str">
        <f>"羊钰婷"</f>
        <v>羊钰婷</v>
      </c>
      <c r="F1274" s="6" t="str">
        <f t="shared" si="89"/>
        <v>女</v>
      </c>
    </row>
    <row r="1275" spans="1:6" ht="30" customHeight="1">
      <c r="A1275" s="6">
        <v>1273</v>
      </c>
      <c r="B1275" s="6" t="str">
        <f>"53002023052709572883867"</f>
        <v>53002023052709572883867</v>
      </c>
      <c r="C1275" s="6" t="str">
        <f t="shared" si="90"/>
        <v>0203</v>
      </c>
      <c r="D1275" s="6" t="s">
        <v>22</v>
      </c>
      <c r="E1275" s="6" t="str">
        <f>"张丽河"</f>
        <v>张丽河</v>
      </c>
      <c r="F1275" s="6" t="str">
        <f t="shared" si="89"/>
        <v>女</v>
      </c>
    </row>
    <row r="1276" spans="1:6" ht="30" customHeight="1">
      <c r="A1276" s="6">
        <v>1274</v>
      </c>
      <c r="B1276" s="6" t="str">
        <f>"53002023052709534083854"</f>
        <v>53002023052709534083854</v>
      </c>
      <c r="C1276" s="6" t="str">
        <f t="shared" si="90"/>
        <v>0203</v>
      </c>
      <c r="D1276" s="6" t="s">
        <v>22</v>
      </c>
      <c r="E1276" s="6" t="str">
        <f>"徐楚绚"</f>
        <v>徐楚绚</v>
      </c>
      <c r="F1276" s="6" t="str">
        <f t="shared" si="89"/>
        <v>女</v>
      </c>
    </row>
    <row r="1277" spans="1:6" ht="30" customHeight="1">
      <c r="A1277" s="6">
        <v>1275</v>
      </c>
      <c r="B1277" s="6" t="str">
        <f>"53002023052710171883972"</f>
        <v>53002023052710171883972</v>
      </c>
      <c r="C1277" s="6" t="str">
        <f t="shared" si="90"/>
        <v>0203</v>
      </c>
      <c r="D1277" s="6" t="s">
        <v>22</v>
      </c>
      <c r="E1277" s="6" t="str">
        <f>"黄晓欣"</f>
        <v>黄晓欣</v>
      </c>
      <c r="F1277" s="6" t="str">
        <f t="shared" si="89"/>
        <v>女</v>
      </c>
    </row>
    <row r="1278" spans="1:6" ht="30" customHeight="1">
      <c r="A1278" s="6">
        <v>1276</v>
      </c>
      <c r="B1278" s="6" t="str">
        <f>"53002023052710184383977"</f>
        <v>53002023052710184383977</v>
      </c>
      <c r="C1278" s="6" t="str">
        <f t="shared" si="90"/>
        <v>0203</v>
      </c>
      <c r="D1278" s="6" t="s">
        <v>22</v>
      </c>
      <c r="E1278" s="6" t="str">
        <f>"文小辣"</f>
        <v>文小辣</v>
      </c>
      <c r="F1278" s="6" t="str">
        <f t="shared" si="89"/>
        <v>女</v>
      </c>
    </row>
    <row r="1279" spans="1:6" ht="30" customHeight="1">
      <c r="A1279" s="6">
        <v>1277</v>
      </c>
      <c r="B1279" s="6" t="str">
        <f>"53002023052709093883691"</f>
        <v>53002023052709093883691</v>
      </c>
      <c r="C1279" s="6" t="str">
        <f t="shared" si="90"/>
        <v>0203</v>
      </c>
      <c r="D1279" s="6" t="s">
        <v>22</v>
      </c>
      <c r="E1279" s="6" t="str">
        <f>"李群"</f>
        <v>李群</v>
      </c>
      <c r="F1279" s="6" t="str">
        <f t="shared" si="89"/>
        <v>女</v>
      </c>
    </row>
    <row r="1280" spans="1:6" ht="30" customHeight="1">
      <c r="A1280" s="6">
        <v>1278</v>
      </c>
      <c r="B1280" s="6" t="str">
        <f>"53002023052710191083980"</f>
        <v>53002023052710191083980</v>
      </c>
      <c r="C1280" s="6" t="str">
        <f t="shared" si="90"/>
        <v>0203</v>
      </c>
      <c r="D1280" s="6" t="s">
        <v>22</v>
      </c>
      <c r="E1280" s="6" t="str">
        <f>"高珊珊"</f>
        <v>高珊珊</v>
      </c>
      <c r="F1280" s="6" t="str">
        <f t="shared" si="89"/>
        <v>女</v>
      </c>
    </row>
    <row r="1281" spans="1:6" ht="30" customHeight="1">
      <c r="A1281" s="6">
        <v>1279</v>
      </c>
      <c r="B1281" s="6" t="str">
        <f>"53002023052710231184001"</f>
        <v>53002023052710231184001</v>
      </c>
      <c r="C1281" s="6" t="str">
        <f t="shared" si="90"/>
        <v>0203</v>
      </c>
      <c r="D1281" s="6" t="s">
        <v>22</v>
      </c>
      <c r="E1281" s="6" t="str">
        <f>"高芳琳"</f>
        <v>高芳琳</v>
      </c>
      <c r="F1281" s="6" t="str">
        <f t="shared" si="89"/>
        <v>女</v>
      </c>
    </row>
    <row r="1282" spans="1:6" ht="30" customHeight="1">
      <c r="A1282" s="6">
        <v>1280</v>
      </c>
      <c r="B1282" s="6" t="str">
        <f>"53002023052710115283944"</f>
        <v>53002023052710115283944</v>
      </c>
      <c r="C1282" s="6" t="str">
        <f t="shared" si="90"/>
        <v>0203</v>
      </c>
      <c r="D1282" s="6" t="s">
        <v>22</v>
      </c>
      <c r="E1282" s="6" t="str">
        <f>"杜微"</f>
        <v>杜微</v>
      </c>
      <c r="F1282" s="6" t="str">
        <f t="shared" si="89"/>
        <v>女</v>
      </c>
    </row>
    <row r="1283" spans="1:6" ht="30" customHeight="1">
      <c r="A1283" s="6">
        <v>1281</v>
      </c>
      <c r="B1283" s="6" t="str">
        <f>"53002023052710023483891"</f>
        <v>53002023052710023483891</v>
      </c>
      <c r="C1283" s="6" t="str">
        <f t="shared" si="90"/>
        <v>0203</v>
      </c>
      <c r="D1283" s="6" t="s">
        <v>22</v>
      </c>
      <c r="E1283" s="6" t="str">
        <f>"邓美环"</f>
        <v>邓美环</v>
      </c>
      <c r="F1283" s="6" t="str">
        <f t="shared" si="89"/>
        <v>女</v>
      </c>
    </row>
    <row r="1284" spans="1:6" ht="30" customHeight="1">
      <c r="A1284" s="6">
        <v>1282</v>
      </c>
      <c r="B1284" s="6" t="str">
        <f>"53002023052710342484050"</f>
        <v>53002023052710342484050</v>
      </c>
      <c r="C1284" s="6" t="str">
        <f t="shared" si="90"/>
        <v>0203</v>
      </c>
      <c r="D1284" s="6" t="s">
        <v>22</v>
      </c>
      <c r="E1284" s="6" t="str">
        <f>"吴井爱"</f>
        <v>吴井爱</v>
      </c>
      <c r="F1284" s="6" t="str">
        <f t="shared" si="89"/>
        <v>女</v>
      </c>
    </row>
    <row r="1285" spans="1:6" ht="30" customHeight="1">
      <c r="A1285" s="6">
        <v>1283</v>
      </c>
      <c r="B1285" s="6" t="str">
        <f>"53002023052711403984342"</f>
        <v>53002023052711403984342</v>
      </c>
      <c r="C1285" s="6" t="str">
        <f t="shared" si="90"/>
        <v>0203</v>
      </c>
      <c r="D1285" s="6" t="s">
        <v>22</v>
      </c>
      <c r="E1285" s="6" t="str">
        <f>"陈开顺"</f>
        <v>陈开顺</v>
      </c>
      <c r="F1285" s="6" t="str">
        <f t="shared" si="89"/>
        <v>女</v>
      </c>
    </row>
    <row r="1286" spans="1:6" ht="30" customHeight="1">
      <c r="A1286" s="6">
        <v>1284</v>
      </c>
      <c r="B1286" s="6" t="str">
        <f>"53002023052711474084369"</f>
        <v>53002023052711474084369</v>
      </c>
      <c r="C1286" s="6" t="str">
        <f t="shared" si="90"/>
        <v>0203</v>
      </c>
      <c r="D1286" s="6" t="s">
        <v>22</v>
      </c>
      <c r="E1286" s="6" t="str">
        <f>"贾梦鸽"</f>
        <v>贾梦鸽</v>
      </c>
      <c r="F1286" s="6" t="str">
        <f t="shared" si="89"/>
        <v>女</v>
      </c>
    </row>
    <row r="1287" spans="1:6" ht="30" customHeight="1">
      <c r="A1287" s="6">
        <v>1285</v>
      </c>
      <c r="B1287" s="6" t="str">
        <f>"53002023052712325384526"</f>
        <v>53002023052712325384526</v>
      </c>
      <c r="C1287" s="6" t="str">
        <f t="shared" si="90"/>
        <v>0203</v>
      </c>
      <c r="D1287" s="6" t="s">
        <v>22</v>
      </c>
      <c r="E1287" s="6" t="str">
        <f>"彭秋美"</f>
        <v>彭秋美</v>
      </c>
      <c r="F1287" s="6" t="str">
        <f t="shared" si="89"/>
        <v>女</v>
      </c>
    </row>
    <row r="1288" spans="1:6" ht="30" customHeight="1">
      <c r="A1288" s="6">
        <v>1286</v>
      </c>
      <c r="B1288" s="6" t="str">
        <f>"53002023052713245284700"</f>
        <v>53002023052713245284700</v>
      </c>
      <c r="C1288" s="6" t="str">
        <f t="shared" si="90"/>
        <v>0203</v>
      </c>
      <c r="D1288" s="6" t="s">
        <v>22</v>
      </c>
      <c r="E1288" s="6" t="str">
        <f>"冉桂艳"</f>
        <v>冉桂艳</v>
      </c>
      <c r="F1288" s="6" t="str">
        <f t="shared" si="89"/>
        <v>女</v>
      </c>
    </row>
    <row r="1289" spans="1:6" ht="30" customHeight="1">
      <c r="A1289" s="6">
        <v>1287</v>
      </c>
      <c r="B1289" s="6" t="str">
        <f>"53002023052714395084929"</f>
        <v>53002023052714395084929</v>
      </c>
      <c r="C1289" s="6" t="str">
        <f t="shared" si="90"/>
        <v>0203</v>
      </c>
      <c r="D1289" s="6" t="s">
        <v>22</v>
      </c>
      <c r="E1289" s="6" t="str">
        <f>" 邱春汝"</f>
        <v> 邱春汝</v>
      </c>
      <c r="F1289" s="6" t="str">
        <f t="shared" si="89"/>
        <v>女</v>
      </c>
    </row>
    <row r="1290" spans="1:6" ht="30" customHeight="1">
      <c r="A1290" s="6">
        <v>1288</v>
      </c>
      <c r="B1290" s="6" t="str">
        <f>"53002023052715215285089"</f>
        <v>53002023052715215285089</v>
      </c>
      <c r="C1290" s="6" t="str">
        <f t="shared" si="90"/>
        <v>0203</v>
      </c>
      <c r="D1290" s="6" t="s">
        <v>22</v>
      </c>
      <c r="E1290" s="6" t="str">
        <f>"李依函"</f>
        <v>李依函</v>
      </c>
      <c r="F1290" s="6" t="str">
        <f t="shared" si="89"/>
        <v>女</v>
      </c>
    </row>
    <row r="1291" spans="1:6" ht="30" customHeight="1">
      <c r="A1291" s="6">
        <v>1289</v>
      </c>
      <c r="B1291" s="6" t="str">
        <f>"53002023052716324885328"</f>
        <v>53002023052716324885328</v>
      </c>
      <c r="C1291" s="6" t="str">
        <f t="shared" si="90"/>
        <v>0203</v>
      </c>
      <c r="D1291" s="6" t="s">
        <v>22</v>
      </c>
      <c r="E1291" s="6" t="str">
        <f>"赵海燕"</f>
        <v>赵海燕</v>
      </c>
      <c r="F1291" s="6" t="str">
        <f t="shared" si="89"/>
        <v>女</v>
      </c>
    </row>
    <row r="1292" spans="1:6" ht="30" customHeight="1">
      <c r="A1292" s="6">
        <v>1290</v>
      </c>
      <c r="B1292" s="6" t="str">
        <f>"53002023052714490584969"</f>
        <v>53002023052714490584969</v>
      </c>
      <c r="C1292" s="6" t="str">
        <f t="shared" si="90"/>
        <v>0203</v>
      </c>
      <c r="D1292" s="6" t="s">
        <v>22</v>
      </c>
      <c r="E1292" s="6" t="str">
        <f>"沈媛媛"</f>
        <v>沈媛媛</v>
      </c>
      <c r="F1292" s="6" t="str">
        <f t="shared" si="89"/>
        <v>女</v>
      </c>
    </row>
    <row r="1293" spans="1:6" ht="30" customHeight="1">
      <c r="A1293" s="6">
        <v>1291</v>
      </c>
      <c r="B1293" s="6" t="str">
        <f>"53002023052717380785545"</f>
        <v>53002023052717380785545</v>
      </c>
      <c r="C1293" s="6" t="str">
        <f t="shared" si="90"/>
        <v>0203</v>
      </c>
      <c r="D1293" s="6" t="s">
        <v>22</v>
      </c>
      <c r="E1293" s="6" t="str">
        <f>"羊秀庆"</f>
        <v>羊秀庆</v>
      </c>
      <c r="F1293" s="6" t="str">
        <f t="shared" si="89"/>
        <v>女</v>
      </c>
    </row>
    <row r="1294" spans="1:6" ht="30" customHeight="1">
      <c r="A1294" s="6">
        <v>1292</v>
      </c>
      <c r="B1294" s="6" t="str">
        <f>"53002023052719433785863"</f>
        <v>53002023052719433785863</v>
      </c>
      <c r="C1294" s="6" t="str">
        <f t="shared" si="90"/>
        <v>0203</v>
      </c>
      <c r="D1294" s="6" t="s">
        <v>22</v>
      </c>
      <c r="E1294" s="6" t="str">
        <f>"陈秋月"</f>
        <v>陈秋月</v>
      </c>
      <c r="F1294" s="6" t="str">
        <f t="shared" si="89"/>
        <v>女</v>
      </c>
    </row>
    <row r="1295" spans="1:6" ht="30" customHeight="1">
      <c r="A1295" s="6">
        <v>1293</v>
      </c>
      <c r="B1295" s="6" t="str">
        <f>"53002023052719502885887"</f>
        <v>53002023052719502885887</v>
      </c>
      <c r="C1295" s="6" t="str">
        <f t="shared" si="90"/>
        <v>0203</v>
      </c>
      <c r="D1295" s="6" t="s">
        <v>22</v>
      </c>
      <c r="E1295" s="6" t="str">
        <f>"黄河花"</f>
        <v>黄河花</v>
      </c>
      <c r="F1295" s="6" t="str">
        <f t="shared" si="89"/>
        <v>女</v>
      </c>
    </row>
    <row r="1296" spans="1:6" ht="30" customHeight="1">
      <c r="A1296" s="6">
        <v>1294</v>
      </c>
      <c r="B1296" s="6" t="str">
        <f>"53002023052719593185924"</f>
        <v>53002023052719593185924</v>
      </c>
      <c r="C1296" s="6" t="str">
        <f t="shared" si="90"/>
        <v>0203</v>
      </c>
      <c r="D1296" s="6" t="s">
        <v>22</v>
      </c>
      <c r="E1296" s="6" t="str">
        <f>"符丽雯"</f>
        <v>符丽雯</v>
      </c>
      <c r="F1296" s="6" t="str">
        <f t="shared" si="89"/>
        <v>女</v>
      </c>
    </row>
    <row r="1297" spans="1:6" ht="30" customHeight="1">
      <c r="A1297" s="6">
        <v>1295</v>
      </c>
      <c r="B1297" s="6" t="str">
        <f>"53002023052720093985951"</f>
        <v>53002023052720093985951</v>
      </c>
      <c r="C1297" s="6" t="str">
        <f t="shared" si="90"/>
        <v>0203</v>
      </c>
      <c r="D1297" s="6" t="s">
        <v>22</v>
      </c>
      <c r="E1297" s="6" t="str">
        <f>"王莹"</f>
        <v>王莹</v>
      </c>
      <c r="F1297" s="6" t="str">
        <f t="shared" si="89"/>
        <v>女</v>
      </c>
    </row>
    <row r="1298" spans="1:6" ht="30" customHeight="1">
      <c r="A1298" s="6">
        <v>1296</v>
      </c>
      <c r="B1298" s="6" t="str">
        <f>"53002023052720452186063"</f>
        <v>53002023052720452186063</v>
      </c>
      <c r="C1298" s="6" t="str">
        <f t="shared" si="90"/>
        <v>0203</v>
      </c>
      <c r="D1298" s="6" t="s">
        <v>22</v>
      </c>
      <c r="E1298" s="6" t="str">
        <f>"郑花"</f>
        <v>郑花</v>
      </c>
      <c r="F1298" s="6" t="str">
        <f t="shared" si="89"/>
        <v>女</v>
      </c>
    </row>
    <row r="1299" spans="1:6" ht="30" customHeight="1">
      <c r="A1299" s="6">
        <v>1297</v>
      </c>
      <c r="B1299" s="6" t="str">
        <f>"53002023052709285783756"</f>
        <v>53002023052709285783756</v>
      </c>
      <c r="C1299" s="6" t="str">
        <f t="shared" si="90"/>
        <v>0203</v>
      </c>
      <c r="D1299" s="6" t="s">
        <v>22</v>
      </c>
      <c r="E1299" s="6" t="str">
        <f>"冼则莹"</f>
        <v>冼则莹</v>
      </c>
      <c r="F1299" s="6" t="str">
        <f t="shared" si="89"/>
        <v>女</v>
      </c>
    </row>
    <row r="1300" spans="1:6" ht="30" customHeight="1">
      <c r="A1300" s="6">
        <v>1298</v>
      </c>
      <c r="B1300" s="6" t="str">
        <f>"53002023052717073585448"</f>
        <v>53002023052717073585448</v>
      </c>
      <c r="C1300" s="6" t="str">
        <f t="shared" si="90"/>
        <v>0203</v>
      </c>
      <c r="D1300" s="6" t="s">
        <v>22</v>
      </c>
      <c r="E1300" s="6" t="str">
        <f>"陈逸荞"</f>
        <v>陈逸荞</v>
      </c>
      <c r="F1300" s="6" t="str">
        <f t="shared" si="89"/>
        <v>女</v>
      </c>
    </row>
    <row r="1301" spans="1:6" ht="30" customHeight="1">
      <c r="A1301" s="6">
        <v>1299</v>
      </c>
      <c r="B1301" s="6" t="str">
        <f>"53002023052717153185478"</f>
        <v>53002023052717153185478</v>
      </c>
      <c r="C1301" s="6" t="str">
        <f t="shared" si="90"/>
        <v>0203</v>
      </c>
      <c r="D1301" s="6" t="s">
        <v>22</v>
      </c>
      <c r="E1301" s="6" t="str">
        <f>"符秀迪"</f>
        <v>符秀迪</v>
      </c>
      <c r="F1301" s="6" t="str">
        <f t="shared" si="89"/>
        <v>女</v>
      </c>
    </row>
    <row r="1302" spans="1:6" ht="30" customHeight="1">
      <c r="A1302" s="6">
        <v>1300</v>
      </c>
      <c r="B1302" s="6" t="str">
        <f>"53002023052721004786123"</f>
        <v>53002023052721004786123</v>
      </c>
      <c r="C1302" s="6" t="str">
        <f t="shared" si="90"/>
        <v>0203</v>
      </c>
      <c r="D1302" s="6" t="s">
        <v>22</v>
      </c>
      <c r="E1302" s="6" t="str">
        <f>"王二妃"</f>
        <v>王二妃</v>
      </c>
      <c r="F1302" s="6" t="str">
        <f t="shared" si="89"/>
        <v>女</v>
      </c>
    </row>
    <row r="1303" spans="1:6" ht="30" customHeight="1">
      <c r="A1303" s="6">
        <v>1301</v>
      </c>
      <c r="B1303" s="6" t="str">
        <f>"53002023052719412285856"</f>
        <v>53002023052719412285856</v>
      </c>
      <c r="C1303" s="6" t="str">
        <f t="shared" si="90"/>
        <v>0203</v>
      </c>
      <c r="D1303" s="6" t="s">
        <v>22</v>
      </c>
      <c r="E1303" s="6" t="str">
        <f>"张定英"</f>
        <v>张定英</v>
      </c>
      <c r="F1303" s="6" t="str">
        <f t="shared" si="89"/>
        <v>女</v>
      </c>
    </row>
    <row r="1304" spans="1:6" ht="30" customHeight="1">
      <c r="A1304" s="6">
        <v>1302</v>
      </c>
      <c r="B1304" s="6" t="str">
        <f>"53002023052721584186309"</f>
        <v>53002023052721584186309</v>
      </c>
      <c r="C1304" s="6" t="str">
        <f t="shared" si="90"/>
        <v>0203</v>
      </c>
      <c r="D1304" s="6" t="s">
        <v>22</v>
      </c>
      <c r="E1304" s="6" t="str">
        <f>"吴奠珍"</f>
        <v>吴奠珍</v>
      </c>
      <c r="F1304" s="6" t="str">
        <f>"男"</f>
        <v>男</v>
      </c>
    </row>
    <row r="1305" spans="1:6" ht="30" customHeight="1">
      <c r="A1305" s="6">
        <v>1303</v>
      </c>
      <c r="B1305" s="6" t="str">
        <f>"53002023052722460686450"</f>
        <v>53002023052722460686450</v>
      </c>
      <c r="C1305" s="6" t="str">
        <f t="shared" si="90"/>
        <v>0203</v>
      </c>
      <c r="D1305" s="6" t="s">
        <v>22</v>
      </c>
      <c r="E1305" s="6" t="str">
        <f>"陈雪"</f>
        <v>陈雪</v>
      </c>
      <c r="F1305" s="6" t="str">
        <f>"女"</f>
        <v>女</v>
      </c>
    </row>
    <row r="1306" spans="1:6" ht="30" customHeight="1">
      <c r="A1306" s="6">
        <v>1304</v>
      </c>
      <c r="B1306" s="6" t="str">
        <f>"53002023052722424786440"</f>
        <v>53002023052722424786440</v>
      </c>
      <c r="C1306" s="6" t="str">
        <f t="shared" si="90"/>
        <v>0203</v>
      </c>
      <c r="D1306" s="6" t="s">
        <v>22</v>
      </c>
      <c r="E1306" s="6" t="str">
        <f>"林小蕊"</f>
        <v>林小蕊</v>
      </c>
      <c r="F1306" s="6" t="str">
        <f>"女"</f>
        <v>女</v>
      </c>
    </row>
    <row r="1307" spans="1:6" ht="30" customHeight="1">
      <c r="A1307" s="6">
        <v>1305</v>
      </c>
      <c r="B1307" s="6" t="str">
        <f>"53002023052723002186490"</f>
        <v>53002023052723002186490</v>
      </c>
      <c r="C1307" s="6" t="str">
        <f t="shared" si="90"/>
        <v>0203</v>
      </c>
      <c r="D1307" s="6" t="s">
        <v>22</v>
      </c>
      <c r="E1307" s="6" t="str">
        <f>"张龙斌"</f>
        <v>张龙斌</v>
      </c>
      <c r="F1307" s="6" t="str">
        <f>"男"</f>
        <v>男</v>
      </c>
    </row>
    <row r="1308" spans="1:6" ht="30" customHeight="1">
      <c r="A1308" s="6">
        <v>1306</v>
      </c>
      <c r="B1308" s="6" t="str">
        <f>"53002023052723170186530"</f>
        <v>53002023052723170186530</v>
      </c>
      <c r="C1308" s="6" t="str">
        <f t="shared" si="90"/>
        <v>0203</v>
      </c>
      <c r="D1308" s="6" t="s">
        <v>22</v>
      </c>
      <c r="E1308" s="6" t="str">
        <f>"陈菲"</f>
        <v>陈菲</v>
      </c>
      <c r="F1308" s="6" t="str">
        <f aca="true" t="shared" si="91" ref="F1308:F1327">"女"</f>
        <v>女</v>
      </c>
    </row>
    <row r="1309" spans="1:6" ht="30" customHeight="1">
      <c r="A1309" s="6">
        <v>1307</v>
      </c>
      <c r="B1309" s="6" t="str">
        <f>"53002023052810415587025"</f>
        <v>53002023052810415587025</v>
      </c>
      <c r="C1309" s="6" t="str">
        <f t="shared" si="90"/>
        <v>0203</v>
      </c>
      <c r="D1309" s="6" t="s">
        <v>22</v>
      </c>
      <c r="E1309" s="6" t="str">
        <f>"汤博芬"</f>
        <v>汤博芬</v>
      </c>
      <c r="F1309" s="6" t="str">
        <f t="shared" si="91"/>
        <v>女</v>
      </c>
    </row>
    <row r="1310" spans="1:6" ht="30" customHeight="1">
      <c r="A1310" s="6">
        <v>1308</v>
      </c>
      <c r="B1310" s="6" t="str">
        <f>"53002023052810581087072"</f>
        <v>53002023052810581087072</v>
      </c>
      <c r="C1310" s="6" t="str">
        <f t="shared" si="90"/>
        <v>0203</v>
      </c>
      <c r="D1310" s="6" t="s">
        <v>22</v>
      </c>
      <c r="E1310" s="6" t="str">
        <f>"陈惠充"</f>
        <v>陈惠充</v>
      </c>
      <c r="F1310" s="6" t="str">
        <f t="shared" si="91"/>
        <v>女</v>
      </c>
    </row>
    <row r="1311" spans="1:6" ht="30" customHeight="1">
      <c r="A1311" s="6">
        <v>1309</v>
      </c>
      <c r="B1311" s="6" t="str">
        <f>"53002023052811052187094"</f>
        <v>53002023052811052187094</v>
      </c>
      <c r="C1311" s="6" t="str">
        <f t="shared" si="90"/>
        <v>0203</v>
      </c>
      <c r="D1311" s="6" t="s">
        <v>22</v>
      </c>
      <c r="E1311" s="6" t="str">
        <f>"韩海霞"</f>
        <v>韩海霞</v>
      </c>
      <c r="F1311" s="6" t="str">
        <f t="shared" si="91"/>
        <v>女</v>
      </c>
    </row>
    <row r="1312" spans="1:6" ht="30" customHeight="1">
      <c r="A1312" s="6">
        <v>1310</v>
      </c>
      <c r="B1312" s="6" t="str">
        <f>"53002023052811394787184"</f>
        <v>53002023052811394787184</v>
      </c>
      <c r="C1312" s="6" t="str">
        <f t="shared" si="90"/>
        <v>0203</v>
      </c>
      <c r="D1312" s="6" t="s">
        <v>22</v>
      </c>
      <c r="E1312" s="6" t="str">
        <f>"李金玲"</f>
        <v>李金玲</v>
      </c>
      <c r="F1312" s="6" t="str">
        <f t="shared" si="91"/>
        <v>女</v>
      </c>
    </row>
    <row r="1313" spans="1:6" ht="30" customHeight="1">
      <c r="A1313" s="6">
        <v>1311</v>
      </c>
      <c r="B1313" s="6" t="str">
        <f>"53002023052812063987247"</f>
        <v>53002023052812063987247</v>
      </c>
      <c r="C1313" s="6" t="str">
        <f t="shared" si="90"/>
        <v>0203</v>
      </c>
      <c r="D1313" s="6" t="s">
        <v>22</v>
      </c>
      <c r="E1313" s="6" t="str">
        <f>"黄小红"</f>
        <v>黄小红</v>
      </c>
      <c r="F1313" s="6" t="str">
        <f t="shared" si="91"/>
        <v>女</v>
      </c>
    </row>
    <row r="1314" spans="1:6" ht="30" customHeight="1">
      <c r="A1314" s="6">
        <v>1312</v>
      </c>
      <c r="B1314" s="6" t="str">
        <f>"53002023052812285587299"</f>
        <v>53002023052812285587299</v>
      </c>
      <c r="C1314" s="6" t="str">
        <f t="shared" si="90"/>
        <v>0203</v>
      </c>
      <c r="D1314" s="6" t="s">
        <v>22</v>
      </c>
      <c r="E1314" s="6" t="str">
        <f>"黄彩英"</f>
        <v>黄彩英</v>
      </c>
      <c r="F1314" s="6" t="str">
        <f t="shared" si="91"/>
        <v>女</v>
      </c>
    </row>
    <row r="1315" spans="1:6" ht="30" customHeight="1">
      <c r="A1315" s="6">
        <v>1313</v>
      </c>
      <c r="B1315" s="6" t="str">
        <f>"53002023052711293284304"</f>
        <v>53002023052711293284304</v>
      </c>
      <c r="C1315" s="6" t="str">
        <f t="shared" si="90"/>
        <v>0203</v>
      </c>
      <c r="D1315" s="6" t="s">
        <v>22</v>
      </c>
      <c r="E1315" s="6" t="str">
        <f>"周亚光"</f>
        <v>周亚光</v>
      </c>
      <c r="F1315" s="6" t="str">
        <f t="shared" si="91"/>
        <v>女</v>
      </c>
    </row>
    <row r="1316" spans="1:6" ht="30" customHeight="1">
      <c r="A1316" s="6">
        <v>1314</v>
      </c>
      <c r="B1316" s="6" t="str">
        <f>"53002023052813523887534"</f>
        <v>53002023052813523887534</v>
      </c>
      <c r="C1316" s="6" t="str">
        <f t="shared" si="90"/>
        <v>0203</v>
      </c>
      <c r="D1316" s="6" t="s">
        <v>22</v>
      </c>
      <c r="E1316" s="6" t="str">
        <f>"聂萍"</f>
        <v>聂萍</v>
      </c>
      <c r="F1316" s="6" t="str">
        <f t="shared" si="91"/>
        <v>女</v>
      </c>
    </row>
    <row r="1317" spans="1:6" ht="30" customHeight="1">
      <c r="A1317" s="6">
        <v>1315</v>
      </c>
      <c r="B1317" s="6" t="str">
        <f>"53002023052720291086011"</f>
        <v>53002023052720291086011</v>
      </c>
      <c r="C1317" s="6" t="str">
        <f t="shared" si="90"/>
        <v>0203</v>
      </c>
      <c r="D1317" s="6" t="s">
        <v>22</v>
      </c>
      <c r="E1317" s="6" t="str">
        <f>"魏美慧"</f>
        <v>魏美慧</v>
      </c>
      <c r="F1317" s="6" t="str">
        <f t="shared" si="91"/>
        <v>女</v>
      </c>
    </row>
    <row r="1318" spans="1:6" ht="30" customHeight="1">
      <c r="A1318" s="6">
        <v>1316</v>
      </c>
      <c r="B1318" s="6" t="str">
        <f>"53002023052813453987520"</f>
        <v>53002023052813453987520</v>
      </c>
      <c r="C1318" s="6" t="str">
        <f t="shared" si="90"/>
        <v>0203</v>
      </c>
      <c r="D1318" s="6" t="s">
        <v>22</v>
      </c>
      <c r="E1318" s="6" t="str">
        <f>"肖艳"</f>
        <v>肖艳</v>
      </c>
      <c r="F1318" s="6" t="str">
        <f t="shared" si="91"/>
        <v>女</v>
      </c>
    </row>
    <row r="1319" spans="1:6" ht="30" customHeight="1">
      <c r="A1319" s="6">
        <v>1317</v>
      </c>
      <c r="B1319" s="6" t="str">
        <f>"53002023052815004087687"</f>
        <v>53002023052815004087687</v>
      </c>
      <c r="C1319" s="6" t="str">
        <f t="shared" si="90"/>
        <v>0203</v>
      </c>
      <c r="D1319" s="6" t="s">
        <v>22</v>
      </c>
      <c r="E1319" s="6" t="str">
        <f>"黄子慧"</f>
        <v>黄子慧</v>
      </c>
      <c r="F1319" s="6" t="str">
        <f t="shared" si="91"/>
        <v>女</v>
      </c>
    </row>
    <row r="1320" spans="1:6" ht="30" customHeight="1">
      <c r="A1320" s="6">
        <v>1318</v>
      </c>
      <c r="B1320" s="6" t="str">
        <f>"53002023052815000787685"</f>
        <v>53002023052815000787685</v>
      </c>
      <c r="C1320" s="6" t="str">
        <f t="shared" si="90"/>
        <v>0203</v>
      </c>
      <c r="D1320" s="6" t="s">
        <v>22</v>
      </c>
      <c r="E1320" s="6" t="str">
        <f>"张顺新"</f>
        <v>张顺新</v>
      </c>
      <c r="F1320" s="6" t="str">
        <f t="shared" si="91"/>
        <v>女</v>
      </c>
    </row>
    <row r="1321" spans="1:6" ht="30" customHeight="1">
      <c r="A1321" s="6">
        <v>1319</v>
      </c>
      <c r="B1321" s="6" t="str">
        <f>"53002023052816275087932"</f>
        <v>53002023052816275087932</v>
      </c>
      <c r="C1321" s="6" t="str">
        <f t="shared" si="90"/>
        <v>0203</v>
      </c>
      <c r="D1321" s="6" t="s">
        <v>22</v>
      </c>
      <c r="E1321" s="6" t="str">
        <f>"黎晓晴"</f>
        <v>黎晓晴</v>
      </c>
      <c r="F1321" s="6" t="str">
        <f t="shared" si="91"/>
        <v>女</v>
      </c>
    </row>
    <row r="1322" spans="1:6" ht="30" customHeight="1">
      <c r="A1322" s="6">
        <v>1320</v>
      </c>
      <c r="B1322" s="6" t="str">
        <f>"53002023052815432687802"</f>
        <v>53002023052815432687802</v>
      </c>
      <c r="C1322" s="6" t="str">
        <f t="shared" si="90"/>
        <v>0203</v>
      </c>
      <c r="D1322" s="6" t="s">
        <v>22</v>
      </c>
      <c r="E1322" s="6" t="str">
        <f>"黄敏"</f>
        <v>黄敏</v>
      </c>
      <c r="F1322" s="6" t="str">
        <f t="shared" si="91"/>
        <v>女</v>
      </c>
    </row>
    <row r="1323" spans="1:6" ht="30" customHeight="1">
      <c r="A1323" s="6">
        <v>1321</v>
      </c>
      <c r="B1323" s="6" t="str">
        <f>"53002023052709140383708"</f>
        <v>53002023052709140383708</v>
      </c>
      <c r="C1323" s="6" t="str">
        <f t="shared" si="90"/>
        <v>0203</v>
      </c>
      <c r="D1323" s="6" t="s">
        <v>22</v>
      </c>
      <c r="E1323" s="6" t="str">
        <f>"王丽霞"</f>
        <v>王丽霞</v>
      </c>
      <c r="F1323" s="6" t="str">
        <f t="shared" si="91"/>
        <v>女</v>
      </c>
    </row>
    <row r="1324" spans="1:6" ht="30" customHeight="1">
      <c r="A1324" s="6">
        <v>1322</v>
      </c>
      <c r="B1324" s="6" t="str">
        <f>"53002023052817344388123"</f>
        <v>53002023052817344388123</v>
      </c>
      <c r="C1324" s="6" t="str">
        <f t="shared" si="90"/>
        <v>0203</v>
      </c>
      <c r="D1324" s="6" t="s">
        <v>22</v>
      </c>
      <c r="E1324" s="6" t="str">
        <f>"钟金贝"</f>
        <v>钟金贝</v>
      </c>
      <c r="F1324" s="6" t="str">
        <f t="shared" si="91"/>
        <v>女</v>
      </c>
    </row>
    <row r="1325" spans="1:6" ht="30" customHeight="1">
      <c r="A1325" s="6">
        <v>1323</v>
      </c>
      <c r="B1325" s="6" t="str">
        <f>"53002023052817221388091"</f>
        <v>53002023052817221388091</v>
      </c>
      <c r="C1325" s="6" t="str">
        <f t="shared" si="90"/>
        <v>0203</v>
      </c>
      <c r="D1325" s="6" t="s">
        <v>22</v>
      </c>
      <c r="E1325" s="6" t="str">
        <f>"陈伟妍"</f>
        <v>陈伟妍</v>
      </c>
      <c r="F1325" s="6" t="str">
        <f t="shared" si="91"/>
        <v>女</v>
      </c>
    </row>
    <row r="1326" spans="1:6" ht="30" customHeight="1">
      <c r="A1326" s="6">
        <v>1324</v>
      </c>
      <c r="B1326" s="6" t="str">
        <f>"53002023052715500785187"</f>
        <v>53002023052715500785187</v>
      </c>
      <c r="C1326" s="6" t="str">
        <f t="shared" si="90"/>
        <v>0203</v>
      </c>
      <c r="D1326" s="6" t="s">
        <v>22</v>
      </c>
      <c r="E1326" s="6" t="str">
        <f>"孙一荣"</f>
        <v>孙一荣</v>
      </c>
      <c r="F1326" s="6" t="str">
        <f t="shared" si="91"/>
        <v>女</v>
      </c>
    </row>
    <row r="1327" spans="1:6" ht="30" customHeight="1">
      <c r="A1327" s="6">
        <v>1325</v>
      </c>
      <c r="B1327" s="6" t="str">
        <f>"53002023052819164088482"</f>
        <v>53002023052819164088482</v>
      </c>
      <c r="C1327" s="6" t="str">
        <f t="shared" si="90"/>
        <v>0203</v>
      </c>
      <c r="D1327" s="6" t="s">
        <v>22</v>
      </c>
      <c r="E1327" s="6" t="str">
        <f>"吕玉喜"</f>
        <v>吕玉喜</v>
      </c>
      <c r="F1327" s="6" t="str">
        <f t="shared" si="91"/>
        <v>女</v>
      </c>
    </row>
    <row r="1328" spans="1:6" ht="30" customHeight="1">
      <c r="A1328" s="6">
        <v>1326</v>
      </c>
      <c r="B1328" s="6" t="str">
        <f>"53002023052820084788598"</f>
        <v>53002023052820084788598</v>
      </c>
      <c r="C1328" s="6" t="str">
        <f t="shared" si="90"/>
        <v>0203</v>
      </c>
      <c r="D1328" s="6" t="s">
        <v>22</v>
      </c>
      <c r="E1328" s="6" t="str">
        <f>"周圣亮"</f>
        <v>周圣亮</v>
      </c>
      <c r="F1328" s="6" t="str">
        <f>"男"</f>
        <v>男</v>
      </c>
    </row>
    <row r="1329" spans="1:6" ht="30" customHeight="1">
      <c r="A1329" s="6">
        <v>1327</v>
      </c>
      <c r="B1329" s="6" t="str">
        <f>"53002023052820021788584"</f>
        <v>53002023052820021788584</v>
      </c>
      <c r="C1329" s="6" t="str">
        <f t="shared" si="90"/>
        <v>0203</v>
      </c>
      <c r="D1329" s="6" t="s">
        <v>22</v>
      </c>
      <c r="E1329" s="6" t="str">
        <f>"陈安祺"</f>
        <v>陈安祺</v>
      </c>
      <c r="F1329" s="6" t="str">
        <f aca="true" t="shared" si="92" ref="F1329:F1349">"女"</f>
        <v>女</v>
      </c>
    </row>
    <row r="1330" spans="1:6" ht="30" customHeight="1">
      <c r="A1330" s="6">
        <v>1328</v>
      </c>
      <c r="B1330" s="6" t="str">
        <f>"53002023052820222788649"</f>
        <v>53002023052820222788649</v>
      </c>
      <c r="C1330" s="6" t="str">
        <f t="shared" si="90"/>
        <v>0203</v>
      </c>
      <c r="D1330" s="6" t="s">
        <v>22</v>
      </c>
      <c r="E1330" s="6" t="str">
        <f>"张建萍"</f>
        <v>张建萍</v>
      </c>
      <c r="F1330" s="6" t="str">
        <f t="shared" si="92"/>
        <v>女</v>
      </c>
    </row>
    <row r="1331" spans="1:6" ht="30" customHeight="1">
      <c r="A1331" s="6">
        <v>1329</v>
      </c>
      <c r="B1331" s="6" t="str">
        <f>"53002023052811562787222"</f>
        <v>53002023052811562787222</v>
      </c>
      <c r="C1331" s="6" t="str">
        <f t="shared" si="90"/>
        <v>0203</v>
      </c>
      <c r="D1331" s="6" t="s">
        <v>22</v>
      </c>
      <c r="E1331" s="6" t="str">
        <f>"符敏燕"</f>
        <v>符敏燕</v>
      </c>
      <c r="F1331" s="6" t="str">
        <f t="shared" si="92"/>
        <v>女</v>
      </c>
    </row>
    <row r="1332" spans="1:6" ht="30" customHeight="1">
      <c r="A1332" s="6">
        <v>1330</v>
      </c>
      <c r="B1332" s="6" t="str">
        <f>"53002023052820122888611"</f>
        <v>53002023052820122888611</v>
      </c>
      <c r="C1332" s="6" t="str">
        <f t="shared" si="90"/>
        <v>0203</v>
      </c>
      <c r="D1332" s="6" t="s">
        <v>22</v>
      </c>
      <c r="E1332" s="6" t="str">
        <f>"云玲茜"</f>
        <v>云玲茜</v>
      </c>
      <c r="F1332" s="6" t="str">
        <f t="shared" si="92"/>
        <v>女</v>
      </c>
    </row>
    <row r="1333" spans="1:6" ht="30" customHeight="1">
      <c r="A1333" s="6">
        <v>1331</v>
      </c>
      <c r="B1333" s="6" t="str">
        <f>"53002023052820455788736"</f>
        <v>53002023052820455788736</v>
      </c>
      <c r="C1333" s="6" t="str">
        <f aca="true" t="shared" si="93" ref="C1333:C1396">"0203"</f>
        <v>0203</v>
      </c>
      <c r="D1333" s="6" t="s">
        <v>22</v>
      </c>
      <c r="E1333" s="6" t="str">
        <f>"陈美璇"</f>
        <v>陈美璇</v>
      </c>
      <c r="F1333" s="6" t="str">
        <f t="shared" si="92"/>
        <v>女</v>
      </c>
    </row>
    <row r="1334" spans="1:6" ht="30" customHeight="1">
      <c r="A1334" s="6">
        <v>1332</v>
      </c>
      <c r="B1334" s="6" t="str">
        <f>"53002023052810393187020"</f>
        <v>53002023052810393187020</v>
      </c>
      <c r="C1334" s="6" t="str">
        <f t="shared" si="93"/>
        <v>0203</v>
      </c>
      <c r="D1334" s="6" t="s">
        <v>22</v>
      </c>
      <c r="E1334" s="6" t="str">
        <f>"张玲歌"</f>
        <v>张玲歌</v>
      </c>
      <c r="F1334" s="6" t="str">
        <f t="shared" si="92"/>
        <v>女</v>
      </c>
    </row>
    <row r="1335" spans="1:6" ht="30" customHeight="1">
      <c r="A1335" s="6">
        <v>1333</v>
      </c>
      <c r="B1335" s="6" t="str">
        <f>"53002023052821201088849"</f>
        <v>53002023052821201088849</v>
      </c>
      <c r="C1335" s="6" t="str">
        <f t="shared" si="93"/>
        <v>0203</v>
      </c>
      <c r="D1335" s="6" t="s">
        <v>22</v>
      </c>
      <c r="E1335" s="6" t="str">
        <f>"王芳婷"</f>
        <v>王芳婷</v>
      </c>
      <c r="F1335" s="6" t="str">
        <f t="shared" si="92"/>
        <v>女</v>
      </c>
    </row>
    <row r="1336" spans="1:6" ht="30" customHeight="1">
      <c r="A1336" s="6">
        <v>1334</v>
      </c>
      <c r="B1336" s="6" t="str">
        <f>"53002023052821521588969"</f>
        <v>53002023052821521588969</v>
      </c>
      <c r="C1336" s="6" t="str">
        <f t="shared" si="93"/>
        <v>0203</v>
      </c>
      <c r="D1336" s="6" t="s">
        <v>22</v>
      </c>
      <c r="E1336" s="6" t="str">
        <f>"黄垂青"</f>
        <v>黄垂青</v>
      </c>
      <c r="F1336" s="6" t="str">
        <f t="shared" si="92"/>
        <v>女</v>
      </c>
    </row>
    <row r="1337" spans="1:6" ht="30" customHeight="1">
      <c r="A1337" s="6">
        <v>1335</v>
      </c>
      <c r="B1337" s="6" t="str">
        <f>"53002023052822024989000"</f>
        <v>53002023052822024989000</v>
      </c>
      <c r="C1337" s="6" t="str">
        <f t="shared" si="93"/>
        <v>0203</v>
      </c>
      <c r="D1337" s="6" t="s">
        <v>22</v>
      </c>
      <c r="E1337" s="6" t="str">
        <f>"周芳"</f>
        <v>周芳</v>
      </c>
      <c r="F1337" s="6" t="str">
        <f t="shared" si="92"/>
        <v>女</v>
      </c>
    </row>
    <row r="1338" spans="1:6" ht="30" customHeight="1">
      <c r="A1338" s="6">
        <v>1336</v>
      </c>
      <c r="B1338" s="6" t="str">
        <f>"53002023052822461089153"</f>
        <v>53002023052822461089153</v>
      </c>
      <c r="C1338" s="6" t="str">
        <f t="shared" si="93"/>
        <v>0203</v>
      </c>
      <c r="D1338" s="6" t="s">
        <v>22</v>
      </c>
      <c r="E1338" s="6" t="str">
        <f>"王丽"</f>
        <v>王丽</v>
      </c>
      <c r="F1338" s="6" t="str">
        <f t="shared" si="92"/>
        <v>女</v>
      </c>
    </row>
    <row r="1339" spans="1:6" ht="30" customHeight="1">
      <c r="A1339" s="6">
        <v>1337</v>
      </c>
      <c r="B1339" s="6" t="str">
        <f>"53002023052821505888964"</f>
        <v>53002023052821505888964</v>
      </c>
      <c r="C1339" s="6" t="str">
        <f t="shared" si="93"/>
        <v>0203</v>
      </c>
      <c r="D1339" s="6" t="s">
        <v>22</v>
      </c>
      <c r="E1339" s="6" t="str">
        <f>"黄海燕"</f>
        <v>黄海燕</v>
      </c>
      <c r="F1339" s="6" t="str">
        <f t="shared" si="92"/>
        <v>女</v>
      </c>
    </row>
    <row r="1340" spans="1:6" ht="30" customHeight="1">
      <c r="A1340" s="6">
        <v>1338</v>
      </c>
      <c r="B1340" s="6" t="str">
        <f>"53002023052822202389070"</f>
        <v>53002023052822202389070</v>
      </c>
      <c r="C1340" s="6" t="str">
        <f t="shared" si="93"/>
        <v>0203</v>
      </c>
      <c r="D1340" s="6" t="s">
        <v>22</v>
      </c>
      <c r="E1340" s="6" t="str">
        <f>"符彩莲"</f>
        <v>符彩莲</v>
      </c>
      <c r="F1340" s="6" t="str">
        <f t="shared" si="92"/>
        <v>女</v>
      </c>
    </row>
    <row r="1341" spans="1:6" ht="30" customHeight="1">
      <c r="A1341" s="6">
        <v>1339</v>
      </c>
      <c r="B1341" s="6" t="str">
        <f>"53002023052822574089188"</f>
        <v>53002023052822574089188</v>
      </c>
      <c r="C1341" s="6" t="str">
        <f t="shared" si="93"/>
        <v>0203</v>
      </c>
      <c r="D1341" s="6" t="s">
        <v>22</v>
      </c>
      <c r="E1341" s="6" t="str">
        <f>"黄金菊"</f>
        <v>黄金菊</v>
      </c>
      <c r="F1341" s="6" t="str">
        <f t="shared" si="92"/>
        <v>女</v>
      </c>
    </row>
    <row r="1342" spans="1:6" ht="30" customHeight="1">
      <c r="A1342" s="6">
        <v>1340</v>
      </c>
      <c r="B1342" s="6" t="str">
        <f>"53002023052823065989215"</f>
        <v>53002023052823065989215</v>
      </c>
      <c r="C1342" s="6" t="str">
        <f t="shared" si="93"/>
        <v>0203</v>
      </c>
      <c r="D1342" s="6" t="s">
        <v>22</v>
      </c>
      <c r="E1342" s="6" t="str">
        <f>"陈苗"</f>
        <v>陈苗</v>
      </c>
      <c r="F1342" s="6" t="str">
        <f t="shared" si="92"/>
        <v>女</v>
      </c>
    </row>
    <row r="1343" spans="1:6" ht="30" customHeight="1">
      <c r="A1343" s="6">
        <v>1341</v>
      </c>
      <c r="B1343" s="6" t="str">
        <f>"53002023052823323789289"</f>
        <v>53002023052823323789289</v>
      </c>
      <c r="C1343" s="6" t="str">
        <f t="shared" si="93"/>
        <v>0203</v>
      </c>
      <c r="D1343" s="6" t="s">
        <v>22</v>
      </c>
      <c r="E1343" s="6" t="str">
        <f>"王雪连"</f>
        <v>王雪连</v>
      </c>
      <c r="F1343" s="6" t="str">
        <f t="shared" si="92"/>
        <v>女</v>
      </c>
    </row>
    <row r="1344" spans="1:6" ht="30" customHeight="1">
      <c r="A1344" s="6">
        <v>1342</v>
      </c>
      <c r="B1344" s="6" t="str">
        <f>"53002023052816533588006"</f>
        <v>53002023052816533588006</v>
      </c>
      <c r="C1344" s="6" t="str">
        <f t="shared" si="93"/>
        <v>0203</v>
      </c>
      <c r="D1344" s="6" t="s">
        <v>22</v>
      </c>
      <c r="E1344" s="6" t="str">
        <f>"余晓梅"</f>
        <v>余晓梅</v>
      </c>
      <c r="F1344" s="6" t="str">
        <f t="shared" si="92"/>
        <v>女</v>
      </c>
    </row>
    <row r="1345" spans="1:6" ht="30" customHeight="1">
      <c r="A1345" s="6">
        <v>1343</v>
      </c>
      <c r="B1345" s="6" t="str">
        <f>"53002023052823283689262"</f>
        <v>53002023052823283689262</v>
      </c>
      <c r="C1345" s="6" t="str">
        <f t="shared" si="93"/>
        <v>0203</v>
      </c>
      <c r="D1345" s="6" t="s">
        <v>22</v>
      </c>
      <c r="E1345" s="6" t="str">
        <f>"何益楼"</f>
        <v>何益楼</v>
      </c>
      <c r="F1345" s="6" t="str">
        <f t="shared" si="92"/>
        <v>女</v>
      </c>
    </row>
    <row r="1346" spans="1:6" ht="30" customHeight="1">
      <c r="A1346" s="6">
        <v>1344</v>
      </c>
      <c r="B1346" s="6" t="str">
        <f>"53002023052900061489334"</f>
        <v>53002023052900061489334</v>
      </c>
      <c r="C1346" s="6" t="str">
        <f t="shared" si="93"/>
        <v>0203</v>
      </c>
      <c r="D1346" s="6" t="s">
        <v>22</v>
      </c>
      <c r="E1346" s="6" t="str">
        <f>"吴小文"</f>
        <v>吴小文</v>
      </c>
      <c r="F1346" s="6" t="str">
        <f t="shared" si="92"/>
        <v>女</v>
      </c>
    </row>
    <row r="1347" spans="1:6" ht="30" customHeight="1">
      <c r="A1347" s="6">
        <v>1345</v>
      </c>
      <c r="B1347" s="6" t="str">
        <f>"53002023052908005289470"</f>
        <v>53002023052908005289470</v>
      </c>
      <c r="C1347" s="6" t="str">
        <f t="shared" si="93"/>
        <v>0203</v>
      </c>
      <c r="D1347" s="6" t="s">
        <v>22</v>
      </c>
      <c r="E1347" s="6" t="str">
        <f>"钟良妃"</f>
        <v>钟良妃</v>
      </c>
      <c r="F1347" s="6" t="str">
        <f t="shared" si="92"/>
        <v>女</v>
      </c>
    </row>
    <row r="1348" spans="1:6" ht="30" customHeight="1">
      <c r="A1348" s="6">
        <v>1346</v>
      </c>
      <c r="B1348" s="6" t="str">
        <f>"53002023052908093289494"</f>
        <v>53002023052908093289494</v>
      </c>
      <c r="C1348" s="6" t="str">
        <f t="shared" si="93"/>
        <v>0203</v>
      </c>
      <c r="D1348" s="6" t="s">
        <v>22</v>
      </c>
      <c r="E1348" s="6" t="str">
        <f>"王秋月"</f>
        <v>王秋月</v>
      </c>
      <c r="F1348" s="6" t="str">
        <f t="shared" si="92"/>
        <v>女</v>
      </c>
    </row>
    <row r="1349" spans="1:6" ht="30" customHeight="1">
      <c r="A1349" s="6">
        <v>1347</v>
      </c>
      <c r="B1349" s="6" t="str">
        <f>"53002023052908234389541"</f>
        <v>53002023052908234389541</v>
      </c>
      <c r="C1349" s="6" t="str">
        <f t="shared" si="93"/>
        <v>0203</v>
      </c>
      <c r="D1349" s="6" t="s">
        <v>22</v>
      </c>
      <c r="E1349" s="6" t="str">
        <f>"王神月"</f>
        <v>王神月</v>
      </c>
      <c r="F1349" s="6" t="str">
        <f t="shared" si="92"/>
        <v>女</v>
      </c>
    </row>
    <row r="1350" spans="1:6" ht="30" customHeight="1">
      <c r="A1350" s="6">
        <v>1348</v>
      </c>
      <c r="B1350" s="6" t="str">
        <f>"53002023052813494687527"</f>
        <v>53002023052813494687527</v>
      </c>
      <c r="C1350" s="6" t="str">
        <f t="shared" si="93"/>
        <v>0203</v>
      </c>
      <c r="D1350" s="6" t="s">
        <v>22</v>
      </c>
      <c r="E1350" s="6" t="str">
        <f>"符绩达"</f>
        <v>符绩达</v>
      </c>
      <c r="F1350" s="6" t="str">
        <f>"男"</f>
        <v>男</v>
      </c>
    </row>
    <row r="1351" spans="1:6" ht="30" customHeight="1">
      <c r="A1351" s="6">
        <v>1349</v>
      </c>
      <c r="B1351" s="6" t="str">
        <f>"53002023052820032688585"</f>
        <v>53002023052820032688585</v>
      </c>
      <c r="C1351" s="6" t="str">
        <f t="shared" si="93"/>
        <v>0203</v>
      </c>
      <c r="D1351" s="6" t="s">
        <v>22</v>
      </c>
      <c r="E1351" s="6" t="str">
        <f>"谢珊珊"</f>
        <v>谢珊珊</v>
      </c>
      <c r="F1351" s="6" t="str">
        <f aca="true" t="shared" si="94" ref="F1351:F1414">"女"</f>
        <v>女</v>
      </c>
    </row>
    <row r="1352" spans="1:6" ht="30" customHeight="1">
      <c r="A1352" s="6">
        <v>1350</v>
      </c>
      <c r="B1352" s="6" t="str">
        <f>"53002023052909291690088"</f>
        <v>53002023052909291690088</v>
      </c>
      <c r="C1352" s="6" t="str">
        <f t="shared" si="93"/>
        <v>0203</v>
      </c>
      <c r="D1352" s="6" t="s">
        <v>22</v>
      </c>
      <c r="E1352" s="6" t="str">
        <f>"孟园园"</f>
        <v>孟园园</v>
      </c>
      <c r="F1352" s="6" t="str">
        <f t="shared" si="94"/>
        <v>女</v>
      </c>
    </row>
    <row r="1353" spans="1:6" ht="30" customHeight="1">
      <c r="A1353" s="6">
        <v>1351</v>
      </c>
      <c r="B1353" s="6" t="str">
        <f>"53002023052908204289530"</f>
        <v>53002023052908204289530</v>
      </c>
      <c r="C1353" s="6" t="str">
        <f t="shared" si="93"/>
        <v>0203</v>
      </c>
      <c r="D1353" s="6" t="s">
        <v>22</v>
      </c>
      <c r="E1353" s="6" t="str">
        <f>"赖琳"</f>
        <v>赖琳</v>
      </c>
      <c r="F1353" s="6" t="str">
        <f t="shared" si="94"/>
        <v>女</v>
      </c>
    </row>
    <row r="1354" spans="1:6" ht="30" customHeight="1">
      <c r="A1354" s="6">
        <v>1352</v>
      </c>
      <c r="B1354" s="6" t="str">
        <f>"53002023052909370390176"</f>
        <v>53002023052909370390176</v>
      </c>
      <c r="C1354" s="6" t="str">
        <f t="shared" si="93"/>
        <v>0203</v>
      </c>
      <c r="D1354" s="6" t="s">
        <v>22</v>
      </c>
      <c r="E1354" s="6" t="str">
        <f>"梁焕春"</f>
        <v>梁焕春</v>
      </c>
      <c r="F1354" s="6" t="str">
        <f t="shared" si="94"/>
        <v>女</v>
      </c>
    </row>
    <row r="1355" spans="1:6" ht="30" customHeight="1">
      <c r="A1355" s="6">
        <v>1353</v>
      </c>
      <c r="B1355" s="6" t="str">
        <f>"53002023052907394289433"</f>
        <v>53002023052907394289433</v>
      </c>
      <c r="C1355" s="6" t="str">
        <f t="shared" si="93"/>
        <v>0203</v>
      </c>
      <c r="D1355" s="6" t="s">
        <v>22</v>
      </c>
      <c r="E1355" s="6" t="str">
        <f>"温淑岚"</f>
        <v>温淑岚</v>
      </c>
      <c r="F1355" s="6" t="str">
        <f t="shared" si="94"/>
        <v>女</v>
      </c>
    </row>
    <row r="1356" spans="1:6" ht="30" customHeight="1">
      <c r="A1356" s="6">
        <v>1354</v>
      </c>
      <c r="B1356" s="6" t="str">
        <f>"53002023052909162989949"</f>
        <v>53002023052909162989949</v>
      </c>
      <c r="C1356" s="6" t="str">
        <f t="shared" si="93"/>
        <v>0203</v>
      </c>
      <c r="D1356" s="6" t="s">
        <v>22</v>
      </c>
      <c r="E1356" s="6" t="str">
        <f>"李可倩"</f>
        <v>李可倩</v>
      </c>
      <c r="F1356" s="6" t="str">
        <f t="shared" si="94"/>
        <v>女</v>
      </c>
    </row>
    <row r="1357" spans="1:6" ht="30" customHeight="1">
      <c r="A1357" s="6">
        <v>1355</v>
      </c>
      <c r="B1357" s="6" t="str">
        <f>"53002023052812264087295"</f>
        <v>53002023052812264087295</v>
      </c>
      <c r="C1357" s="6" t="str">
        <f t="shared" si="93"/>
        <v>0203</v>
      </c>
      <c r="D1357" s="6" t="s">
        <v>22</v>
      </c>
      <c r="E1357" s="6" t="str">
        <f>"蒋婷"</f>
        <v>蒋婷</v>
      </c>
      <c r="F1357" s="6" t="str">
        <f t="shared" si="94"/>
        <v>女</v>
      </c>
    </row>
    <row r="1358" spans="1:6" ht="30" customHeight="1">
      <c r="A1358" s="6">
        <v>1356</v>
      </c>
      <c r="B1358" s="6" t="str">
        <f>"53002023052910072690525"</f>
        <v>53002023052910072690525</v>
      </c>
      <c r="C1358" s="6" t="str">
        <f t="shared" si="93"/>
        <v>0203</v>
      </c>
      <c r="D1358" s="6" t="s">
        <v>22</v>
      </c>
      <c r="E1358" s="6" t="str">
        <f>"邢美娟"</f>
        <v>邢美娟</v>
      </c>
      <c r="F1358" s="6" t="str">
        <f t="shared" si="94"/>
        <v>女</v>
      </c>
    </row>
    <row r="1359" spans="1:6" ht="30" customHeight="1">
      <c r="A1359" s="6">
        <v>1357</v>
      </c>
      <c r="B1359" s="6" t="str">
        <f>"53002023052709302183762"</f>
        <v>53002023052709302183762</v>
      </c>
      <c r="C1359" s="6" t="str">
        <f t="shared" si="93"/>
        <v>0203</v>
      </c>
      <c r="D1359" s="6" t="s">
        <v>22</v>
      </c>
      <c r="E1359" s="6" t="str">
        <f>"林青"</f>
        <v>林青</v>
      </c>
      <c r="F1359" s="6" t="str">
        <f t="shared" si="94"/>
        <v>女</v>
      </c>
    </row>
    <row r="1360" spans="1:6" ht="30" customHeight="1">
      <c r="A1360" s="6">
        <v>1358</v>
      </c>
      <c r="B1360" s="6" t="str">
        <f>"53002023052907594789466"</f>
        <v>53002023052907594789466</v>
      </c>
      <c r="C1360" s="6" t="str">
        <f t="shared" si="93"/>
        <v>0203</v>
      </c>
      <c r="D1360" s="6" t="s">
        <v>22</v>
      </c>
      <c r="E1360" s="6" t="str">
        <f>"江颖"</f>
        <v>江颖</v>
      </c>
      <c r="F1360" s="6" t="str">
        <f t="shared" si="94"/>
        <v>女</v>
      </c>
    </row>
    <row r="1361" spans="1:6" ht="30" customHeight="1">
      <c r="A1361" s="6">
        <v>1359</v>
      </c>
      <c r="B1361" s="6" t="str">
        <f>"53002023052909593090440"</f>
        <v>53002023052909593090440</v>
      </c>
      <c r="C1361" s="6" t="str">
        <f t="shared" si="93"/>
        <v>0203</v>
      </c>
      <c r="D1361" s="6" t="s">
        <v>22</v>
      </c>
      <c r="E1361" s="6" t="str">
        <f>"符惠洁"</f>
        <v>符惠洁</v>
      </c>
      <c r="F1361" s="6" t="str">
        <f t="shared" si="94"/>
        <v>女</v>
      </c>
    </row>
    <row r="1362" spans="1:6" ht="30" customHeight="1">
      <c r="A1362" s="6">
        <v>1360</v>
      </c>
      <c r="B1362" s="6" t="str">
        <f>"53002023052909304190108"</f>
        <v>53002023052909304190108</v>
      </c>
      <c r="C1362" s="6" t="str">
        <f t="shared" si="93"/>
        <v>0203</v>
      </c>
      <c r="D1362" s="6" t="s">
        <v>22</v>
      </c>
      <c r="E1362" s="6" t="str">
        <f>"文苹妃"</f>
        <v>文苹妃</v>
      </c>
      <c r="F1362" s="6" t="str">
        <f t="shared" si="94"/>
        <v>女</v>
      </c>
    </row>
    <row r="1363" spans="1:6" ht="30" customHeight="1">
      <c r="A1363" s="6">
        <v>1361</v>
      </c>
      <c r="B1363" s="6" t="str">
        <f>"53002023052910010290461"</f>
        <v>53002023052910010290461</v>
      </c>
      <c r="C1363" s="6" t="str">
        <f t="shared" si="93"/>
        <v>0203</v>
      </c>
      <c r="D1363" s="6" t="s">
        <v>22</v>
      </c>
      <c r="E1363" s="6" t="str">
        <f>"谢继梅"</f>
        <v>谢继梅</v>
      </c>
      <c r="F1363" s="6" t="str">
        <f t="shared" si="94"/>
        <v>女</v>
      </c>
    </row>
    <row r="1364" spans="1:6" ht="30" customHeight="1">
      <c r="A1364" s="6">
        <v>1362</v>
      </c>
      <c r="B1364" s="6" t="str">
        <f>"53002023052910214290696"</f>
        <v>53002023052910214290696</v>
      </c>
      <c r="C1364" s="6" t="str">
        <f t="shared" si="93"/>
        <v>0203</v>
      </c>
      <c r="D1364" s="6" t="s">
        <v>22</v>
      </c>
      <c r="E1364" s="6" t="str">
        <f>"苏艳妮"</f>
        <v>苏艳妮</v>
      </c>
      <c r="F1364" s="6" t="str">
        <f t="shared" si="94"/>
        <v>女</v>
      </c>
    </row>
    <row r="1365" spans="1:6" ht="30" customHeight="1">
      <c r="A1365" s="6">
        <v>1363</v>
      </c>
      <c r="B1365" s="6" t="str">
        <f>"53002023052722145086358"</f>
        <v>53002023052722145086358</v>
      </c>
      <c r="C1365" s="6" t="str">
        <f t="shared" si="93"/>
        <v>0203</v>
      </c>
      <c r="D1365" s="6" t="s">
        <v>22</v>
      </c>
      <c r="E1365" s="6" t="str">
        <f>"许璐"</f>
        <v>许璐</v>
      </c>
      <c r="F1365" s="6" t="str">
        <f t="shared" si="94"/>
        <v>女</v>
      </c>
    </row>
    <row r="1366" spans="1:6" ht="30" customHeight="1">
      <c r="A1366" s="6">
        <v>1364</v>
      </c>
      <c r="B1366" s="6" t="str">
        <f>"53002023052711394584339"</f>
        <v>53002023052711394584339</v>
      </c>
      <c r="C1366" s="6" t="str">
        <f t="shared" si="93"/>
        <v>0203</v>
      </c>
      <c r="D1366" s="6" t="s">
        <v>22</v>
      </c>
      <c r="E1366" s="6" t="str">
        <f>"王姑女"</f>
        <v>王姑女</v>
      </c>
      <c r="F1366" s="6" t="str">
        <f t="shared" si="94"/>
        <v>女</v>
      </c>
    </row>
    <row r="1367" spans="1:6" ht="30" customHeight="1">
      <c r="A1367" s="6">
        <v>1365</v>
      </c>
      <c r="B1367" s="6" t="str">
        <f>"53002023052909332990133"</f>
        <v>53002023052909332990133</v>
      </c>
      <c r="C1367" s="6" t="str">
        <f t="shared" si="93"/>
        <v>0203</v>
      </c>
      <c r="D1367" s="6" t="s">
        <v>22</v>
      </c>
      <c r="E1367" s="6" t="str">
        <f>"梅晨虹"</f>
        <v>梅晨虹</v>
      </c>
      <c r="F1367" s="6" t="str">
        <f t="shared" si="94"/>
        <v>女</v>
      </c>
    </row>
    <row r="1368" spans="1:6" ht="30" customHeight="1">
      <c r="A1368" s="6">
        <v>1366</v>
      </c>
      <c r="B1368" s="6" t="str">
        <f>"53002023052908524689649"</f>
        <v>53002023052908524689649</v>
      </c>
      <c r="C1368" s="6" t="str">
        <f t="shared" si="93"/>
        <v>0203</v>
      </c>
      <c r="D1368" s="6" t="s">
        <v>22</v>
      </c>
      <c r="E1368" s="6" t="str">
        <f>"黄凌珏"</f>
        <v>黄凌珏</v>
      </c>
      <c r="F1368" s="6" t="str">
        <f t="shared" si="94"/>
        <v>女</v>
      </c>
    </row>
    <row r="1369" spans="1:6" ht="30" customHeight="1">
      <c r="A1369" s="6">
        <v>1367</v>
      </c>
      <c r="B1369" s="6" t="str">
        <f>"53002023052909572390415"</f>
        <v>53002023052909572390415</v>
      </c>
      <c r="C1369" s="6" t="str">
        <f t="shared" si="93"/>
        <v>0203</v>
      </c>
      <c r="D1369" s="6" t="s">
        <v>22</v>
      </c>
      <c r="E1369" s="6" t="str">
        <f>"高丽"</f>
        <v>高丽</v>
      </c>
      <c r="F1369" s="6" t="str">
        <f t="shared" si="94"/>
        <v>女</v>
      </c>
    </row>
    <row r="1370" spans="1:6" ht="30" customHeight="1">
      <c r="A1370" s="6">
        <v>1368</v>
      </c>
      <c r="B1370" s="6" t="str">
        <f>"53002023052910434690956"</f>
        <v>53002023052910434690956</v>
      </c>
      <c r="C1370" s="6" t="str">
        <f t="shared" si="93"/>
        <v>0203</v>
      </c>
      <c r="D1370" s="6" t="s">
        <v>22</v>
      </c>
      <c r="E1370" s="6" t="str">
        <f>"张沐淋"</f>
        <v>张沐淋</v>
      </c>
      <c r="F1370" s="6" t="str">
        <f t="shared" si="94"/>
        <v>女</v>
      </c>
    </row>
    <row r="1371" spans="1:6" ht="30" customHeight="1">
      <c r="A1371" s="6">
        <v>1369</v>
      </c>
      <c r="B1371" s="6" t="str">
        <f>"53002023052910262690742"</f>
        <v>53002023052910262690742</v>
      </c>
      <c r="C1371" s="6" t="str">
        <f t="shared" si="93"/>
        <v>0203</v>
      </c>
      <c r="D1371" s="6" t="s">
        <v>22</v>
      </c>
      <c r="E1371" s="6" t="str">
        <f>"李丽芳"</f>
        <v>李丽芳</v>
      </c>
      <c r="F1371" s="6" t="str">
        <f t="shared" si="94"/>
        <v>女</v>
      </c>
    </row>
    <row r="1372" spans="1:6" ht="30" customHeight="1">
      <c r="A1372" s="6">
        <v>1370</v>
      </c>
      <c r="B1372" s="6" t="str">
        <f>"53002023052910095190557"</f>
        <v>53002023052910095190557</v>
      </c>
      <c r="C1372" s="6" t="str">
        <f t="shared" si="93"/>
        <v>0203</v>
      </c>
      <c r="D1372" s="6" t="s">
        <v>22</v>
      </c>
      <c r="E1372" s="6" t="str">
        <f>"吴谢苗"</f>
        <v>吴谢苗</v>
      </c>
      <c r="F1372" s="6" t="str">
        <f t="shared" si="94"/>
        <v>女</v>
      </c>
    </row>
    <row r="1373" spans="1:6" ht="30" customHeight="1">
      <c r="A1373" s="6">
        <v>1371</v>
      </c>
      <c r="B1373" s="6" t="str">
        <f>"53002023052815483287810"</f>
        <v>53002023052815483287810</v>
      </c>
      <c r="C1373" s="6" t="str">
        <f t="shared" si="93"/>
        <v>0203</v>
      </c>
      <c r="D1373" s="6" t="s">
        <v>22</v>
      </c>
      <c r="E1373" s="6" t="str">
        <f>"陈芬"</f>
        <v>陈芬</v>
      </c>
      <c r="F1373" s="6" t="str">
        <f t="shared" si="94"/>
        <v>女</v>
      </c>
    </row>
    <row r="1374" spans="1:6" ht="30" customHeight="1">
      <c r="A1374" s="6">
        <v>1372</v>
      </c>
      <c r="B1374" s="6" t="str">
        <f>"53002023052911052291175"</f>
        <v>53002023052911052291175</v>
      </c>
      <c r="C1374" s="6" t="str">
        <f t="shared" si="93"/>
        <v>0203</v>
      </c>
      <c r="D1374" s="6" t="s">
        <v>22</v>
      </c>
      <c r="E1374" s="6" t="str">
        <f>"赵思欢"</f>
        <v>赵思欢</v>
      </c>
      <c r="F1374" s="6" t="str">
        <f t="shared" si="94"/>
        <v>女</v>
      </c>
    </row>
    <row r="1375" spans="1:6" ht="30" customHeight="1">
      <c r="A1375" s="6">
        <v>1373</v>
      </c>
      <c r="B1375" s="6" t="str">
        <f>"53002023052911263491350"</f>
        <v>53002023052911263491350</v>
      </c>
      <c r="C1375" s="6" t="str">
        <f t="shared" si="93"/>
        <v>0203</v>
      </c>
      <c r="D1375" s="6" t="s">
        <v>22</v>
      </c>
      <c r="E1375" s="6" t="str">
        <f>"许林尾"</f>
        <v>许林尾</v>
      </c>
      <c r="F1375" s="6" t="str">
        <f t="shared" si="94"/>
        <v>女</v>
      </c>
    </row>
    <row r="1376" spans="1:6" ht="30" customHeight="1">
      <c r="A1376" s="6">
        <v>1374</v>
      </c>
      <c r="B1376" s="6" t="str">
        <f>"53002023052911392591461"</f>
        <v>53002023052911392591461</v>
      </c>
      <c r="C1376" s="6" t="str">
        <f t="shared" si="93"/>
        <v>0203</v>
      </c>
      <c r="D1376" s="6" t="s">
        <v>22</v>
      </c>
      <c r="E1376" s="6" t="str">
        <f>"符艳姣"</f>
        <v>符艳姣</v>
      </c>
      <c r="F1376" s="6" t="str">
        <f t="shared" si="94"/>
        <v>女</v>
      </c>
    </row>
    <row r="1377" spans="1:6" ht="30" customHeight="1">
      <c r="A1377" s="6">
        <v>1375</v>
      </c>
      <c r="B1377" s="6" t="str">
        <f>"53002023052911391391458"</f>
        <v>53002023052911391391458</v>
      </c>
      <c r="C1377" s="6" t="str">
        <f t="shared" si="93"/>
        <v>0203</v>
      </c>
      <c r="D1377" s="6" t="s">
        <v>22</v>
      </c>
      <c r="E1377" s="6" t="str">
        <f>"李慧芳"</f>
        <v>李慧芳</v>
      </c>
      <c r="F1377" s="6" t="str">
        <f t="shared" si="94"/>
        <v>女</v>
      </c>
    </row>
    <row r="1378" spans="1:6" ht="30" customHeight="1">
      <c r="A1378" s="6">
        <v>1376</v>
      </c>
      <c r="B1378" s="6" t="str">
        <f>"53002023052911450291499"</f>
        <v>53002023052911450291499</v>
      </c>
      <c r="C1378" s="6" t="str">
        <f t="shared" si="93"/>
        <v>0203</v>
      </c>
      <c r="D1378" s="6" t="s">
        <v>22</v>
      </c>
      <c r="E1378" s="6" t="str">
        <f>"苏云珍"</f>
        <v>苏云珍</v>
      </c>
      <c r="F1378" s="6" t="str">
        <f t="shared" si="94"/>
        <v>女</v>
      </c>
    </row>
    <row r="1379" spans="1:6" ht="30" customHeight="1">
      <c r="A1379" s="6">
        <v>1377</v>
      </c>
      <c r="B1379" s="6" t="str">
        <f>"53002023052911550191596"</f>
        <v>53002023052911550191596</v>
      </c>
      <c r="C1379" s="6" t="str">
        <f t="shared" si="93"/>
        <v>0203</v>
      </c>
      <c r="D1379" s="6" t="s">
        <v>22</v>
      </c>
      <c r="E1379" s="6" t="str">
        <f>"黄小殷"</f>
        <v>黄小殷</v>
      </c>
      <c r="F1379" s="6" t="str">
        <f t="shared" si="94"/>
        <v>女</v>
      </c>
    </row>
    <row r="1380" spans="1:6" ht="30" customHeight="1">
      <c r="A1380" s="6">
        <v>1378</v>
      </c>
      <c r="B1380" s="6" t="str">
        <f>"53002023052911553991605"</f>
        <v>53002023052911553991605</v>
      </c>
      <c r="C1380" s="6" t="str">
        <f t="shared" si="93"/>
        <v>0203</v>
      </c>
      <c r="D1380" s="6" t="s">
        <v>22</v>
      </c>
      <c r="E1380" s="6" t="str">
        <f>"李慧"</f>
        <v>李慧</v>
      </c>
      <c r="F1380" s="6" t="str">
        <f t="shared" si="94"/>
        <v>女</v>
      </c>
    </row>
    <row r="1381" spans="1:6" ht="30" customHeight="1">
      <c r="A1381" s="6">
        <v>1379</v>
      </c>
      <c r="B1381" s="6" t="str">
        <f>"53002023052717272785509"</f>
        <v>53002023052717272785509</v>
      </c>
      <c r="C1381" s="6" t="str">
        <f t="shared" si="93"/>
        <v>0203</v>
      </c>
      <c r="D1381" s="6" t="s">
        <v>22</v>
      </c>
      <c r="E1381" s="6" t="str">
        <f>"郭策"</f>
        <v>郭策</v>
      </c>
      <c r="F1381" s="6" t="str">
        <f t="shared" si="94"/>
        <v>女</v>
      </c>
    </row>
    <row r="1382" spans="1:6" ht="30" customHeight="1">
      <c r="A1382" s="6">
        <v>1380</v>
      </c>
      <c r="B1382" s="6" t="str">
        <f>"53002023052911445491495"</f>
        <v>53002023052911445491495</v>
      </c>
      <c r="C1382" s="6" t="str">
        <f t="shared" si="93"/>
        <v>0203</v>
      </c>
      <c r="D1382" s="6" t="s">
        <v>22</v>
      </c>
      <c r="E1382" s="6" t="str">
        <f>"唐台玲"</f>
        <v>唐台玲</v>
      </c>
      <c r="F1382" s="6" t="str">
        <f t="shared" si="94"/>
        <v>女</v>
      </c>
    </row>
    <row r="1383" spans="1:6" ht="30" customHeight="1">
      <c r="A1383" s="6">
        <v>1381</v>
      </c>
      <c r="B1383" s="6" t="str">
        <f>"53002023052911570991624"</f>
        <v>53002023052911570991624</v>
      </c>
      <c r="C1383" s="6" t="str">
        <f t="shared" si="93"/>
        <v>0203</v>
      </c>
      <c r="D1383" s="6" t="s">
        <v>22</v>
      </c>
      <c r="E1383" s="6" t="str">
        <f>"谢春燕"</f>
        <v>谢春燕</v>
      </c>
      <c r="F1383" s="6" t="str">
        <f t="shared" si="94"/>
        <v>女</v>
      </c>
    </row>
    <row r="1384" spans="1:6" ht="30" customHeight="1">
      <c r="A1384" s="6">
        <v>1382</v>
      </c>
      <c r="B1384" s="6" t="str">
        <f>"53002023052823180089247"</f>
        <v>53002023052823180089247</v>
      </c>
      <c r="C1384" s="6" t="str">
        <f t="shared" si="93"/>
        <v>0203</v>
      </c>
      <c r="D1384" s="6" t="s">
        <v>22</v>
      </c>
      <c r="E1384" s="6" t="str">
        <f>"陈蕾"</f>
        <v>陈蕾</v>
      </c>
      <c r="F1384" s="6" t="str">
        <f t="shared" si="94"/>
        <v>女</v>
      </c>
    </row>
    <row r="1385" spans="1:6" ht="30" customHeight="1">
      <c r="A1385" s="6">
        <v>1383</v>
      </c>
      <c r="B1385" s="6" t="str">
        <f>"53002023052709310183765"</f>
        <v>53002023052709310183765</v>
      </c>
      <c r="C1385" s="6" t="str">
        <f t="shared" si="93"/>
        <v>0203</v>
      </c>
      <c r="D1385" s="6" t="s">
        <v>22</v>
      </c>
      <c r="E1385" s="6" t="str">
        <f>"符娴慧"</f>
        <v>符娴慧</v>
      </c>
      <c r="F1385" s="6" t="str">
        <f t="shared" si="94"/>
        <v>女</v>
      </c>
    </row>
    <row r="1386" spans="1:6" ht="30" customHeight="1">
      <c r="A1386" s="6">
        <v>1384</v>
      </c>
      <c r="B1386" s="6" t="str">
        <f>"53002023052820575488780"</f>
        <v>53002023052820575488780</v>
      </c>
      <c r="C1386" s="6" t="str">
        <f t="shared" si="93"/>
        <v>0203</v>
      </c>
      <c r="D1386" s="6" t="s">
        <v>22</v>
      </c>
      <c r="E1386" s="6" t="str">
        <f>"苏秋雨"</f>
        <v>苏秋雨</v>
      </c>
      <c r="F1386" s="6" t="str">
        <f t="shared" si="94"/>
        <v>女</v>
      </c>
    </row>
    <row r="1387" spans="1:6" ht="30" customHeight="1">
      <c r="A1387" s="6">
        <v>1385</v>
      </c>
      <c r="B1387" s="6" t="str">
        <f>"53002023052912273991820"</f>
        <v>53002023052912273991820</v>
      </c>
      <c r="C1387" s="6" t="str">
        <f t="shared" si="93"/>
        <v>0203</v>
      </c>
      <c r="D1387" s="6" t="s">
        <v>22</v>
      </c>
      <c r="E1387" s="6" t="str">
        <f>"陈冰"</f>
        <v>陈冰</v>
      </c>
      <c r="F1387" s="6" t="str">
        <f t="shared" si="94"/>
        <v>女</v>
      </c>
    </row>
    <row r="1388" spans="1:6" ht="30" customHeight="1">
      <c r="A1388" s="6">
        <v>1386</v>
      </c>
      <c r="B1388" s="6" t="str">
        <f>"53002023052822115889034"</f>
        <v>53002023052822115889034</v>
      </c>
      <c r="C1388" s="6" t="str">
        <f t="shared" si="93"/>
        <v>0203</v>
      </c>
      <c r="D1388" s="6" t="s">
        <v>22</v>
      </c>
      <c r="E1388" s="6" t="str">
        <f>"陈小芳"</f>
        <v>陈小芳</v>
      </c>
      <c r="F1388" s="6" t="str">
        <f t="shared" si="94"/>
        <v>女</v>
      </c>
    </row>
    <row r="1389" spans="1:6" ht="30" customHeight="1">
      <c r="A1389" s="6">
        <v>1387</v>
      </c>
      <c r="B1389" s="6" t="str">
        <f>"53002023052720050985937"</f>
        <v>53002023052720050985937</v>
      </c>
      <c r="C1389" s="6" t="str">
        <f t="shared" si="93"/>
        <v>0203</v>
      </c>
      <c r="D1389" s="6" t="s">
        <v>22</v>
      </c>
      <c r="E1389" s="6" t="str">
        <f>"朱晓莹"</f>
        <v>朱晓莹</v>
      </c>
      <c r="F1389" s="6" t="str">
        <f t="shared" si="94"/>
        <v>女</v>
      </c>
    </row>
    <row r="1390" spans="1:6" ht="30" customHeight="1">
      <c r="A1390" s="6">
        <v>1388</v>
      </c>
      <c r="B1390" s="6" t="str">
        <f>"53002023052912234091793"</f>
        <v>53002023052912234091793</v>
      </c>
      <c r="C1390" s="6" t="str">
        <f t="shared" si="93"/>
        <v>0203</v>
      </c>
      <c r="D1390" s="6" t="s">
        <v>22</v>
      </c>
      <c r="E1390" s="6" t="str">
        <f>"冯晓杏"</f>
        <v>冯晓杏</v>
      </c>
      <c r="F1390" s="6" t="str">
        <f t="shared" si="94"/>
        <v>女</v>
      </c>
    </row>
    <row r="1391" spans="1:6" ht="30" customHeight="1">
      <c r="A1391" s="6">
        <v>1389</v>
      </c>
      <c r="B1391" s="6" t="str">
        <f>"53002023052912334091861"</f>
        <v>53002023052912334091861</v>
      </c>
      <c r="C1391" s="6" t="str">
        <f t="shared" si="93"/>
        <v>0203</v>
      </c>
      <c r="D1391" s="6" t="s">
        <v>22</v>
      </c>
      <c r="E1391" s="6" t="str">
        <f>"李祝秀"</f>
        <v>李祝秀</v>
      </c>
      <c r="F1391" s="6" t="str">
        <f t="shared" si="94"/>
        <v>女</v>
      </c>
    </row>
    <row r="1392" spans="1:6" ht="30" customHeight="1">
      <c r="A1392" s="6">
        <v>1390</v>
      </c>
      <c r="B1392" s="6" t="str">
        <f>"53002023052912454391926"</f>
        <v>53002023052912454391926</v>
      </c>
      <c r="C1392" s="6" t="str">
        <f t="shared" si="93"/>
        <v>0203</v>
      </c>
      <c r="D1392" s="6" t="s">
        <v>22</v>
      </c>
      <c r="E1392" s="6" t="str">
        <f>"黄琼哗"</f>
        <v>黄琼哗</v>
      </c>
      <c r="F1392" s="6" t="str">
        <f t="shared" si="94"/>
        <v>女</v>
      </c>
    </row>
    <row r="1393" spans="1:6" ht="30" customHeight="1">
      <c r="A1393" s="6">
        <v>1391</v>
      </c>
      <c r="B1393" s="6" t="str">
        <f>"53002023052912574992019"</f>
        <v>53002023052912574992019</v>
      </c>
      <c r="C1393" s="6" t="str">
        <f t="shared" si="93"/>
        <v>0203</v>
      </c>
      <c r="D1393" s="6" t="s">
        <v>22</v>
      </c>
      <c r="E1393" s="6" t="str">
        <f>"许春晓"</f>
        <v>许春晓</v>
      </c>
      <c r="F1393" s="6" t="str">
        <f t="shared" si="94"/>
        <v>女</v>
      </c>
    </row>
    <row r="1394" spans="1:6" ht="30" customHeight="1">
      <c r="A1394" s="6">
        <v>1392</v>
      </c>
      <c r="B1394" s="6" t="str">
        <f>"53002023052912485291948"</f>
        <v>53002023052912485291948</v>
      </c>
      <c r="C1394" s="6" t="str">
        <f t="shared" si="93"/>
        <v>0203</v>
      </c>
      <c r="D1394" s="6" t="s">
        <v>22</v>
      </c>
      <c r="E1394" s="6" t="str">
        <f>"张茹彬"</f>
        <v>张茹彬</v>
      </c>
      <c r="F1394" s="6" t="str">
        <f t="shared" si="94"/>
        <v>女</v>
      </c>
    </row>
    <row r="1395" spans="1:6" ht="30" customHeight="1">
      <c r="A1395" s="6">
        <v>1393</v>
      </c>
      <c r="B1395" s="6" t="str">
        <f>"53002023052900240189345"</f>
        <v>53002023052900240189345</v>
      </c>
      <c r="C1395" s="6" t="str">
        <f t="shared" si="93"/>
        <v>0203</v>
      </c>
      <c r="D1395" s="6" t="s">
        <v>22</v>
      </c>
      <c r="E1395" s="6" t="str">
        <f>"严景洲"</f>
        <v>严景洲</v>
      </c>
      <c r="F1395" s="6" t="str">
        <f t="shared" si="94"/>
        <v>女</v>
      </c>
    </row>
    <row r="1396" spans="1:6" ht="30" customHeight="1">
      <c r="A1396" s="6">
        <v>1394</v>
      </c>
      <c r="B1396" s="6" t="str">
        <f>"53002023052912510991972"</f>
        <v>53002023052912510991972</v>
      </c>
      <c r="C1396" s="6" t="str">
        <f t="shared" si="93"/>
        <v>0203</v>
      </c>
      <c r="D1396" s="6" t="s">
        <v>22</v>
      </c>
      <c r="E1396" s="6" t="str">
        <f>"杨迪淇"</f>
        <v>杨迪淇</v>
      </c>
      <c r="F1396" s="6" t="str">
        <f t="shared" si="94"/>
        <v>女</v>
      </c>
    </row>
    <row r="1397" spans="1:6" ht="30" customHeight="1">
      <c r="A1397" s="6">
        <v>1395</v>
      </c>
      <c r="B1397" s="6" t="str">
        <f>"53002023052913013892041"</f>
        <v>53002023052913013892041</v>
      </c>
      <c r="C1397" s="6" t="str">
        <f aca="true" t="shared" si="95" ref="C1397:C1460">"0203"</f>
        <v>0203</v>
      </c>
      <c r="D1397" s="6" t="s">
        <v>22</v>
      </c>
      <c r="E1397" s="6" t="str">
        <f>"郑福丹"</f>
        <v>郑福丹</v>
      </c>
      <c r="F1397" s="6" t="str">
        <f t="shared" si="94"/>
        <v>女</v>
      </c>
    </row>
    <row r="1398" spans="1:6" ht="30" customHeight="1">
      <c r="A1398" s="6">
        <v>1396</v>
      </c>
      <c r="B1398" s="6" t="str">
        <f>"53002023052913310192205"</f>
        <v>53002023052913310192205</v>
      </c>
      <c r="C1398" s="6" t="str">
        <f t="shared" si="95"/>
        <v>0203</v>
      </c>
      <c r="D1398" s="6" t="s">
        <v>22</v>
      </c>
      <c r="E1398" s="6" t="str">
        <f>"王小月"</f>
        <v>王小月</v>
      </c>
      <c r="F1398" s="6" t="str">
        <f t="shared" si="94"/>
        <v>女</v>
      </c>
    </row>
    <row r="1399" spans="1:6" ht="30" customHeight="1">
      <c r="A1399" s="6">
        <v>1397</v>
      </c>
      <c r="B1399" s="6" t="str">
        <f>"53002023052909203989987"</f>
        <v>53002023052909203989987</v>
      </c>
      <c r="C1399" s="6" t="str">
        <f t="shared" si="95"/>
        <v>0203</v>
      </c>
      <c r="D1399" s="6" t="s">
        <v>22</v>
      </c>
      <c r="E1399" s="6" t="str">
        <f>"谭琼洋"</f>
        <v>谭琼洋</v>
      </c>
      <c r="F1399" s="6" t="str">
        <f t="shared" si="94"/>
        <v>女</v>
      </c>
    </row>
    <row r="1400" spans="1:6" ht="30" customHeight="1">
      <c r="A1400" s="6">
        <v>1398</v>
      </c>
      <c r="B1400" s="6" t="str">
        <f>"53002023052712461384576"</f>
        <v>53002023052712461384576</v>
      </c>
      <c r="C1400" s="6" t="str">
        <f t="shared" si="95"/>
        <v>0203</v>
      </c>
      <c r="D1400" s="6" t="s">
        <v>22</v>
      </c>
      <c r="E1400" s="6" t="str">
        <f>"吴若莹"</f>
        <v>吴若莹</v>
      </c>
      <c r="F1400" s="6" t="str">
        <f t="shared" si="94"/>
        <v>女</v>
      </c>
    </row>
    <row r="1401" spans="1:6" ht="30" customHeight="1">
      <c r="A1401" s="6">
        <v>1399</v>
      </c>
      <c r="B1401" s="6" t="str">
        <f>"53002023052715042685018"</f>
        <v>53002023052715042685018</v>
      </c>
      <c r="C1401" s="6" t="str">
        <f t="shared" si="95"/>
        <v>0203</v>
      </c>
      <c r="D1401" s="6" t="s">
        <v>22</v>
      </c>
      <c r="E1401" s="6" t="str">
        <f>"陈德静"</f>
        <v>陈德静</v>
      </c>
      <c r="F1401" s="6" t="str">
        <f t="shared" si="94"/>
        <v>女</v>
      </c>
    </row>
    <row r="1402" spans="1:6" ht="30" customHeight="1">
      <c r="A1402" s="6">
        <v>1400</v>
      </c>
      <c r="B1402" s="6" t="str">
        <f>"53002023052812595387394"</f>
        <v>53002023052812595387394</v>
      </c>
      <c r="C1402" s="6" t="str">
        <f t="shared" si="95"/>
        <v>0203</v>
      </c>
      <c r="D1402" s="6" t="s">
        <v>22</v>
      </c>
      <c r="E1402" s="6" t="str">
        <f>"谭金佩"</f>
        <v>谭金佩</v>
      </c>
      <c r="F1402" s="6" t="str">
        <f t="shared" si="94"/>
        <v>女</v>
      </c>
    </row>
    <row r="1403" spans="1:6" ht="30" customHeight="1">
      <c r="A1403" s="6">
        <v>1401</v>
      </c>
      <c r="B1403" s="6" t="str">
        <f>"53002023052914311092496"</f>
        <v>53002023052914311092496</v>
      </c>
      <c r="C1403" s="6" t="str">
        <f t="shared" si="95"/>
        <v>0203</v>
      </c>
      <c r="D1403" s="6" t="s">
        <v>22</v>
      </c>
      <c r="E1403" s="6" t="str">
        <f>"刘雪"</f>
        <v>刘雪</v>
      </c>
      <c r="F1403" s="6" t="str">
        <f t="shared" si="94"/>
        <v>女</v>
      </c>
    </row>
    <row r="1404" spans="1:6" ht="30" customHeight="1">
      <c r="A1404" s="6">
        <v>1402</v>
      </c>
      <c r="B1404" s="6" t="str">
        <f>"53002023052915051792699"</f>
        <v>53002023052915051792699</v>
      </c>
      <c r="C1404" s="6" t="str">
        <f t="shared" si="95"/>
        <v>0203</v>
      </c>
      <c r="D1404" s="6" t="s">
        <v>22</v>
      </c>
      <c r="E1404" s="6" t="str">
        <f>"邱春燕"</f>
        <v>邱春燕</v>
      </c>
      <c r="F1404" s="6" t="str">
        <f t="shared" si="94"/>
        <v>女</v>
      </c>
    </row>
    <row r="1405" spans="1:6" ht="30" customHeight="1">
      <c r="A1405" s="6">
        <v>1403</v>
      </c>
      <c r="B1405" s="6" t="str">
        <f>"53002023052915135292747"</f>
        <v>53002023052915135292747</v>
      </c>
      <c r="C1405" s="6" t="str">
        <f t="shared" si="95"/>
        <v>0203</v>
      </c>
      <c r="D1405" s="6" t="s">
        <v>22</v>
      </c>
      <c r="E1405" s="6" t="str">
        <f>"林师"</f>
        <v>林师</v>
      </c>
      <c r="F1405" s="6" t="str">
        <f t="shared" si="94"/>
        <v>女</v>
      </c>
    </row>
    <row r="1406" spans="1:6" ht="30" customHeight="1">
      <c r="A1406" s="6">
        <v>1404</v>
      </c>
      <c r="B1406" s="6" t="str">
        <f>"53002023052912193691778"</f>
        <v>53002023052912193691778</v>
      </c>
      <c r="C1406" s="6" t="str">
        <f t="shared" si="95"/>
        <v>0203</v>
      </c>
      <c r="D1406" s="6" t="s">
        <v>22</v>
      </c>
      <c r="E1406" s="6" t="str">
        <f>"丁裕丹"</f>
        <v>丁裕丹</v>
      </c>
      <c r="F1406" s="6" t="str">
        <f t="shared" si="94"/>
        <v>女</v>
      </c>
    </row>
    <row r="1407" spans="1:6" ht="30" customHeight="1">
      <c r="A1407" s="6">
        <v>1405</v>
      </c>
      <c r="B1407" s="6" t="str">
        <f>"53002023052909005789685"</f>
        <v>53002023052909005789685</v>
      </c>
      <c r="C1407" s="6" t="str">
        <f t="shared" si="95"/>
        <v>0203</v>
      </c>
      <c r="D1407" s="6" t="s">
        <v>22</v>
      </c>
      <c r="E1407" s="6" t="str">
        <f>"古婷婷"</f>
        <v>古婷婷</v>
      </c>
      <c r="F1407" s="6" t="str">
        <f t="shared" si="94"/>
        <v>女</v>
      </c>
    </row>
    <row r="1408" spans="1:6" ht="30" customHeight="1">
      <c r="A1408" s="6">
        <v>1406</v>
      </c>
      <c r="B1408" s="6" t="str">
        <f>"53002023052802563186709"</f>
        <v>53002023052802563186709</v>
      </c>
      <c r="C1408" s="6" t="str">
        <f t="shared" si="95"/>
        <v>0203</v>
      </c>
      <c r="D1408" s="6" t="s">
        <v>22</v>
      </c>
      <c r="E1408" s="6" t="str">
        <f>"李诗静"</f>
        <v>李诗静</v>
      </c>
      <c r="F1408" s="6" t="str">
        <f t="shared" si="94"/>
        <v>女</v>
      </c>
    </row>
    <row r="1409" spans="1:6" ht="30" customHeight="1">
      <c r="A1409" s="6">
        <v>1407</v>
      </c>
      <c r="B1409" s="6" t="str">
        <f>"53002023052915522093066"</f>
        <v>53002023052915522093066</v>
      </c>
      <c r="C1409" s="6" t="str">
        <f t="shared" si="95"/>
        <v>0203</v>
      </c>
      <c r="D1409" s="6" t="s">
        <v>22</v>
      </c>
      <c r="E1409" s="6" t="str">
        <f>"王楠"</f>
        <v>王楠</v>
      </c>
      <c r="F1409" s="6" t="str">
        <f t="shared" si="94"/>
        <v>女</v>
      </c>
    </row>
    <row r="1410" spans="1:6" ht="30" customHeight="1">
      <c r="A1410" s="6">
        <v>1408</v>
      </c>
      <c r="B1410" s="6" t="str">
        <f>"53002023052914101292382"</f>
        <v>53002023052914101292382</v>
      </c>
      <c r="C1410" s="6" t="str">
        <f t="shared" si="95"/>
        <v>0203</v>
      </c>
      <c r="D1410" s="6" t="s">
        <v>22</v>
      </c>
      <c r="E1410" s="6" t="str">
        <f>"韩诗愉"</f>
        <v>韩诗愉</v>
      </c>
      <c r="F1410" s="6" t="str">
        <f t="shared" si="94"/>
        <v>女</v>
      </c>
    </row>
    <row r="1411" spans="1:6" ht="30" customHeight="1">
      <c r="A1411" s="6">
        <v>1409</v>
      </c>
      <c r="B1411" s="6" t="str">
        <f>"53002023052916051793161"</f>
        <v>53002023052916051793161</v>
      </c>
      <c r="C1411" s="6" t="str">
        <f t="shared" si="95"/>
        <v>0203</v>
      </c>
      <c r="D1411" s="6" t="s">
        <v>22</v>
      </c>
      <c r="E1411" s="6" t="str">
        <f>"郑斌云"</f>
        <v>郑斌云</v>
      </c>
      <c r="F1411" s="6" t="str">
        <f t="shared" si="94"/>
        <v>女</v>
      </c>
    </row>
    <row r="1412" spans="1:6" ht="30" customHeight="1">
      <c r="A1412" s="6">
        <v>1410</v>
      </c>
      <c r="B1412" s="6" t="str">
        <f>"53002023052916213493293"</f>
        <v>53002023052916213493293</v>
      </c>
      <c r="C1412" s="6" t="str">
        <f t="shared" si="95"/>
        <v>0203</v>
      </c>
      <c r="D1412" s="6" t="s">
        <v>22</v>
      </c>
      <c r="E1412" s="6" t="str">
        <f>"何美霞"</f>
        <v>何美霞</v>
      </c>
      <c r="F1412" s="6" t="str">
        <f t="shared" si="94"/>
        <v>女</v>
      </c>
    </row>
    <row r="1413" spans="1:6" ht="30" customHeight="1">
      <c r="A1413" s="6">
        <v>1411</v>
      </c>
      <c r="B1413" s="6" t="str">
        <f>"53002023052910313990798"</f>
        <v>53002023052910313990798</v>
      </c>
      <c r="C1413" s="6" t="str">
        <f t="shared" si="95"/>
        <v>0203</v>
      </c>
      <c r="D1413" s="6" t="s">
        <v>22</v>
      </c>
      <c r="E1413" s="6" t="str">
        <f>"何芳芳"</f>
        <v>何芳芳</v>
      </c>
      <c r="F1413" s="6" t="str">
        <f t="shared" si="94"/>
        <v>女</v>
      </c>
    </row>
    <row r="1414" spans="1:6" ht="30" customHeight="1">
      <c r="A1414" s="6">
        <v>1412</v>
      </c>
      <c r="B1414" s="6" t="str">
        <f>"53002023052912261291812"</f>
        <v>53002023052912261291812</v>
      </c>
      <c r="C1414" s="6" t="str">
        <f t="shared" si="95"/>
        <v>0203</v>
      </c>
      <c r="D1414" s="6" t="s">
        <v>22</v>
      </c>
      <c r="E1414" s="6" t="str">
        <f>"邓永馨"</f>
        <v>邓永馨</v>
      </c>
      <c r="F1414" s="6" t="str">
        <f t="shared" si="94"/>
        <v>女</v>
      </c>
    </row>
    <row r="1415" spans="1:6" ht="30" customHeight="1">
      <c r="A1415" s="6">
        <v>1413</v>
      </c>
      <c r="B1415" s="6" t="str">
        <f>"53002023052911473591528"</f>
        <v>53002023052911473591528</v>
      </c>
      <c r="C1415" s="6" t="str">
        <f t="shared" si="95"/>
        <v>0203</v>
      </c>
      <c r="D1415" s="6" t="s">
        <v>22</v>
      </c>
      <c r="E1415" s="6" t="str">
        <f>"韩丛璟"</f>
        <v>韩丛璟</v>
      </c>
      <c r="F1415" s="6" t="str">
        <f aca="true" t="shared" si="96" ref="F1415:F1437">"女"</f>
        <v>女</v>
      </c>
    </row>
    <row r="1416" spans="1:6" ht="30" customHeight="1">
      <c r="A1416" s="6">
        <v>1414</v>
      </c>
      <c r="B1416" s="6" t="str">
        <f>"53002023052915442492995"</f>
        <v>53002023052915442492995</v>
      </c>
      <c r="C1416" s="6" t="str">
        <f t="shared" si="95"/>
        <v>0203</v>
      </c>
      <c r="D1416" s="6" t="s">
        <v>22</v>
      </c>
      <c r="E1416" s="6" t="str">
        <f>"余建翠"</f>
        <v>余建翠</v>
      </c>
      <c r="F1416" s="6" t="str">
        <f t="shared" si="96"/>
        <v>女</v>
      </c>
    </row>
    <row r="1417" spans="1:6" ht="30" customHeight="1">
      <c r="A1417" s="6">
        <v>1415</v>
      </c>
      <c r="B1417" s="6" t="str">
        <f>"53002023052910382590890"</f>
        <v>53002023052910382590890</v>
      </c>
      <c r="C1417" s="6" t="str">
        <f t="shared" si="95"/>
        <v>0203</v>
      </c>
      <c r="D1417" s="6" t="s">
        <v>22</v>
      </c>
      <c r="E1417" s="6" t="str">
        <f>"符金妍"</f>
        <v>符金妍</v>
      </c>
      <c r="F1417" s="6" t="str">
        <f t="shared" si="96"/>
        <v>女</v>
      </c>
    </row>
    <row r="1418" spans="1:6" ht="30" customHeight="1">
      <c r="A1418" s="6">
        <v>1416</v>
      </c>
      <c r="B1418" s="6" t="str">
        <f>"53002023052915363992931"</f>
        <v>53002023052915363992931</v>
      </c>
      <c r="C1418" s="6" t="str">
        <f t="shared" si="95"/>
        <v>0203</v>
      </c>
      <c r="D1418" s="6" t="s">
        <v>22</v>
      </c>
      <c r="E1418" s="6" t="str">
        <f>"吴定佳"</f>
        <v>吴定佳</v>
      </c>
      <c r="F1418" s="6" t="str">
        <f t="shared" si="96"/>
        <v>女</v>
      </c>
    </row>
    <row r="1419" spans="1:6" ht="30" customHeight="1">
      <c r="A1419" s="6">
        <v>1417</v>
      </c>
      <c r="B1419" s="6" t="str">
        <f>"53002023052916134193232"</f>
        <v>53002023052916134193232</v>
      </c>
      <c r="C1419" s="6" t="str">
        <f t="shared" si="95"/>
        <v>0203</v>
      </c>
      <c r="D1419" s="6" t="s">
        <v>22</v>
      </c>
      <c r="E1419" s="6" t="str">
        <f>"蔡蓉桢"</f>
        <v>蔡蓉桢</v>
      </c>
      <c r="F1419" s="6" t="str">
        <f t="shared" si="96"/>
        <v>女</v>
      </c>
    </row>
    <row r="1420" spans="1:6" ht="30" customHeight="1">
      <c r="A1420" s="6">
        <v>1418</v>
      </c>
      <c r="B1420" s="6" t="str">
        <f>"53002023052916562593541"</f>
        <v>53002023052916562593541</v>
      </c>
      <c r="C1420" s="6" t="str">
        <f t="shared" si="95"/>
        <v>0203</v>
      </c>
      <c r="D1420" s="6" t="s">
        <v>22</v>
      </c>
      <c r="E1420" s="6" t="str">
        <f>"吴亭"</f>
        <v>吴亭</v>
      </c>
      <c r="F1420" s="6" t="str">
        <f t="shared" si="96"/>
        <v>女</v>
      </c>
    </row>
    <row r="1421" spans="1:6" ht="30" customHeight="1">
      <c r="A1421" s="6">
        <v>1419</v>
      </c>
      <c r="B1421" s="6" t="str">
        <f>"53002023052820223088650"</f>
        <v>53002023052820223088650</v>
      </c>
      <c r="C1421" s="6" t="str">
        <f t="shared" si="95"/>
        <v>0203</v>
      </c>
      <c r="D1421" s="6" t="s">
        <v>22</v>
      </c>
      <c r="E1421" s="6" t="str">
        <f>"钟丽丹"</f>
        <v>钟丽丹</v>
      </c>
      <c r="F1421" s="6" t="str">
        <f t="shared" si="96"/>
        <v>女</v>
      </c>
    </row>
    <row r="1422" spans="1:6" ht="30" customHeight="1">
      <c r="A1422" s="6">
        <v>1420</v>
      </c>
      <c r="B1422" s="6" t="str">
        <f>"53002023052916432293455"</f>
        <v>53002023052916432293455</v>
      </c>
      <c r="C1422" s="6" t="str">
        <f t="shared" si="95"/>
        <v>0203</v>
      </c>
      <c r="D1422" s="6" t="s">
        <v>22</v>
      </c>
      <c r="E1422" s="6" t="str">
        <f>"罗欣"</f>
        <v>罗欣</v>
      </c>
      <c r="F1422" s="6" t="str">
        <f t="shared" si="96"/>
        <v>女</v>
      </c>
    </row>
    <row r="1423" spans="1:6" ht="30" customHeight="1">
      <c r="A1423" s="6">
        <v>1421</v>
      </c>
      <c r="B1423" s="6" t="str">
        <f>"53002023052917155793668"</f>
        <v>53002023052917155793668</v>
      </c>
      <c r="C1423" s="6" t="str">
        <f t="shared" si="95"/>
        <v>0203</v>
      </c>
      <c r="D1423" s="6" t="s">
        <v>22</v>
      </c>
      <c r="E1423" s="6" t="str">
        <f>"黄美琪"</f>
        <v>黄美琪</v>
      </c>
      <c r="F1423" s="6" t="str">
        <f t="shared" si="96"/>
        <v>女</v>
      </c>
    </row>
    <row r="1424" spans="1:6" ht="30" customHeight="1">
      <c r="A1424" s="6">
        <v>1422</v>
      </c>
      <c r="B1424" s="6" t="str">
        <f>"53002023052911150691261"</f>
        <v>53002023052911150691261</v>
      </c>
      <c r="C1424" s="6" t="str">
        <f t="shared" si="95"/>
        <v>0203</v>
      </c>
      <c r="D1424" s="6" t="s">
        <v>22</v>
      </c>
      <c r="E1424" s="6" t="str">
        <f>"罗小奋"</f>
        <v>罗小奋</v>
      </c>
      <c r="F1424" s="6" t="str">
        <f t="shared" si="96"/>
        <v>女</v>
      </c>
    </row>
    <row r="1425" spans="1:6" ht="30" customHeight="1">
      <c r="A1425" s="6">
        <v>1423</v>
      </c>
      <c r="B1425" s="6" t="str">
        <f>"53002023052917253793714"</f>
        <v>53002023052917253793714</v>
      </c>
      <c r="C1425" s="6" t="str">
        <f t="shared" si="95"/>
        <v>0203</v>
      </c>
      <c r="D1425" s="6" t="s">
        <v>22</v>
      </c>
      <c r="E1425" s="6" t="str">
        <f>"谢丽雯"</f>
        <v>谢丽雯</v>
      </c>
      <c r="F1425" s="6" t="str">
        <f t="shared" si="96"/>
        <v>女</v>
      </c>
    </row>
    <row r="1426" spans="1:6" ht="30" customHeight="1">
      <c r="A1426" s="6">
        <v>1424</v>
      </c>
      <c r="B1426" s="6" t="str">
        <f>"53002023052917445093816"</f>
        <v>53002023052917445093816</v>
      </c>
      <c r="C1426" s="6" t="str">
        <f t="shared" si="95"/>
        <v>0203</v>
      </c>
      <c r="D1426" s="6" t="s">
        <v>22</v>
      </c>
      <c r="E1426" s="6" t="str">
        <f>"詹达丽"</f>
        <v>詹达丽</v>
      </c>
      <c r="F1426" s="6" t="str">
        <f t="shared" si="96"/>
        <v>女</v>
      </c>
    </row>
    <row r="1427" spans="1:6" ht="30" customHeight="1">
      <c r="A1427" s="6">
        <v>1425</v>
      </c>
      <c r="B1427" s="6" t="str">
        <f>"53002023052917395693782"</f>
        <v>53002023052917395693782</v>
      </c>
      <c r="C1427" s="6" t="str">
        <f t="shared" si="95"/>
        <v>0203</v>
      </c>
      <c r="D1427" s="6" t="s">
        <v>22</v>
      </c>
      <c r="E1427" s="6" t="str">
        <f>"官嘉玲"</f>
        <v>官嘉玲</v>
      </c>
      <c r="F1427" s="6" t="str">
        <f t="shared" si="96"/>
        <v>女</v>
      </c>
    </row>
    <row r="1428" spans="1:6" ht="30" customHeight="1">
      <c r="A1428" s="6">
        <v>1426</v>
      </c>
      <c r="B1428" s="6" t="str">
        <f>"53002023052821112588824"</f>
        <v>53002023052821112588824</v>
      </c>
      <c r="C1428" s="6" t="str">
        <f t="shared" si="95"/>
        <v>0203</v>
      </c>
      <c r="D1428" s="6" t="s">
        <v>22</v>
      </c>
      <c r="E1428" s="6" t="str">
        <f>"吴坤梅"</f>
        <v>吴坤梅</v>
      </c>
      <c r="F1428" s="6" t="str">
        <f t="shared" si="96"/>
        <v>女</v>
      </c>
    </row>
    <row r="1429" spans="1:6" ht="30" customHeight="1">
      <c r="A1429" s="6">
        <v>1427</v>
      </c>
      <c r="B1429" s="6" t="str">
        <f>"53002023052918203993981"</f>
        <v>53002023052918203993981</v>
      </c>
      <c r="C1429" s="6" t="str">
        <f t="shared" si="95"/>
        <v>0203</v>
      </c>
      <c r="D1429" s="6" t="s">
        <v>22</v>
      </c>
      <c r="E1429" s="6" t="str">
        <f>"符吉南"</f>
        <v>符吉南</v>
      </c>
      <c r="F1429" s="6" t="str">
        <f t="shared" si="96"/>
        <v>女</v>
      </c>
    </row>
    <row r="1430" spans="1:6" ht="30" customHeight="1">
      <c r="A1430" s="6">
        <v>1428</v>
      </c>
      <c r="B1430" s="6" t="str">
        <f>"53002023052918084793925"</f>
        <v>53002023052918084793925</v>
      </c>
      <c r="C1430" s="6" t="str">
        <f t="shared" si="95"/>
        <v>0203</v>
      </c>
      <c r="D1430" s="6" t="s">
        <v>22</v>
      </c>
      <c r="E1430" s="6" t="str">
        <f>"钟小珍"</f>
        <v>钟小珍</v>
      </c>
      <c r="F1430" s="6" t="str">
        <f t="shared" si="96"/>
        <v>女</v>
      </c>
    </row>
    <row r="1431" spans="1:6" ht="30" customHeight="1">
      <c r="A1431" s="6">
        <v>1429</v>
      </c>
      <c r="B1431" s="6" t="str">
        <f>"53002023052917283293725"</f>
        <v>53002023052917283293725</v>
      </c>
      <c r="C1431" s="6" t="str">
        <f t="shared" si="95"/>
        <v>0203</v>
      </c>
      <c r="D1431" s="6" t="s">
        <v>22</v>
      </c>
      <c r="E1431" s="6" t="str">
        <f>"王威"</f>
        <v>王威</v>
      </c>
      <c r="F1431" s="6" t="str">
        <f t="shared" si="96"/>
        <v>女</v>
      </c>
    </row>
    <row r="1432" spans="1:6" ht="30" customHeight="1">
      <c r="A1432" s="6">
        <v>1430</v>
      </c>
      <c r="B1432" s="6" t="str">
        <f>"53002023052919104094188"</f>
        <v>53002023052919104094188</v>
      </c>
      <c r="C1432" s="6" t="str">
        <f t="shared" si="95"/>
        <v>0203</v>
      </c>
      <c r="D1432" s="6" t="s">
        <v>22</v>
      </c>
      <c r="E1432" s="6" t="str">
        <f>"卜开英"</f>
        <v>卜开英</v>
      </c>
      <c r="F1432" s="6" t="str">
        <f t="shared" si="96"/>
        <v>女</v>
      </c>
    </row>
    <row r="1433" spans="1:6" ht="30" customHeight="1">
      <c r="A1433" s="6">
        <v>1431</v>
      </c>
      <c r="B1433" s="6" t="str">
        <f>"53002023052919184894215"</f>
        <v>53002023052919184894215</v>
      </c>
      <c r="C1433" s="6" t="str">
        <f t="shared" si="95"/>
        <v>0203</v>
      </c>
      <c r="D1433" s="6" t="s">
        <v>22</v>
      </c>
      <c r="E1433" s="6" t="str">
        <f>"孟璐"</f>
        <v>孟璐</v>
      </c>
      <c r="F1433" s="6" t="str">
        <f t="shared" si="96"/>
        <v>女</v>
      </c>
    </row>
    <row r="1434" spans="1:6" ht="30" customHeight="1">
      <c r="A1434" s="6">
        <v>1432</v>
      </c>
      <c r="B1434" s="6" t="str">
        <f>"53002023052919140794197"</f>
        <v>53002023052919140794197</v>
      </c>
      <c r="C1434" s="6" t="str">
        <f t="shared" si="95"/>
        <v>0203</v>
      </c>
      <c r="D1434" s="6" t="s">
        <v>22</v>
      </c>
      <c r="E1434" s="6" t="str">
        <f>"王小妹"</f>
        <v>王小妹</v>
      </c>
      <c r="F1434" s="6" t="str">
        <f t="shared" si="96"/>
        <v>女</v>
      </c>
    </row>
    <row r="1435" spans="1:6" ht="30" customHeight="1">
      <c r="A1435" s="6">
        <v>1433</v>
      </c>
      <c r="B1435" s="6" t="str">
        <f>"53002023052721103586154"</f>
        <v>53002023052721103586154</v>
      </c>
      <c r="C1435" s="6" t="str">
        <f t="shared" si="95"/>
        <v>0203</v>
      </c>
      <c r="D1435" s="6" t="s">
        <v>22</v>
      </c>
      <c r="E1435" s="6" t="str">
        <f>"张英桃"</f>
        <v>张英桃</v>
      </c>
      <c r="F1435" s="6" t="str">
        <f t="shared" si="96"/>
        <v>女</v>
      </c>
    </row>
    <row r="1436" spans="1:6" ht="30" customHeight="1">
      <c r="A1436" s="6">
        <v>1434</v>
      </c>
      <c r="B1436" s="6" t="str">
        <f>"53002023052919211894234"</f>
        <v>53002023052919211894234</v>
      </c>
      <c r="C1436" s="6" t="str">
        <f t="shared" si="95"/>
        <v>0203</v>
      </c>
      <c r="D1436" s="6" t="s">
        <v>22</v>
      </c>
      <c r="E1436" s="6" t="str">
        <f>"韦小恋"</f>
        <v>韦小恋</v>
      </c>
      <c r="F1436" s="6" t="str">
        <f t="shared" si="96"/>
        <v>女</v>
      </c>
    </row>
    <row r="1437" spans="1:6" ht="30" customHeight="1">
      <c r="A1437" s="6">
        <v>1435</v>
      </c>
      <c r="B1437" s="6" t="str">
        <f>"53002023052917470593825"</f>
        <v>53002023052917470593825</v>
      </c>
      <c r="C1437" s="6" t="str">
        <f t="shared" si="95"/>
        <v>0203</v>
      </c>
      <c r="D1437" s="6" t="s">
        <v>22</v>
      </c>
      <c r="E1437" s="6" t="str">
        <f>"李嘉怡"</f>
        <v>李嘉怡</v>
      </c>
      <c r="F1437" s="6" t="str">
        <f t="shared" si="96"/>
        <v>女</v>
      </c>
    </row>
    <row r="1438" spans="1:6" ht="30" customHeight="1">
      <c r="A1438" s="6">
        <v>1436</v>
      </c>
      <c r="B1438" s="6" t="str">
        <f>"53002023052919405694313"</f>
        <v>53002023052919405694313</v>
      </c>
      <c r="C1438" s="6" t="str">
        <f t="shared" si="95"/>
        <v>0203</v>
      </c>
      <c r="D1438" s="6" t="s">
        <v>22</v>
      </c>
      <c r="E1438" s="6" t="str">
        <f>"王家麒"</f>
        <v>王家麒</v>
      </c>
      <c r="F1438" s="6" t="str">
        <f>"男"</f>
        <v>男</v>
      </c>
    </row>
    <row r="1439" spans="1:6" ht="30" customHeight="1">
      <c r="A1439" s="6">
        <v>1437</v>
      </c>
      <c r="B1439" s="6" t="str">
        <f>"53002023052920334994569"</f>
        <v>53002023052920334994569</v>
      </c>
      <c r="C1439" s="6" t="str">
        <f t="shared" si="95"/>
        <v>0203</v>
      </c>
      <c r="D1439" s="6" t="s">
        <v>22</v>
      </c>
      <c r="E1439" s="6" t="str">
        <f>"殷礼惠"</f>
        <v>殷礼惠</v>
      </c>
      <c r="F1439" s="6" t="str">
        <f aca="true" t="shared" si="97" ref="F1439:F1444">"女"</f>
        <v>女</v>
      </c>
    </row>
    <row r="1440" spans="1:6" ht="30" customHeight="1">
      <c r="A1440" s="6">
        <v>1438</v>
      </c>
      <c r="B1440" s="6" t="str">
        <f>"53002023052919000494138"</f>
        <v>53002023052919000494138</v>
      </c>
      <c r="C1440" s="6" t="str">
        <f t="shared" si="95"/>
        <v>0203</v>
      </c>
      <c r="D1440" s="6" t="s">
        <v>22</v>
      </c>
      <c r="E1440" s="6" t="str">
        <f>"王爱嘉"</f>
        <v>王爱嘉</v>
      </c>
      <c r="F1440" s="6" t="str">
        <f t="shared" si="97"/>
        <v>女</v>
      </c>
    </row>
    <row r="1441" spans="1:6" ht="30" customHeight="1">
      <c r="A1441" s="6">
        <v>1439</v>
      </c>
      <c r="B1441" s="6" t="str">
        <f>"53002023052920431294628"</f>
        <v>53002023052920431294628</v>
      </c>
      <c r="C1441" s="6" t="str">
        <f t="shared" si="95"/>
        <v>0203</v>
      </c>
      <c r="D1441" s="6" t="s">
        <v>22</v>
      </c>
      <c r="E1441" s="6" t="str">
        <f>"郭小丹"</f>
        <v>郭小丹</v>
      </c>
      <c r="F1441" s="6" t="str">
        <f t="shared" si="97"/>
        <v>女</v>
      </c>
    </row>
    <row r="1442" spans="1:6" ht="30" customHeight="1">
      <c r="A1442" s="6">
        <v>1440</v>
      </c>
      <c r="B1442" s="6" t="str">
        <f>"53002023052918211093984"</f>
        <v>53002023052918211093984</v>
      </c>
      <c r="C1442" s="6" t="str">
        <f t="shared" si="95"/>
        <v>0203</v>
      </c>
      <c r="D1442" s="6" t="s">
        <v>22</v>
      </c>
      <c r="E1442" s="6" t="str">
        <f>"吴春榕"</f>
        <v>吴春榕</v>
      </c>
      <c r="F1442" s="6" t="str">
        <f t="shared" si="97"/>
        <v>女</v>
      </c>
    </row>
    <row r="1443" spans="1:6" ht="30" customHeight="1">
      <c r="A1443" s="6">
        <v>1441</v>
      </c>
      <c r="B1443" s="6" t="str">
        <f>"53002023052809482086906"</f>
        <v>53002023052809482086906</v>
      </c>
      <c r="C1443" s="6" t="str">
        <f t="shared" si="95"/>
        <v>0203</v>
      </c>
      <c r="D1443" s="6" t="s">
        <v>22</v>
      </c>
      <c r="E1443" s="6" t="str">
        <f>"林小妹"</f>
        <v>林小妹</v>
      </c>
      <c r="F1443" s="6" t="str">
        <f t="shared" si="97"/>
        <v>女</v>
      </c>
    </row>
    <row r="1444" spans="1:6" ht="30" customHeight="1">
      <c r="A1444" s="6">
        <v>1442</v>
      </c>
      <c r="B1444" s="6" t="str">
        <f>"53002023052909101289856"</f>
        <v>53002023052909101289856</v>
      </c>
      <c r="C1444" s="6" t="str">
        <f t="shared" si="95"/>
        <v>0203</v>
      </c>
      <c r="D1444" s="6" t="s">
        <v>22</v>
      </c>
      <c r="E1444" s="6" t="str">
        <f>"李婷梅"</f>
        <v>李婷梅</v>
      </c>
      <c r="F1444" s="6" t="str">
        <f t="shared" si="97"/>
        <v>女</v>
      </c>
    </row>
    <row r="1445" spans="1:6" ht="30" customHeight="1">
      <c r="A1445" s="6">
        <v>1443</v>
      </c>
      <c r="B1445" s="6" t="str">
        <f>"53002023052920435194630"</f>
        <v>53002023052920435194630</v>
      </c>
      <c r="C1445" s="6" t="str">
        <f t="shared" si="95"/>
        <v>0203</v>
      </c>
      <c r="D1445" s="6" t="s">
        <v>22</v>
      </c>
      <c r="E1445" s="6" t="str">
        <f>"符霜豪"</f>
        <v>符霜豪</v>
      </c>
      <c r="F1445" s="6" t="str">
        <f>"男"</f>
        <v>男</v>
      </c>
    </row>
    <row r="1446" spans="1:6" ht="30" customHeight="1">
      <c r="A1446" s="6">
        <v>1444</v>
      </c>
      <c r="B1446" s="6" t="str">
        <f>"53002023052920285094544"</f>
        <v>53002023052920285094544</v>
      </c>
      <c r="C1446" s="6" t="str">
        <f t="shared" si="95"/>
        <v>0203</v>
      </c>
      <c r="D1446" s="6" t="s">
        <v>22</v>
      </c>
      <c r="E1446" s="6" t="str">
        <f>"何柳女"</f>
        <v>何柳女</v>
      </c>
      <c r="F1446" s="6" t="str">
        <f aca="true" t="shared" si="98" ref="F1446:F1498">"女"</f>
        <v>女</v>
      </c>
    </row>
    <row r="1447" spans="1:6" ht="30" customHeight="1">
      <c r="A1447" s="6">
        <v>1445</v>
      </c>
      <c r="B1447" s="6" t="str">
        <f>"53002023052921270894871"</f>
        <v>53002023052921270894871</v>
      </c>
      <c r="C1447" s="6" t="str">
        <f t="shared" si="95"/>
        <v>0203</v>
      </c>
      <c r="D1447" s="6" t="s">
        <v>22</v>
      </c>
      <c r="E1447" s="6" t="str">
        <f>"林世妃"</f>
        <v>林世妃</v>
      </c>
      <c r="F1447" s="6" t="str">
        <f t="shared" si="98"/>
        <v>女</v>
      </c>
    </row>
    <row r="1448" spans="1:6" ht="30" customHeight="1">
      <c r="A1448" s="6">
        <v>1446</v>
      </c>
      <c r="B1448" s="6" t="str">
        <f>"53002023052921343694924"</f>
        <v>53002023052921343694924</v>
      </c>
      <c r="C1448" s="6" t="str">
        <f t="shared" si="95"/>
        <v>0203</v>
      </c>
      <c r="D1448" s="6" t="s">
        <v>22</v>
      </c>
      <c r="E1448" s="6" t="str">
        <f>"邢雪喜"</f>
        <v>邢雪喜</v>
      </c>
      <c r="F1448" s="6" t="str">
        <f t="shared" si="98"/>
        <v>女</v>
      </c>
    </row>
    <row r="1449" spans="1:6" ht="30" customHeight="1">
      <c r="A1449" s="6">
        <v>1447</v>
      </c>
      <c r="B1449" s="6" t="str">
        <f>"53002023052921110494778"</f>
        <v>53002023052921110494778</v>
      </c>
      <c r="C1449" s="6" t="str">
        <f t="shared" si="95"/>
        <v>0203</v>
      </c>
      <c r="D1449" s="6" t="s">
        <v>22</v>
      </c>
      <c r="E1449" s="6" t="str">
        <f>"黄晶晶"</f>
        <v>黄晶晶</v>
      </c>
      <c r="F1449" s="6" t="str">
        <f t="shared" si="98"/>
        <v>女</v>
      </c>
    </row>
    <row r="1450" spans="1:6" ht="30" customHeight="1">
      <c r="A1450" s="6">
        <v>1448</v>
      </c>
      <c r="B1450" s="6" t="str">
        <f>"53002023052921310394897"</f>
        <v>53002023052921310394897</v>
      </c>
      <c r="C1450" s="6" t="str">
        <f t="shared" si="95"/>
        <v>0203</v>
      </c>
      <c r="D1450" s="6" t="s">
        <v>22</v>
      </c>
      <c r="E1450" s="6" t="str">
        <f>"吴李和"</f>
        <v>吴李和</v>
      </c>
      <c r="F1450" s="6" t="str">
        <f t="shared" si="98"/>
        <v>女</v>
      </c>
    </row>
    <row r="1451" spans="1:6" ht="30" customHeight="1">
      <c r="A1451" s="6">
        <v>1449</v>
      </c>
      <c r="B1451" s="6" t="str">
        <f>"53002023052921143694800"</f>
        <v>53002023052921143694800</v>
      </c>
      <c r="C1451" s="6" t="str">
        <f t="shared" si="95"/>
        <v>0203</v>
      </c>
      <c r="D1451" s="6" t="s">
        <v>22</v>
      </c>
      <c r="E1451" s="6" t="str">
        <f>"周洁"</f>
        <v>周洁</v>
      </c>
      <c r="F1451" s="6" t="str">
        <f t="shared" si="98"/>
        <v>女</v>
      </c>
    </row>
    <row r="1452" spans="1:6" ht="30" customHeight="1">
      <c r="A1452" s="6">
        <v>1450</v>
      </c>
      <c r="B1452" s="6" t="str">
        <f>"53002023052921542395038"</f>
        <v>53002023052921542395038</v>
      </c>
      <c r="C1452" s="6" t="str">
        <f t="shared" si="95"/>
        <v>0203</v>
      </c>
      <c r="D1452" s="6" t="s">
        <v>22</v>
      </c>
      <c r="E1452" s="6" t="str">
        <f>"郑海丽"</f>
        <v>郑海丽</v>
      </c>
      <c r="F1452" s="6" t="str">
        <f t="shared" si="98"/>
        <v>女</v>
      </c>
    </row>
    <row r="1453" spans="1:6" ht="30" customHeight="1">
      <c r="A1453" s="6">
        <v>1451</v>
      </c>
      <c r="B1453" s="6" t="str">
        <f>"53002023052921415594965"</f>
        <v>53002023052921415594965</v>
      </c>
      <c r="C1453" s="6" t="str">
        <f t="shared" si="95"/>
        <v>0203</v>
      </c>
      <c r="D1453" s="6" t="s">
        <v>22</v>
      </c>
      <c r="E1453" s="6" t="str">
        <f>"莫春梅"</f>
        <v>莫春梅</v>
      </c>
      <c r="F1453" s="6" t="str">
        <f t="shared" si="98"/>
        <v>女</v>
      </c>
    </row>
    <row r="1454" spans="1:6" ht="30" customHeight="1">
      <c r="A1454" s="6">
        <v>1452</v>
      </c>
      <c r="B1454" s="6" t="str">
        <f>"53002023052920223794511"</f>
        <v>53002023052920223794511</v>
      </c>
      <c r="C1454" s="6" t="str">
        <f t="shared" si="95"/>
        <v>0203</v>
      </c>
      <c r="D1454" s="6" t="s">
        <v>22</v>
      </c>
      <c r="E1454" s="6" t="str">
        <f>"李兰泓"</f>
        <v>李兰泓</v>
      </c>
      <c r="F1454" s="6" t="str">
        <f t="shared" si="98"/>
        <v>女</v>
      </c>
    </row>
    <row r="1455" spans="1:6" ht="30" customHeight="1">
      <c r="A1455" s="6">
        <v>1453</v>
      </c>
      <c r="B1455" s="6" t="str">
        <f>"53002023052920263894534"</f>
        <v>53002023052920263894534</v>
      </c>
      <c r="C1455" s="6" t="str">
        <f t="shared" si="95"/>
        <v>0203</v>
      </c>
      <c r="D1455" s="6" t="s">
        <v>22</v>
      </c>
      <c r="E1455" s="6" t="str">
        <f>"吴海蛟"</f>
        <v>吴海蛟</v>
      </c>
      <c r="F1455" s="6" t="str">
        <f t="shared" si="98"/>
        <v>女</v>
      </c>
    </row>
    <row r="1456" spans="1:6" ht="30" customHeight="1">
      <c r="A1456" s="6">
        <v>1454</v>
      </c>
      <c r="B1456" s="6" t="str">
        <f>"53002023052922144995167"</f>
        <v>53002023052922144995167</v>
      </c>
      <c r="C1456" s="6" t="str">
        <f t="shared" si="95"/>
        <v>0203</v>
      </c>
      <c r="D1456" s="6" t="s">
        <v>22</v>
      </c>
      <c r="E1456" s="6" t="str">
        <f>"何佳惠"</f>
        <v>何佳惠</v>
      </c>
      <c r="F1456" s="6" t="str">
        <f t="shared" si="98"/>
        <v>女</v>
      </c>
    </row>
    <row r="1457" spans="1:6" ht="30" customHeight="1">
      <c r="A1457" s="6">
        <v>1455</v>
      </c>
      <c r="B1457" s="6" t="str">
        <f>"53002023052922230695204"</f>
        <v>53002023052922230695204</v>
      </c>
      <c r="C1457" s="6" t="str">
        <f t="shared" si="95"/>
        <v>0203</v>
      </c>
      <c r="D1457" s="6" t="s">
        <v>22</v>
      </c>
      <c r="E1457" s="6" t="str">
        <f>"张莹"</f>
        <v>张莹</v>
      </c>
      <c r="F1457" s="6" t="str">
        <f t="shared" si="98"/>
        <v>女</v>
      </c>
    </row>
    <row r="1458" spans="1:6" ht="30" customHeight="1">
      <c r="A1458" s="6">
        <v>1456</v>
      </c>
      <c r="B1458" s="6" t="str">
        <f>"53002023052823035389204"</f>
        <v>53002023052823035389204</v>
      </c>
      <c r="C1458" s="6" t="str">
        <f t="shared" si="95"/>
        <v>0203</v>
      </c>
      <c r="D1458" s="6" t="s">
        <v>22</v>
      </c>
      <c r="E1458" s="6" t="str">
        <f>"杨清晏"</f>
        <v>杨清晏</v>
      </c>
      <c r="F1458" s="6" t="str">
        <f t="shared" si="98"/>
        <v>女</v>
      </c>
    </row>
    <row r="1459" spans="1:6" ht="30" customHeight="1">
      <c r="A1459" s="6">
        <v>1457</v>
      </c>
      <c r="B1459" s="6" t="str">
        <f>"53002023052810073586952"</f>
        <v>53002023052810073586952</v>
      </c>
      <c r="C1459" s="6" t="str">
        <f t="shared" si="95"/>
        <v>0203</v>
      </c>
      <c r="D1459" s="6" t="s">
        <v>22</v>
      </c>
      <c r="E1459" s="6" t="str">
        <f>"符丽芳"</f>
        <v>符丽芳</v>
      </c>
      <c r="F1459" s="6" t="str">
        <f t="shared" si="98"/>
        <v>女</v>
      </c>
    </row>
    <row r="1460" spans="1:6" ht="30" customHeight="1">
      <c r="A1460" s="6">
        <v>1458</v>
      </c>
      <c r="B1460" s="6" t="str">
        <f>"53002023052822374389126"</f>
        <v>53002023052822374389126</v>
      </c>
      <c r="C1460" s="6" t="str">
        <f t="shared" si="95"/>
        <v>0203</v>
      </c>
      <c r="D1460" s="6" t="s">
        <v>22</v>
      </c>
      <c r="E1460" s="6" t="str">
        <f>"徐卉"</f>
        <v>徐卉</v>
      </c>
      <c r="F1460" s="6" t="str">
        <f t="shared" si="98"/>
        <v>女</v>
      </c>
    </row>
    <row r="1461" spans="1:6" ht="30" customHeight="1">
      <c r="A1461" s="6">
        <v>1459</v>
      </c>
      <c r="B1461" s="6" t="str">
        <f>"53002023052912244891802"</f>
        <v>53002023052912244891802</v>
      </c>
      <c r="C1461" s="6" t="str">
        <f aca="true" t="shared" si="99" ref="C1461:C1524">"0203"</f>
        <v>0203</v>
      </c>
      <c r="D1461" s="6" t="s">
        <v>22</v>
      </c>
      <c r="E1461" s="6" t="str">
        <f>"符海菲"</f>
        <v>符海菲</v>
      </c>
      <c r="F1461" s="6" t="str">
        <f t="shared" si="98"/>
        <v>女</v>
      </c>
    </row>
    <row r="1462" spans="1:6" ht="30" customHeight="1">
      <c r="A1462" s="6">
        <v>1460</v>
      </c>
      <c r="B1462" s="6" t="str">
        <f>"53002023052923001395414"</f>
        <v>53002023052923001395414</v>
      </c>
      <c r="C1462" s="6" t="str">
        <f t="shared" si="99"/>
        <v>0203</v>
      </c>
      <c r="D1462" s="6" t="s">
        <v>22</v>
      </c>
      <c r="E1462" s="6" t="str">
        <f>"王金玳"</f>
        <v>王金玳</v>
      </c>
      <c r="F1462" s="6" t="str">
        <f t="shared" si="98"/>
        <v>女</v>
      </c>
    </row>
    <row r="1463" spans="1:6" ht="30" customHeight="1">
      <c r="A1463" s="6">
        <v>1461</v>
      </c>
      <c r="B1463" s="6" t="str">
        <f>"53002023052923063295441"</f>
        <v>53002023052923063295441</v>
      </c>
      <c r="C1463" s="6" t="str">
        <f t="shared" si="99"/>
        <v>0203</v>
      </c>
      <c r="D1463" s="6" t="s">
        <v>22</v>
      </c>
      <c r="E1463" s="6" t="str">
        <f>"郑博爱"</f>
        <v>郑博爱</v>
      </c>
      <c r="F1463" s="6" t="str">
        <f t="shared" si="98"/>
        <v>女</v>
      </c>
    </row>
    <row r="1464" spans="1:6" ht="30" customHeight="1">
      <c r="A1464" s="6">
        <v>1462</v>
      </c>
      <c r="B1464" s="6" t="str">
        <f>"53002023052923434595583"</f>
        <v>53002023052923434595583</v>
      </c>
      <c r="C1464" s="6" t="str">
        <f t="shared" si="99"/>
        <v>0203</v>
      </c>
      <c r="D1464" s="6" t="s">
        <v>22</v>
      </c>
      <c r="E1464" s="6" t="str">
        <f>"陈莹"</f>
        <v>陈莹</v>
      </c>
      <c r="F1464" s="6" t="str">
        <f t="shared" si="98"/>
        <v>女</v>
      </c>
    </row>
    <row r="1465" spans="1:6" ht="30" customHeight="1">
      <c r="A1465" s="6">
        <v>1463</v>
      </c>
      <c r="B1465" s="6" t="str">
        <f>"53002023052923385595565"</f>
        <v>53002023052923385595565</v>
      </c>
      <c r="C1465" s="6" t="str">
        <f t="shared" si="99"/>
        <v>0203</v>
      </c>
      <c r="D1465" s="6" t="s">
        <v>22</v>
      </c>
      <c r="E1465" s="6" t="str">
        <f>"唐善鹏"</f>
        <v>唐善鹏</v>
      </c>
      <c r="F1465" s="6" t="str">
        <f t="shared" si="98"/>
        <v>女</v>
      </c>
    </row>
    <row r="1466" spans="1:6" ht="30" customHeight="1">
      <c r="A1466" s="6">
        <v>1464</v>
      </c>
      <c r="B1466" s="6" t="str">
        <f>"53002023053006451595762"</f>
        <v>53002023053006451595762</v>
      </c>
      <c r="C1466" s="6" t="str">
        <f t="shared" si="99"/>
        <v>0203</v>
      </c>
      <c r="D1466" s="6" t="s">
        <v>22</v>
      </c>
      <c r="E1466" s="6" t="str">
        <f>"周颖"</f>
        <v>周颖</v>
      </c>
      <c r="F1466" s="6" t="str">
        <f t="shared" si="98"/>
        <v>女</v>
      </c>
    </row>
    <row r="1467" spans="1:6" ht="30" customHeight="1">
      <c r="A1467" s="6">
        <v>1465</v>
      </c>
      <c r="B1467" s="6" t="str">
        <f>"53002023052919522394376"</f>
        <v>53002023052919522394376</v>
      </c>
      <c r="C1467" s="6" t="str">
        <f t="shared" si="99"/>
        <v>0203</v>
      </c>
      <c r="D1467" s="6" t="s">
        <v>22</v>
      </c>
      <c r="E1467" s="6" t="str">
        <f>"吴婆妹"</f>
        <v>吴婆妹</v>
      </c>
      <c r="F1467" s="6" t="str">
        <f t="shared" si="98"/>
        <v>女</v>
      </c>
    </row>
    <row r="1468" spans="1:6" ht="30" customHeight="1">
      <c r="A1468" s="6">
        <v>1466</v>
      </c>
      <c r="B1468" s="6" t="str">
        <f>"53002023052922491095348"</f>
        <v>53002023052922491095348</v>
      </c>
      <c r="C1468" s="6" t="str">
        <f t="shared" si="99"/>
        <v>0203</v>
      </c>
      <c r="D1468" s="6" t="s">
        <v>22</v>
      </c>
      <c r="E1468" s="6" t="str">
        <f>"吴维莲"</f>
        <v>吴维莲</v>
      </c>
      <c r="F1468" s="6" t="str">
        <f t="shared" si="98"/>
        <v>女</v>
      </c>
    </row>
    <row r="1469" spans="1:6" ht="30" customHeight="1">
      <c r="A1469" s="6">
        <v>1467</v>
      </c>
      <c r="B1469" s="6" t="str">
        <f>"53002023053009110196071"</f>
        <v>53002023053009110196071</v>
      </c>
      <c r="C1469" s="6" t="str">
        <f t="shared" si="99"/>
        <v>0203</v>
      </c>
      <c r="D1469" s="6" t="s">
        <v>22</v>
      </c>
      <c r="E1469" s="6" t="str">
        <f>"羊美霞"</f>
        <v>羊美霞</v>
      </c>
      <c r="F1469" s="6" t="str">
        <f t="shared" si="98"/>
        <v>女</v>
      </c>
    </row>
    <row r="1470" spans="1:6" ht="30" customHeight="1">
      <c r="A1470" s="6">
        <v>1468</v>
      </c>
      <c r="B1470" s="6" t="str">
        <f>"53002023052907304789428"</f>
        <v>53002023052907304789428</v>
      </c>
      <c r="C1470" s="6" t="str">
        <f t="shared" si="99"/>
        <v>0203</v>
      </c>
      <c r="D1470" s="6" t="s">
        <v>22</v>
      </c>
      <c r="E1470" s="6" t="str">
        <f>"羊夏川"</f>
        <v>羊夏川</v>
      </c>
      <c r="F1470" s="6" t="str">
        <f t="shared" si="98"/>
        <v>女</v>
      </c>
    </row>
    <row r="1471" spans="1:6" ht="30" customHeight="1">
      <c r="A1471" s="6">
        <v>1469</v>
      </c>
      <c r="B1471" s="6" t="str">
        <f>"53002023053009232296171"</f>
        <v>53002023053009232296171</v>
      </c>
      <c r="C1471" s="6" t="str">
        <f t="shared" si="99"/>
        <v>0203</v>
      </c>
      <c r="D1471" s="6" t="s">
        <v>22</v>
      </c>
      <c r="E1471" s="6" t="str">
        <f>"吴培玉"</f>
        <v>吴培玉</v>
      </c>
      <c r="F1471" s="6" t="str">
        <f t="shared" si="98"/>
        <v>女</v>
      </c>
    </row>
    <row r="1472" spans="1:6" ht="30" customHeight="1">
      <c r="A1472" s="6">
        <v>1470</v>
      </c>
      <c r="B1472" s="6" t="str">
        <f>"53002023053010001696452"</f>
        <v>53002023053010001696452</v>
      </c>
      <c r="C1472" s="6" t="str">
        <f t="shared" si="99"/>
        <v>0203</v>
      </c>
      <c r="D1472" s="6" t="s">
        <v>22</v>
      </c>
      <c r="E1472" s="6" t="str">
        <f>"何若云"</f>
        <v>何若云</v>
      </c>
      <c r="F1472" s="6" t="str">
        <f t="shared" si="98"/>
        <v>女</v>
      </c>
    </row>
    <row r="1473" spans="1:6" ht="30" customHeight="1">
      <c r="A1473" s="6">
        <v>1471</v>
      </c>
      <c r="B1473" s="6" t="str">
        <f>"53002023052713032084630"</f>
        <v>53002023052713032084630</v>
      </c>
      <c r="C1473" s="6" t="str">
        <f t="shared" si="99"/>
        <v>0203</v>
      </c>
      <c r="D1473" s="6" t="s">
        <v>22</v>
      </c>
      <c r="E1473" s="6" t="str">
        <f>"曾瑞睿"</f>
        <v>曾瑞睿</v>
      </c>
      <c r="F1473" s="6" t="str">
        <f t="shared" si="98"/>
        <v>女</v>
      </c>
    </row>
    <row r="1474" spans="1:6" ht="30" customHeight="1">
      <c r="A1474" s="6">
        <v>1472</v>
      </c>
      <c r="B1474" s="6" t="str">
        <f>"53002023053009184896136"</f>
        <v>53002023053009184896136</v>
      </c>
      <c r="C1474" s="6" t="str">
        <f t="shared" si="99"/>
        <v>0203</v>
      </c>
      <c r="D1474" s="6" t="s">
        <v>22</v>
      </c>
      <c r="E1474" s="6" t="str">
        <f>"陆国欣"</f>
        <v>陆国欣</v>
      </c>
      <c r="F1474" s="6" t="str">
        <f t="shared" si="98"/>
        <v>女</v>
      </c>
    </row>
    <row r="1475" spans="1:6" ht="30" customHeight="1">
      <c r="A1475" s="6">
        <v>1473</v>
      </c>
      <c r="B1475" s="6" t="str">
        <f>"53002023052812313187309"</f>
        <v>53002023052812313187309</v>
      </c>
      <c r="C1475" s="6" t="str">
        <f t="shared" si="99"/>
        <v>0203</v>
      </c>
      <c r="D1475" s="6" t="s">
        <v>22</v>
      </c>
      <c r="E1475" s="6" t="str">
        <f>"李瑞丽"</f>
        <v>李瑞丽</v>
      </c>
      <c r="F1475" s="6" t="str">
        <f t="shared" si="98"/>
        <v>女</v>
      </c>
    </row>
    <row r="1476" spans="1:6" ht="30" customHeight="1">
      <c r="A1476" s="6">
        <v>1474</v>
      </c>
      <c r="B1476" s="6" t="str">
        <f>"53002023052922231495206"</f>
        <v>53002023052922231495206</v>
      </c>
      <c r="C1476" s="6" t="str">
        <f t="shared" si="99"/>
        <v>0203</v>
      </c>
      <c r="D1476" s="6" t="s">
        <v>22</v>
      </c>
      <c r="E1476" s="6" t="str">
        <f>"文婧"</f>
        <v>文婧</v>
      </c>
      <c r="F1476" s="6" t="str">
        <f t="shared" si="98"/>
        <v>女</v>
      </c>
    </row>
    <row r="1477" spans="1:6" ht="30" customHeight="1">
      <c r="A1477" s="6">
        <v>1475</v>
      </c>
      <c r="B1477" s="6" t="str">
        <f>"53002023053010514996880"</f>
        <v>53002023053010514996880</v>
      </c>
      <c r="C1477" s="6" t="str">
        <f t="shared" si="99"/>
        <v>0203</v>
      </c>
      <c r="D1477" s="6" t="s">
        <v>22</v>
      </c>
      <c r="E1477" s="6" t="str">
        <f>"陈竹兰"</f>
        <v>陈竹兰</v>
      </c>
      <c r="F1477" s="6" t="str">
        <f t="shared" si="98"/>
        <v>女</v>
      </c>
    </row>
    <row r="1478" spans="1:6" ht="30" customHeight="1">
      <c r="A1478" s="6">
        <v>1476</v>
      </c>
      <c r="B1478" s="6" t="str">
        <f>"53002023053008221195851"</f>
        <v>53002023053008221195851</v>
      </c>
      <c r="C1478" s="6" t="str">
        <f t="shared" si="99"/>
        <v>0203</v>
      </c>
      <c r="D1478" s="6" t="s">
        <v>22</v>
      </c>
      <c r="E1478" s="6" t="str">
        <f>"陈小翠"</f>
        <v>陈小翠</v>
      </c>
      <c r="F1478" s="6" t="str">
        <f t="shared" si="98"/>
        <v>女</v>
      </c>
    </row>
    <row r="1479" spans="1:6" ht="30" customHeight="1">
      <c r="A1479" s="6">
        <v>1477</v>
      </c>
      <c r="B1479" s="6" t="str">
        <f>"53002023053011055796998"</f>
        <v>53002023053011055796998</v>
      </c>
      <c r="C1479" s="6" t="str">
        <f t="shared" si="99"/>
        <v>0203</v>
      </c>
      <c r="D1479" s="6" t="s">
        <v>22</v>
      </c>
      <c r="E1479" s="6" t="str">
        <f>"苏惠雪"</f>
        <v>苏惠雪</v>
      </c>
      <c r="F1479" s="6" t="str">
        <f t="shared" si="98"/>
        <v>女</v>
      </c>
    </row>
    <row r="1480" spans="1:6" ht="30" customHeight="1">
      <c r="A1480" s="6">
        <v>1478</v>
      </c>
      <c r="B1480" s="6" t="str">
        <f>"53002023053011203897114"</f>
        <v>53002023053011203897114</v>
      </c>
      <c r="C1480" s="6" t="str">
        <f t="shared" si="99"/>
        <v>0203</v>
      </c>
      <c r="D1480" s="6" t="s">
        <v>22</v>
      </c>
      <c r="E1480" s="6" t="str">
        <f>"占薇薇"</f>
        <v>占薇薇</v>
      </c>
      <c r="F1480" s="6" t="str">
        <f t="shared" si="98"/>
        <v>女</v>
      </c>
    </row>
    <row r="1481" spans="1:6" ht="30" customHeight="1">
      <c r="A1481" s="6">
        <v>1479</v>
      </c>
      <c r="B1481" s="6" t="str">
        <f>"53002023052822045989006"</f>
        <v>53002023052822045989006</v>
      </c>
      <c r="C1481" s="6" t="str">
        <f t="shared" si="99"/>
        <v>0203</v>
      </c>
      <c r="D1481" s="6" t="s">
        <v>22</v>
      </c>
      <c r="E1481" s="6" t="str">
        <f>"吴梦楠"</f>
        <v>吴梦楠</v>
      </c>
      <c r="F1481" s="6" t="str">
        <f t="shared" si="98"/>
        <v>女</v>
      </c>
    </row>
    <row r="1482" spans="1:6" ht="30" customHeight="1">
      <c r="A1482" s="6">
        <v>1480</v>
      </c>
      <c r="B1482" s="6" t="str">
        <f>"53002023052917215793697"</f>
        <v>53002023052917215793697</v>
      </c>
      <c r="C1482" s="6" t="str">
        <f t="shared" si="99"/>
        <v>0203</v>
      </c>
      <c r="D1482" s="6" t="s">
        <v>22</v>
      </c>
      <c r="E1482" s="6" t="str">
        <f>"郑东玲"</f>
        <v>郑东玲</v>
      </c>
      <c r="F1482" s="6" t="str">
        <f t="shared" si="98"/>
        <v>女</v>
      </c>
    </row>
    <row r="1483" spans="1:6" ht="30" customHeight="1">
      <c r="A1483" s="6">
        <v>1481</v>
      </c>
      <c r="B1483" s="6" t="str">
        <f>"53002023053011355597232"</f>
        <v>53002023053011355597232</v>
      </c>
      <c r="C1483" s="6" t="str">
        <f t="shared" si="99"/>
        <v>0203</v>
      </c>
      <c r="D1483" s="6" t="s">
        <v>22</v>
      </c>
      <c r="E1483" s="6" t="str">
        <f>"陈秀珍"</f>
        <v>陈秀珍</v>
      </c>
      <c r="F1483" s="6" t="str">
        <f t="shared" si="98"/>
        <v>女</v>
      </c>
    </row>
    <row r="1484" spans="1:6" ht="30" customHeight="1">
      <c r="A1484" s="6">
        <v>1482</v>
      </c>
      <c r="B1484" s="6" t="str">
        <f>"53002023053011534197368"</f>
        <v>53002023053011534197368</v>
      </c>
      <c r="C1484" s="6" t="str">
        <f t="shared" si="99"/>
        <v>0203</v>
      </c>
      <c r="D1484" s="6" t="s">
        <v>22</v>
      </c>
      <c r="E1484" s="6" t="str">
        <f>"张睿"</f>
        <v>张睿</v>
      </c>
      <c r="F1484" s="6" t="str">
        <f t="shared" si="98"/>
        <v>女</v>
      </c>
    </row>
    <row r="1485" spans="1:6" ht="30" customHeight="1">
      <c r="A1485" s="6">
        <v>1483</v>
      </c>
      <c r="B1485" s="6" t="str">
        <f>"53002023053011493297341"</f>
        <v>53002023053011493297341</v>
      </c>
      <c r="C1485" s="6" t="str">
        <f t="shared" si="99"/>
        <v>0203</v>
      </c>
      <c r="D1485" s="6" t="s">
        <v>22</v>
      </c>
      <c r="E1485" s="6" t="str">
        <f>"顾海恋"</f>
        <v>顾海恋</v>
      </c>
      <c r="F1485" s="6" t="str">
        <f t="shared" si="98"/>
        <v>女</v>
      </c>
    </row>
    <row r="1486" spans="1:6" ht="30" customHeight="1">
      <c r="A1486" s="6">
        <v>1484</v>
      </c>
      <c r="B1486" s="6" t="str">
        <f>"53002023052921525795028"</f>
        <v>53002023052921525795028</v>
      </c>
      <c r="C1486" s="6" t="str">
        <f t="shared" si="99"/>
        <v>0203</v>
      </c>
      <c r="D1486" s="6" t="s">
        <v>22</v>
      </c>
      <c r="E1486" s="6" t="str">
        <f>"吴为川"</f>
        <v>吴为川</v>
      </c>
      <c r="F1486" s="6" t="str">
        <f t="shared" si="98"/>
        <v>女</v>
      </c>
    </row>
    <row r="1487" spans="1:6" ht="30" customHeight="1">
      <c r="A1487" s="6">
        <v>1485</v>
      </c>
      <c r="B1487" s="6" t="str">
        <f>"53002023053012341197584"</f>
        <v>53002023053012341197584</v>
      </c>
      <c r="C1487" s="6" t="str">
        <f t="shared" si="99"/>
        <v>0203</v>
      </c>
      <c r="D1487" s="6" t="s">
        <v>22</v>
      </c>
      <c r="E1487" s="6" t="str">
        <f>"陈俏先"</f>
        <v>陈俏先</v>
      </c>
      <c r="F1487" s="6" t="str">
        <f t="shared" si="98"/>
        <v>女</v>
      </c>
    </row>
    <row r="1488" spans="1:6" ht="30" customHeight="1">
      <c r="A1488" s="6">
        <v>1486</v>
      </c>
      <c r="B1488" s="6" t="str">
        <f>"53002023052920163994484"</f>
        <v>53002023052920163994484</v>
      </c>
      <c r="C1488" s="6" t="str">
        <f t="shared" si="99"/>
        <v>0203</v>
      </c>
      <c r="D1488" s="6" t="s">
        <v>22</v>
      </c>
      <c r="E1488" s="6" t="str">
        <f>"吴红爱"</f>
        <v>吴红爱</v>
      </c>
      <c r="F1488" s="6" t="str">
        <f t="shared" si="98"/>
        <v>女</v>
      </c>
    </row>
    <row r="1489" spans="1:6" ht="30" customHeight="1">
      <c r="A1489" s="6">
        <v>1487</v>
      </c>
      <c r="B1489" s="6" t="str">
        <f>"53002023052921521295026"</f>
        <v>53002023052921521295026</v>
      </c>
      <c r="C1489" s="6" t="str">
        <f t="shared" si="99"/>
        <v>0203</v>
      </c>
      <c r="D1489" s="6" t="s">
        <v>22</v>
      </c>
      <c r="E1489" s="6" t="str">
        <f>"王莲花"</f>
        <v>王莲花</v>
      </c>
      <c r="F1489" s="6" t="str">
        <f t="shared" si="98"/>
        <v>女</v>
      </c>
    </row>
    <row r="1490" spans="1:6" ht="30" customHeight="1">
      <c r="A1490" s="6">
        <v>1488</v>
      </c>
      <c r="B1490" s="6" t="str">
        <f>"53002023052922034195096"</f>
        <v>53002023052922034195096</v>
      </c>
      <c r="C1490" s="6" t="str">
        <f t="shared" si="99"/>
        <v>0203</v>
      </c>
      <c r="D1490" s="6" t="s">
        <v>22</v>
      </c>
      <c r="E1490" s="6" t="str">
        <f>"曹明珊"</f>
        <v>曹明珊</v>
      </c>
      <c r="F1490" s="6" t="str">
        <f t="shared" si="98"/>
        <v>女</v>
      </c>
    </row>
    <row r="1491" spans="1:6" ht="30" customHeight="1">
      <c r="A1491" s="6">
        <v>1489</v>
      </c>
      <c r="B1491" s="6" t="str">
        <f>"53002023052912140691739"</f>
        <v>53002023052912140691739</v>
      </c>
      <c r="C1491" s="6" t="str">
        <f t="shared" si="99"/>
        <v>0203</v>
      </c>
      <c r="D1491" s="6" t="s">
        <v>22</v>
      </c>
      <c r="E1491" s="6" t="str">
        <f>"潘天晴"</f>
        <v>潘天晴</v>
      </c>
      <c r="F1491" s="6" t="str">
        <f t="shared" si="98"/>
        <v>女</v>
      </c>
    </row>
    <row r="1492" spans="1:6" ht="30" customHeight="1">
      <c r="A1492" s="6">
        <v>1490</v>
      </c>
      <c r="B1492" s="6" t="str">
        <f>"53002023052908310289563"</f>
        <v>53002023052908310289563</v>
      </c>
      <c r="C1492" s="6" t="str">
        <f t="shared" si="99"/>
        <v>0203</v>
      </c>
      <c r="D1492" s="6" t="s">
        <v>22</v>
      </c>
      <c r="E1492" s="6" t="str">
        <f>"陈鸣"</f>
        <v>陈鸣</v>
      </c>
      <c r="F1492" s="6" t="str">
        <f t="shared" si="98"/>
        <v>女</v>
      </c>
    </row>
    <row r="1493" spans="1:6" ht="30" customHeight="1">
      <c r="A1493" s="6">
        <v>1491</v>
      </c>
      <c r="B1493" s="6" t="str">
        <f>"53002023053014293298107"</f>
        <v>53002023053014293298107</v>
      </c>
      <c r="C1493" s="6" t="str">
        <f t="shared" si="99"/>
        <v>0203</v>
      </c>
      <c r="D1493" s="6" t="s">
        <v>22</v>
      </c>
      <c r="E1493" s="6" t="str">
        <f>"张磊"</f>
        <v>张磊</v>
      </c>
      <c r="F1493" s="6" t="str">
        <f t="shared" si="98"/>
        <v>女</v>
      </c>
    </row>
    <row r="1494" spans="1:6" ht="30" customHeight="1">
      <c r="A1494" s="6">
        <v>1492</v>
      </c>
      <c r="B1494" s="6" t="str">
        <f>"53002023053014320598123"</f>
        <v>53002023053014320598123</v>
      </c>
      <c r="C1494" s="6" t="str">
        <f t="shared" si="99"/>
        <v>0203</v>
      </c>
      <c r="D1494" s="6" t="s">
        <v>22</v>
      </c>
      <c r="E1494" s="6" t="str">
        <f>"杨丽欣"</f>
        <v>杨丽欣</v>
      </c>
      <c r="F1494" s="6" t="str">
        <f t="shared" si="98"/>
        <v>女</v>
      </c>
    </row>
    <row r="1495" spans="1:6" ht="30" customHeight="1">
      <c r="A1495" s="6">
        <v>1493</v>
      </c>
      <c r="B1495" s="6" t="str">
        <f>"53002023053014234098078"</f>
        <v>53002023053014234098078</v>
      </c>
      <c r="C1495" s="6" t="str">
        <f t="shared" si="99"/>
        <v>0203</v>
      </c>
      <c r="D1495" s="6" t="s">
        <v>22</v>
      </c>
      <c r="E1495" s="6" t="str">
        <f>"郭惠莲"</f>
        <v>郭惠莲</v>
      </c>
      <c r="F1495" s="6" t="str">
        <f t="shared" si="98"/>
        <v>女</v>
      </c>
    </row>
    <row r="1496" spans="1:6" ht="30" customHeight="1">
      <c r="A1496" s="6">
        <v>1494</v>
      </c>
      <c r="B1496" s="6" t="str">
        <f>"53002023053015051398316"</f>
        <v>53002023053015051398316</v>
      </c>
      <c r="C1496" s="6" t="str">
        <f t="shared" si="99"/>
        <v>0203</v>
      </c>
      <c r="D1496" s="6" t="s">
        <v>22</v>
      </c>
      <c r="E1496" s="6" t="str">
        <f>"王倩文"</f>
        <v>王倩文</v>
      </c>
      <c r="F1496" s="6" t="str">
        <f t="shared" si="98"/>
        <v>女</v>
      </c>
    </row>
    <row r="1497" spans="1:6" ht="30" customHeight="1">
      <c r="A1497" s="6">
        <v>1495</v>
      </c>
      <c r="B1497" s="6" t="str">
        <f>"53002023053015255498440"</f>
        <v>53002023053015255498440</v>
      </c>
      <c r="C1497" s="6" t="str">
        <f t="shared" si="99"/>
        <v>0203</v>
      </c>
      <c r="D1497" s="6" t="s">
        <v>22</v>
      </c>
      <c r="E1497" s="6" t="str">
        <f>"瞿刚琴"</f>
        <v>瞿刚琴</v>
      </c>
      <c r="F1497" s="6" t="str">
        <f t="shared" si="98"/>
        <v>女</v>
      </c>
    </row>
    <row r="1498" spans="1:6" ht="30" customHeight="1">
      <c r="A1498" s="6">
        <v>1496</v>
      </c>
      <c r="B1498" s="6" t="str">
        <f>"53002023052917352393758"</f>
        <v>53002023052917352393758</v>
      </c>
      <c r="C1498" s="6" t="str">
        <f t="shared" si="99"/>
        <v>0203</v>
      </c>
      <c r="D1498" s="6" t="s">
        <v>22</v>
      </c>
      <c r="E1498" s="6" t="str">
        <f>"王槐红"</f>
        <v>王槐红</v>
      </c>
      <c r="F1498" s="6" t="str">
        <f t="shared" si="98"/>
        <v>女</v>
      </c>
    </row>
    <row r="1499" spans="1:6" ht="30" customHeight="1">
      <c r="A1499" s="6">
        <v>1497</v>
      </c>
      <c r="B1499" s="6" t="str">
        <f>"53002023052914540892613"</f>
        <v>53002023052914540892613</v>
      </c>
      <c r="C1499" s="6" t="str">
        <f t="shared" si="99"/>
        <v>0203</v>
      </c>
      <c r="D1499" s="6" t="s">
        <v>22</v>
      </c>
      <c r="E1499" s="6" t="str">
        <f>"陈颂根"</f>
        <v>陈颂根</v>
      </c>
      <c r="F1499" s="6" t="str">
        <f>"男"</f>
        <v>男</v>
      </c>
    </row>
    <row r="1500" spans="1:6" ht="30" customHeight="1">
      <c r="A1500" s="6">
        <v>1498</v>
      </c>
      <c r="B1500" s="6" t="str">
        <f>"53002023053015325998496"</f>
        <v>53002023053015325998496</v>
      </c>
      <c r="C1500" s="6" t="str">
        <f t="shared" si="99"/>
        <v>0203</v>
      </c>
      <c r="D1500" s="6" t="s">
        <v>22</v>
      </c>
      <c r="E1500" s="6" t="str">
        <f>"陈姣姣"</f>
        <v>陈姣姣</v>
      </c>
      <c r="F1500" s="6" t="str">
        <f aca="true" t="shared" si="100" ref="F1500:F1506">"女"</f>
        <v>女</v>
      </c>
    </row>
    <row r="1501" spans="1:6" ht="30" customHeight="1">
      <c r="A1501" s="6">
        <v>1499</v>
      </c>
      <c r="B1501" s="6" t="str">
        <f>"53002023053015393598541"</f>
        <v>53002023053015393598541</v>
      </c>
      <c r="C1501" s="6" t="str">
        <f t="shared" si="99"/>
        <v>0203</v>
      </c>
      <c r="D1501" s="6" t="s">
        <v>22</v>
      </c>
      <c r="E1501" s="6" t="str">
        <f>"苏秀玲"</f>
        <v>苏秀玲</v>
      </c>
      <c r="F1501" s="6" t="str">
        <f t="shared" si="100"/>
        <v>女</v>
      </c>
    </row>
    <row r="1502" spans="1:6" ht="30" customHeight="1">
      <c r="A1502" s="6">
        <v>1500</v>
      </c>
      <c r="B1502" s="6" t="str">
        <f>"53002023053015480598600"</f>
        <v>53002023053015480598600</v>
      </c>
      <c r="C1502" s="6" t="str">
        <f t="shared" si="99"/>
        <v>0203</v>
      </c>
      <c r="D1502" s="6" t="s">
        <v>22</v>
      </c>
      <c r="E1502" s="6" t="str">
        <f>"李梅金"</f>
        <v>李梅金</v>
      </c>
      <c r="F1502" s="6" t="str">
        <f t="shared" si="100"/>
        <v>女</v>
      </c>
    </row>
    <row r="1503" spans="1:6" ht="30" customHeight="1">
      <c r="A1503" s="6">
        <v>1501</v>
      </c>
      <c r="B1503" s="6" t="str">
        <f>"53002023053015490298608"</f>
        <v>53002023053015490298608</v>
      </c>
      <c r="C1503" s="6" t="str">
        <f t="shared" si="99"/>
        <v>0203</v>
      </c>
      <c r="D1503" s="6" t="s">
        <v>22</v>
      </c>
      <c r="E1503" s="6" t="str">
        <f>"桂海蓉"</f>
        <v>桂海蓉</v>
      </c>
      <c r="F1503" s="6" t="str">
        <f t="shared" si="100"/>
        <v>女</v>
      </c>
    </row>
    <row r="1504" spans="1:6" ht="30" customHeight="1">
      <c r="A1504" s="6">
        <v>1502</v>
      </c>
      <c r="B1504" s="6" t="str">
        <f>"53002023053016031798693"</f>
        <v>53002023053016031798693</v>
      </c>
      <c r="C1504" s="6" t="str">
        <f t="shared" si="99"/>
        <v>0203</v>
      </c>
      <c r="D1504" s="6" t="s">
        <v>22</v>
      </c>
      <c r="E1504" s="6" t="str">
        <f>"冯菁菁"</f>
        <v>冯菁菁</v>
      </c>
      <c r="F1504" s="6" t="str">
        <f t="shared" si="100"/>
        <v>女</v>
      </c>
    </row>
    <row r="1505" spans="1:6" ht="30" customHeight="1">
      <c r="A1505" s="6">
        <v>1503</v>
      </c>
      <c r="B1505" s="6" t="str">
        <f>"53002023052709420683809"</f>
        <v>53002023052709420683809</v>
      </c>
      <c r="C1505" s="6" t="str">
        <f t="shared" si="99"/>
        <v>0203</v>
      </c>
      <c r="D1505" s="6" t="s">
        <v>22</v>
      </c>
      <c r="E1505" s="6" t="str">
        <f>"蔡美彩"</f>
        <v>蔡美彩</v>
      </c>
      <c r="F1505" s="6" t="str">
        <f t="shared" si="100"/>
        <v>女</v>
      </c>
    </row>
    <row r="1506" spans="1:6" ht="30" customHeight="1">
      <c r="A1506" s="6">
        <v>1504</v>
      </c>
      <c r="B1506" s="6" t="str">
        <f>"53002023052818571588425"</f>
        <v>53002023052818571588425</v>
      </c>
      <c r="C1506" s="6" t="str">
        <f t="shared" si="99"/>
        <v>0203</v>
      </c>
      <c r="D1506" s="6" t="s">
        <v>22</v>
      </c>
      <c r="E1506" s="6" t="str">
        <f>"程凌燕"</f>
        <v>程凌燕</v>
      </c>
      <c r="F1506" s="6" t="str">
        <f t="shared" si="100"/>
        <v>女</v>
      </c>
    </row>
    <row r="1507" spans="1:6" ht="30" customHeight="1">
      <c r="A1507" s="6">
        <v>1505</v>
      </c>
      <c r="B1507" s="6" t="str">
        <f>"53002023052919201494226"</f>
        <v>53002023052919201494226</v>
      </c>
      <c r="C1507" s="6" t="str">
        <f t="shared" si="99"/>
        <v>0203</v>
      </c>
      <c r="D1507" s="6" t="s">
        <v>22</v>
      </c>
      <c r="E1507" s="6" t="str">
        <f>"赵北辰"</f>
        <v>赵北辰</v>
      </c>
      <c r="F1507" s="6" t="str">
        <f>"男"</f>
        <v>男</v>
      </c>
    </row>
    <row r="1508" spans="1:6" ht="30" customHeight="1">
      <c r="A1508" s="6">
        <v>1506</v>
      </c>
      <c r="B1508" s="6" t="str">
        <f>"53002023053016055998715"</f>
        <v>53002023053016055998715</v>
      </c>
      <c r="C1508" s="6" t="str">
        <f t="shared" si="99"/>
        <v>0203</v>
      </c>
      <c r="D1508" s="6" t="s">
        <v>22</v>
      </c>
      <c r="E1508" s="6" t="str">
        <f>"文娟"</f>
        <v>文娟</v>
      </c>
      <c r="F1508" s="6" t="str">
        <f aca="true" t="shared" si="101" ref="F1508:F1544">"女"</f>
        <v>女</v>
      </c>
    </row>
    <row r="1509" spans="1:6" ht="30" customHeight="1">
      <c r="A1509" s="6">
        <v>1507</v>
      </c>
      <c r="B1509" s="6" t="str">
        <f>"53002023053015235998428"</f>
        <v>53002023053015235998428</v>
      </c>
      <c r="C1509" s="6" t="str">
        <f t="shared" si="99"/>
        <v>0203</v>
      </c>
      <c r="D1509" s="6" t="s">
        <v>22</v>
      </c>
      <c r="E1509" s="6" t="str">
        <f>"王小虹"</f>
        <v>王小虹</v>
      </c>
      <c r="F1509" s="6" t="str">
        <f t="shared" si="101"/>
        <v>女</v>
      </c>
    </row>
    <row r="1510" spans="1:6" ht="30" customHeight="1">
      <c r="A1510" s="6">
        <v>1508</v>
      </c>
      <c r="B1510" s="6" t="str">
        <f>"53002023052909570490409"</f>
        <v>53002023052909570490409</v>
      </c>
      <c r="C1510" s="6" t="str">
        <f t="shared" si="99"/>
        <v>0203</v>
      </c>
      <c r="D1510" s="6" t="s">
        <v>22</v>
      </c>
      <c r="E1510" s="6" t="str">
        <f>"韦林利"</f>
        <v>韦林利</v>
      </c>
      <c r="F1510" s="6" t="str">
        <f t="shared" si="101"/>
        <v>女</v>
      </c>
    </row>
    <row r="1511" spans="1:6" ht="30" customHeight="1">
      <c r="A1511" s="6">
        <v>1509</v>
      </c>
      <c r="B1511" s="6" t="str">
        <f>"53002023053017010899071"</f>
        <v>53002023053017010899071</v>
      </c>
      <c r="C1511" s="6" t="str">
        <f t="shared" si="99"/>
        <v>0203</v>
      </c>
      <c r="D1511" s="6" t="s">
        <v>22</v>
      </c>
      <c r="E1511" s="6" t="str">
        <f>"周健"</f>
        <v>周健</v>
      </c>
      <c r="F1511" s="6" t="str">
        <f t="shared" si="101"/>
        <v>女</v>
      </c>
    </row>
    <row r="1512" spans="1:6" ht="30" customHeight="1">
      <c r="A1512" s="6">
        <v>1510</v>
      </c>
      <c r="B1512" s="6" t="str">
        <f>"53002023052817212688090"</f>
        <v>53002023052817212688090</v>
      </c>
      <c r="C1512" s="6" t="str">
        <f t="shared" si="99"/>
        <v>0203</v>
      </c>
      <c r="D1512" s="6" t="s">
        <v>22</v>
      </c>
      <c r="E1512" s="6" t="str">
        <f>"陈春伶"</f>
        <v>陈春伶</v>
      </c>
      <c r="F1512" s="6" t="str">
        <f t="shared" si="101"/>
        <v>女</v>
      </c>
    </row>
    <row r="1513" spans="1:6" ht="30" customHeight="1">
      <c r="A1513" s="6">
        <v>1511</v>
      </c>
      <c r="B1513" s="6" t="str">
        <f>"53002023053017182999171"</f>
        <v>53002023053017182999171</v>
      </c>
      <c r="C1513" s="6" t="str">
        <f t="shared" si="99"/>
        <v>0203</v>
      </c>
      <c r="D1513" s="6" t="s">
        <v>22</v>
      </c>
      <c r="E1513" s="6" t="str">
        <f>"邓美玲"</f>
        <v>邓美玲</v>
      </c>
      <c r="F1513" s="6" t="str">
        <f t="shared" si="101"/>
        <v>女</v>
      </c>
    </row>
    <row r="1514" spans="1:6" ht="30" customHeight="1">
      <c r="A1514" s="6">
        <v>1512</v>
      </c>
      <c r="B1514" s="6" t="str">
        <f>"53002023053017583299367"</f>
        <v>53002023053017583299367</v>
      </c>
      <c r="C1514" s="6" t="str">
        <f t="shared" si="99"/>
        <v>0203</v>
      </c>
      <c r="D1514" s="6" t="s">
        <v>22</v>
      </c>
      <c r="E1514" s="6" t="str">
        <f>"黄祖贤"</f>
        <v>黄祖贤</v>
      </c>
      <c r="F1514" s="6" t="str">
        <f t="shared" si="101"/>
        <v>女</v>
      </c>
    </row>
    <row r="1515" spans="1:6" ht="30" customHeight="1">
      <c r="A1515" s="6">
        <v>1513</v>
      </c>
      <c r="B1515" s="6" t="str">
        <f>"53002023053017391599287"</f>
        <v>53002023053017391599287</v>
      </c>
      <c r="C1515" s="6" t="str">
        <f t="shared" si="99"/>
        <v>0203</v>
      </c>
      <c r="D1515" s="6" t="s">
        <v>22</v>
      </c>
      <c r="E1515" s="6" t="str">
        <f>"孙鸿婉"</f>
        <v>孙鸿婉</v>
      </c>
      <c r="F1515" s="6" t="str">
        <f t="shared" si="101"/>
        <v>女</v>
      </c>
    </row>
    <row r="1516" spans="1:6" ht="30" customHeight="1">
      <c r="A1516" s="6">
        <v>1514</v>
      </c>
      <c r="B1516" s="6" t="str">
        <f>"53002023052910281990764"</f>
        <v>53002023052910281990764</v>
      </c>
      <c r="C1516" s="6" t="str">
        <f t="shared" si="99"/>
        <v>0203</v>
      </c>
      <c r="D1516" s="6" t="s">
        <v>22</v>
      </c>
      <c r="E1516" s="6" t="str">
        <f>"吕金萍"</f>
        <v>吕金萍</v>
      </c>
      <c r="F1516" s="6" t="str">
        <f t="shared" si="101"/>
        <v>女</v>
      </c>
    </row>
    <row r="1517" spans="1:6" ht="30" customHeight="1">
      <c r="A1517" s="6">
        <v>1515</v>
      </c>
      <c r="B1517" s="6" t="str">
        <f>"53002023052917471893827"</f>
        <v>53002023052917471893827</v>
      </c>
      <c r="C1517" s="6" t="str">
        <f t="shared" si="99"/>
        <v>0203</v>
      </c>
      <c r="D1517" s="6" t="s">
        <v>22</v>
      </c>
      <c r="E1517" s="6" t="str">
        <f>"董钰洁"</f>
        <v>董钰洁</v>
      </c>
      <c r="F1517" s="6" t="str">
        <f t="shared" si="101"/>
        <v>女</v>
      </c>
    </row>
    <row r="1518" spans="1:6" ht="30" customHeight="1">
      <c r="A1518" s="6">
        <v>1516</v>
      </c>
      <c r="B1518" s="6" t="str">
        <f>"53002023053015320798490"</f>
        <v>53002023053015320798490</v>
      </c>
      <c r="C1518" s="6" t="str">
        <f t="shared" si="99"/>
        <v>0203</v>
      </c>
      <c r="D1518" s="6" t="s">
        <v>22</v>
      </c>
      <c r="E1518" s="6" t="str">
        <f>"王佳玉"</f>
        <v>王佳玉</v>
      </c>
      <c r="F1518" s="6" t="str">
        <f t="shared" si="101"/>
        <v>女</v>
      </c>
    </row>
    <row r="1519" spans="1:6" ht="30" customHeight="1">
      <c r="A1519" s="6">
        <v>1517</v>
      </c>
      <c r="B1519" s="6" t="str">
        <f>"53002023053012543697691"</f>
        <v>53002023053012543697691</v>
      </c>
      <c r="C1519" s="6" t="str">
        <f t="shared" si="99"/>
        <v>0203</v>
      </c>
      <c r="D1519" s="6" t="s">
        <v>22</v>
      </c>
      <c r="E1519" s="6" t="str">
        <f>"陈燕萍"</f>
        <v>陈燕萍</v>
      </c>
      <c r="F1519" s="6" t="str">
        <f t="shared" si="101"/>
        <v>女</v>
      </c>
    </row>
    <row r="1520" spans="1:6" ht="30" customHeight="1">
      <c r="A1520" s="6">
        <v>1518</v>
      </c>
      <c r="B1520" s="6" t="str">
        <f>"530020230530205445100146"</f>
        <v>530020230530205445100146</v>
      </c>
      <c r="C1520" s="6" t="str">
        <f t="shared" si="99"/>
        <v>0203</v>
      </c>
      <c r="D1520" s="6" t="s">
        <v>22</v>
      </c>
      <c r="E1520" s="6" t="str">
        <f>"吴巨玲"</f>
        <v>吴巨玲</v>
      </c>
      <c r="F1520" s="6" t="str">
        <f t="shared" si="101"/>
        <v>女</v>
      </c>
    </row>
    <row r="1521" spans="1:6" ht="30" customHeight="1">
      <c r="A1521" s="6">
        <v>1519</v>
      </c>
      <c r="B1521" s="6" t="str">
        <f>"53002023053016005298680"</f>
        <v>53002023053016005298680</v>
      </c>
      <c r="C1521" s="6" t="str">
        <f t="shared" si="99"/>
        <v>0203</v>
      </c>
      <c r="D1521" s="6" t="s">
        <v>22</v>
      </c>
      <c r="E1521" s="6" t="str">
        <f>"王碧丽"</f>
        <v>王碧丽</v>
      </c>
      <c r="F1521" s="6" t="str">
        <f t="shared" si="101"/>
        <v>女</v>
      </c>
    </row>
    <row r="1522" spans="1:6" ht="30" customHeight="1">
      <c r="A1522" s="6">
        <v>1520</v>
      </c>
      <c r="B1522" s="6" t="str">
        <f>"53002023052923505995601"</f>
        <v>53002023052923505995601</v>
      </c>
      <c r="C1522" s="6" t="str">
        <f t="shared" si="99"/>
        <v>0203</v>
      </c>
      <c r="D1522" s="6" t="s">
        <v>22</v>
      </c>
      <c r="E1522" s="6" t="str">
        <f>"王敏"</f>
        <v>王敏</v>
      </c>
      <c r="F1522" s="6" t="str">
        <f t="shared" si="101"/>
        <v>女</v>
      </c>
    </row>
    <row r="1523" spans="1:6" ht="30" customHeight="1">
      <c r="A1523" s="6">
        <v>1521</v>
      </c>
      <c r="B1523" s="6" t="str">
        <f>"530020230530213710100329"</f>
        <v>530020230530213710100329</v>
      </c>
      <c r="C1523" s="6" t="str">
        <f t="shared" si="99"/>
        <v>0203</v>
      </c>
      <c r="D1523" s="6" t="s">
        <v>22</v>
      </c>
      <c r="E1523" s="6" t="str">
        <f>"叶江岚"</f>
        <v>叶江岚</v>
      </c>
      <c r="F1523" s="6" t="str">
        <f t="shared" si="101"/>
        <v>女</v>
      </c>
    </row>
    <row r="1524" spans="1:6" ht="30" customHeight="1">
      <c r="A1524" s="6">
        <v>1522</v>
      </c>
      <c r="B1524" s="6" t="str">
        <f>"53002023052923254095517"</f>
        <v>53002023052923254095517</v>
      </c>
      <c r="C1524" s="6" t="str">
        <f t="shared" si="99"/>
        <v>0203</v>
      </c>
      <c r="D1524" s="6" t="s">
        <v>22</v>
      </c>
      <c r="E1524" s="6" t="str">
        <f>"符慧琴"</f>
        <v>符慧琴</v>
      </c>
      <c r="F1524" s="6" t="str">
        <f t="shared" si="101"/>
        <v>女</v>
      </c>
    </row>
    <row r="1525" spans="1:6" ht="30" customHeight="1">
      <c r="A1525" s="6">
        <v>1523</v>
      </c>
      <c r="B1525" s="6" t="str">
        <f>"53002023052718223685654"</f>
        <v>53002023052718223685654</v>
      </c>
      <c r="C1525" s="6" t="str">
        <f aca="true" t="shared" si="102" ref="C1525:C1588">"0203"</f>
        <v>0203</v>
      </c>
      <c r="D1525" s="6" t="s">
        <v>22</v>
      </c>
      <c r="E1525" s="6" t="str">
        <f>"孙美花"</f>
        <v>孙美花</v>
      </c>
      <c r="F1525" s="6" t="str">
        <f t="shared" si="101"/>
        <v>女</v>
      </c>
    </row>
    <row r="1526" spans="1:6" ht="30" customHeight="1">
      <c r="A1526" s="6">
        <v>1524</v>
      </c>
      <c r="B1526" s="6" t="str">
        <f>"53002023052821593388987"</f>
        <v>53002023052821593388987</v>
      </c>
      <c r="C1526" s="6" t="str">
        <f t="shared" si="102"/>
        <v>0203</v>
      </c>
      <c r="D1526" s="6" t="s">
        <v>22</v>
      </c>
      <c r="E1526" s="6" t="str">
        <f>"林少玲"</f>
        <v>林少玲</v>
      </c>
      <c r="F1526" s="6" t="str">
        <f t="shared" si="101"/>
        <v>女</v>
      </c>
    </row>
    <row r="1527" spans="1:6" ht="30" customHeight="1">
      <c r="A1527" s="6">
        <v>1525</v>
      </c>
      <c r="B1527" s="6" t="str">
        <f>"530020230530215731100457"</f>
        <v>530020230530215731100457</v>
      </c>
      <c r="C1527" s="6" t="str">
        <f t="shared" si="102"/>
        <v>0203</v>
      </c>
      <c r="D1527" s="6" t="s">
        <v>22</v>
      </c>
      <c r="E1527" s="6" t="str">
        <f>"林娜妃"</f>
        <v>林娜妃</v>
      </c>
      <c r="F1527" s="6" t="str">
        <f t="shared" si="101"/>
        <v>女</v>
      </c>
    </row>
    <row r="1528" spans="1:6" ht="30" customHeight="1">
      <c r="A1528" s="6">
        <v>1526</v>
      </c>
      <c r="B1528" s="6" t="str">
        <f>"530020230530221535100553"</f>
        <v>530020230530221535100553</v>
      </c>
      <c r="C1528" s="6" t="str">
        <f t="shared" si="102"/>
        <v>0203</v>
      </c>
      <c r="D1528" s="6" t="s">
        <v>22</v>
      </c>
      <c r="E1528" s="6" t="str">
        <f>"翁咪咪"</f>
        <v>翁咪咪</v>
      </c>
      <c r="F1528" s="6" t="str">
        <f t="shared" si="101"/>
        <v>女</v>
      </c>
    </row>
    <row r="1529" spans="1:6" ht="30" customHeight="1">
      <c r="A1529" s="6">
        <v>1527</v>
      </c>
      <c r="B1529" s="6" t="str">
        <f>"530020230530222026100569"</f>
        <v>530020230530222026100569</v>
      </c>
      <c r="C1529" s="6" t="str">
        <f t="shared" si="102"/>
        <v>0203</v>
      </c>
      <c r="D1529" s="6" t="s">
        <v>22</v>
      </c>
      <c r="E1529" s="6" t="str">
        <f>"李佳佳"</f>
        <v>李佳佳</v>
      </c>
      <c r="F1529" s="6" t="str">
        <f t="shared" si="101"/>
        <v>女</v>
      </c>
    </row>
    <row r="1530" spans="1:6" ht="30" customHeight="1">
      <c r="A1530" s="6">
        <v>1528</v>
      </c>
      <c r="B1530" s="6" t="str">
        <f>"53002023052909064089812"</f>
        <v>53002023052909064089812</v>
      </c>
      <c r="C1530" s="6" t="str">
        <f t="shared" si="102"/>
        <v>0203</v>
      </c>
      <c r="D1530" s="6" t="s">
        <v>22</v>
      </c>
      <c r="E1530" s="6" t="str">
        <f>"吴鸾优"</f>
        <v>吴鸾优</v>
      </c>
      <c r="F1530" s="6" t="str">
        <f t="shared" si="101"/>
        <v>女</v>
      </c>
    </row>
    <row r="1531" spans="1:6" ht="30" customHeight="1">
      <c r="A1531" s="6">
        <v>1529</v>
      </c>
      <c r="B1531" s="6" t="str">
        <f>"53002023052722504686464"</f>
        <v>53002023052722504686464</v>
      </c>
      <c r="C1531" s="6" t="str">
        <f t="shared" si="102"/>
        <v>0203</v>
      </c>
      <c r="D1531" s="6" t="s">
        <v>22</v>
      </c>
      <c r="E1531" s="6" t="str">
        <f>"余畅顺"</f>
        <v>余畅顺</v>
      </c>
      <c r="F1531" s="6" t="str">
        <f t="shared" si="101"/>
        <v>女</v>
      </c>
    </row>
    <row r="1532" spans="1:6" ht="30" customHeight="1">
      <c r="A1532" s="6">
        <v>1530</v>
      </c>
      <c r="B1532" s="6" t="str">
        <f>"530020230530224814100691"</f>
        <v>530020230530224814100691</v>
      </c>
      <c r="C1532" s="6" t="str">
        <f t="shared" si="102"/>
        <v>0203</v>
      </c>
      <c r="D1532" s="6" t="s">
        <v>22</v>
      </c>
      <c r="E1532" s="6" t="str">
        <f>"陈元芳"</f>
        <v>陈元芳</v>
      </c>
      <c r="F1532" s="6" t="str">
        <f t="shared" si="101"/>
        <v>女</v>
      </c>
    </row>
    <row r="1533" spans="1:6" ht="30" customHeight="1">
      <c r="A1533" s="6">
        <v>1531</v>
      </c>
      <c r="B1533" s="6" t="str">
        <f>"530020230530220055100477"</f>
        <v>530020230530220055100477</v>
      </c>
      <c r="C1533" s="6" t="str">
        <f t="shared" si="102"/>
        <v>0203</v>
      </c>
      <c r="D1533" s="6" t="s">
        <v>22</v>
      </c>
      <c r="E1533" s="6" t="str">
        <f>"吴才丹"</f>
        <v>吴才丹</v>
      </c>
      <c r="F1533" s="6" t="str">
        <f t="shared" si="101"/>
        <v>女</v>
      </c>
    </row>
    <row r="1534" spans="1:6" ht="30" customHeight="1">
      <c r="A1534" s="6">
        <v>1532</v>
      </c>
      <c r="B1534" s="6" t="str">
        <f>"530020230530232158100835"</f>
        <v>530020230530232158100835</v>
      </c>
      <c r="C1534" s="6" t="str">
        <f t="shared" si="102"/>
        <v>0203</v>
      </c>
      <c r="D1534" s="6" t="s">
        <v>22</v>
      </c>
      <c r="E1534" s="6" t="str">
        <f>"关远琴"</f>
        <v>关远琴</v>
      </c>
      <c r="F1534" s="6" t="str">
        <f t="shared" si="101"/>
        <v>女</v>
      </c>
    </row>
    <row r="1535" spans="1:6" ht="30" customHeight="1">
      <c r="A1535" s="6">
        <v>1533</v>
      </c>
      <c r="B1535" s="6" t="str">
        <f>"530020230530224354100675"</f>
        <v>530020230530224354100675</v>
      </c>
      <c r="C1535" s="6" t="str">
        <f t="shared" si="102"/>
        <v>0203</v>
      </c>
      <c r="D1535" s="6" t="s">
        <v>22</v>
      </c>
      <c r="E1535" s="6" t="str">
        <f>"陈采倩"</f>
        <v>陈采倩</v>
      </c>
      <c r="F1535" s="6" t="str">
        <f t="shared" si="101"/>
        <v>女</v>
      </c>
    </row>
    <row r="1536" spans="1:6" ht="30" customHeight="1">
      <c r="A1536" s="6">
        <v>1534</v>
      </c>
      <c r="B1536" s="6" t="str">
        <f>"530020230530232434100847"</f>
        <v>530020230530232434100847</v>
      </c>
      <c r="C1536" s="6" t="str">
        <f t="shared" si="102"/>
        <v>0203</v>
      </c>
      <c r="D1536" s="6" t="s">
        <v>22</v>
      </c>
      <c r="E1536" s="6" t="str">
        <f>"王慧娜"</f>
        <v>王慧娜</v>
      </c>
      <c r="F1536" s="6" t="str">
        <f t="shared" si="101"/>
        <v>女</v>
      </c>
    </row>
    <row r="1537" spans="1:6" ht="30" customHeight="1">
      <c r="A1537" s="6">
        <v>1535</v>
      </c>
      <c r="B1537" s="6" t="str">
        <f>"530020230530235341100934"</f>
        <v>530020230530235341100934</v>
      </c>
      <c r="C1537" s="6" t="str">
        <f t="shared" si="102"/>
        <v>0203</v>
      </c>
      <c r="D1537" s="6" t="s">
        <v>22</v>
      </c>
      <c r="E1537" s="6" t="str">
        <f>"林文英"</f>
        <v>林文英</v>
      </c>
      <c r="F1537" s="6" t="str">
        <f t="shared" si="101"/>
        <v>女</v>
      </c>
    </row>
    <row r="1538" spans="1:6" ht="30" customHeight="1">
      <c r="A1538" s="6">
        <v>1536</v>
      </c>
      <c r="B1538" s="6" t="str">
        <f>"53002023053013480097933"</f>
        <v>53002023053013480097933</v>
      </c>
      <c r="C1538" s="6" t="str">
        <f t="shared" si="102"/>
        <v>0203</v>
      </c>
      <c r="D1538" s="6" t="s">
        <v>22</v>
      </c>
      <c r="E1538" s="6" t="str">
        <f>"张映"</f>
        <v>张映</v>
      </c>
      <c r="F1538" s="6" t="str">
        <f t="shared" si="101"/>
        <v>女</v>
      </c>
    </row>
    <row r="1539" spans="1:6" ht="30" customHeight="1">
      <c r="A1539" s="6">
        <v>1537</v>
      </c>
      <c r="B1539" s="6" t="str">
        <f>"530020230531091729101452"</f>
        <v>530020230531091729101452</v>
      </c>
      <c r="C1539" s="6" t="str">
        <f t="shared" si="102"/>
        <v>0203</v>
      </c>
      <c r="D1539" s="6" t="s">
        <v>22</v>
      </c>
      <c r="E1539" s="6" t="str">
        <f>"金冬女"</f>
        <v>金冬女</v>
      </c>
      <c r="F1539" s="6" t="str">
        <f t="shared" si="101"/>
        <v>女</v>
      </c>
    </row>
    <row r="1540" spans="1:6" ht="30" customHeight="1">
      <c r="A1540" s="6">
        <v>1538</v>
      </c>
      <c r="B1540" s="6" t="str">
        <f>"530020230531082434101194"</f>
        <v>530020230531082434101194</v>
      </c>
      <c r="C1540" s="6" t="str">
        <f t="shared" si="102"/>
        <v>0203</v>
      </c>
      <c r="D1540" s="6" t="s">
        <v>22</v>
      </c>
      <c r="E1540" s="6" t="str">
        <f>"魏婷婷"</f>
        <v>魏婷婷</v>
      </c>
      <c r="F1540" s="6" t="str">
        <f t="shared" si="101"/>
        <v>女</v>
      </c>
    </row>
    <row r="1541" spans="1:6" ht="30" customHeight="1">
      <c r="A1541" s="6">
        <v>1539</v>
      </c>
      <c r="B1541" s="6" t="str">
        <f>"53002023053010105196532"</f>
        <v>53002023053010105196532</v>
      </c>
      <c r="C1541" s="6" t="str">
        <f t="shared" si="102"/>
        <v>0203</v>
      </c>
      <c r="D1541" s="6" t="s">
        <v>22</v>
      </c>
      <c r="E1541" s="6" t="str">
        <f>"吴钟莹"</f>
        <v>吴钟莹</v>
      </c>
      <c r="F1541" s="6" t="str">
        <f t="shared" si="101"/>
        <v>女</v>
      </c>
    </row>
    <row r="1542" spans="1:6" ht="30" customHeight="1">
      <c r="A1542" s="6">
        <v>1540</v>
      </c>
      <c r="B1542" s="6" t="str">
        <f>"530020230531095353101719"</f>
        <v>530020230531095353101719</v>
      </c>
      <c r="C1542" s="6" t="str">
        <f t="shared" si="102"/>
        <v>0203</v>
      </c>
      <c r="D1542" s="6" t="s">
        <v>22</v>
      </c>
      <c r="E1542" s="6" t="str">
        <f>"羊富带"</f>
        <v>羊富带</v>
      </c>
      <c r="F1542" s="6" t="str">
        <f t="shared" si="101"/>
        <v>女</v>
      </c>
    </row>
    <row r="1543" spans="1:6" ht="30" customHeight="1">
      <c r="A1543" s="6">
        <v>1541</v>
      </c>
      <c r="B1543" s="6" t="str">
        <f>"530020230531100802101836"</f>
        <v>530020230531100802101836</v>
      </c>
      <c r="C1543" s="6" t="str">
        <f t="shared" si="102"/>
        <v>0203</v>
      </c>
      <c r="D1543" s="6" t="s">
        <v>22</v>
      </c>
      <c r="E1543" s="6" t="str">
        <f>"王英"</f>
        <v>王英</v>
      </c>
      <c r="F1543" s="6" t="str">
        <f t="shared" si="101"/>
        <v>女</v>
      </c>
    </row>
    <row r="1544" spans="1:6" ht="30" customHeight="1">
      <c r="A1544" s="6">
        <v>1542</v>
      </c>
      <c r="B1544" s="6" t="str">
        <f>"530020230531093708101596"</f>
        <v>530020230531093708101596</v>
      </c>
      <c r="C1544" s="6" t="str">
        <f t="shared" si="102"/>
        <v>0203</v>
      </c>
      <c r="D1544" s="6" t="s">
        <v>22</v>
      </c>
      <c r="E1544" s="6" t="str">
        <f>"吴爽"</f>
        <v>吴爽</v>
      </c>
      <c r="F1544" s="6" t="str">
        <f t="shared" si="101"/>
        <v>女</v>
      </c>
    </row>
    <row r="1545" spans="1:6" ht="30" customHeight="1">
      <c r="A1545" s="6">
        <v>1543</v>
      </c>
      <c r="B1545" s="6" t="str">
        <f>"53002023052923052095436"</f>
        <v>53002023052923052095436</v>
      </c>
      <c r="C1545" s="6" t="str">
        <f t="shared" si="102"/>
        <v>0203</v>
      </c>
      <c r="D1545" s="6" t="s">
        <v>22</v>
      </c>
      <c r="E1545" s="6" t="str">
        <f>"许多标"</f>
        <v>许多标</v>
      </c>
      <c r="F1545" s="6" t="str">
        <f>"男"</f>
        <v>男</v>
      </c>
    </row>
    <row r="1546" spans="1:6" ht="30" customHeight="1">
      <c r="A1546" s="6">
        <v>1544</v>
      </c>
      <c r="B1546" s="6" t="str">
        <f>"530020230531112214102343"</f>
        <v>530020230531112214102343</v>
      </c>
      <c r="C1546" s="6" t="str">
        <f t="shared" si="102"/>
        <v>0203</v>
      </c>
      <c r="D1546" s="6" t="s">
        <v>22</v>
      </c>
      <c r="E1546" s="6" t="str">
        <f>"黄晓瑶"</f>
        <v>黄晓瑶</v>
      </c>
      <c r="F1546" s="6" t="str">
        <f aca="true" t="shared" si="103" ref="F1546:F1560">"女"</f>
        <v>女</v>
      </c>
    </row>
    <row r="1547" spans="1:6" ht="30" customHeight="1">
      <c r="A1547" s="6">
        <v>1545</v>
      </c>
      <c r="B1547" s="6" t="str">
        <f>"530020230531112952102388"</f>
        <v>530020230531112952102388</v>
      </c>
      <c r="C1547" s="6" t="str">
        <f t="shared" si="102"/>
        <v>0203</v>
      </c>
      <c r="D1547" s="6" t="s">
        <v>22</v>
      </c>
      <c r="E1547" s="6" t="str">
        <f>"符吉妃"</f>
        <v>符吉妃</v>
      </c>
      <c r="F1547" s="6" t="str">
        <f t="shared" si="103"/>
        <v>女</v>
      </c>
    </row>
    <row r="1548" spans="1:6" ht="30" customHeight="1">
      <c r="A1548" s="6">
        <v>1546</v>
      </c>
      <c r="B1548" s="6" t="str">
        <f>"530020230531121140102564"</f>
        <v>530020230531121140102564</v>
      </c>
      <c r="C1548" s="6" t="str">
        <f t="shared" si="102"/>
        <v>0203</v>
      </c>
      <c r="D1548" s="6" t="s">
        <v>22</v>
      </c>
      <c r="E1548" s="6" t="str">
        <f>"蔡霞"</f>
        <v>蔡霞</v>
      </c>
      <c r="F1548" s="6" t="str">
        <f t="shared" si="103"/>
        <v>女</v>
      </c>
    </row>
    <row r="1549" spans="1:6" ht="30" customHeight="1">
      <c r="A1549" s="6">
        <v>1547</v>
      </c>
      <c r="B1549" s="6" t="str">
        <f>"530020230530231207100807"</f>
        <v>530020230530231207100807</v>
      </c>
      <c r="C1549" s="6" t="str">
        <f t="shared" si="102"/>
        <v>0203</v>
      </c>
      <c r="D1549" s="6" t="s">
        <v>22</v>
      </c>
      <c r="E1549" s="6" t="str">
        <f>"符潘"</f>
        <v>符潘</v>
      </c>
      <c r="F1549" s="6" t="str">
        <f t="shared" si="103"/>
        <v>女</v>
      </c>
    </row>
    <row r="1550" spans="1:6" ht="30" customHeight="1">
      <c r="A1550" s="6">
        <v>1548</v>
      </c>
      <c r="B1550" s="6" t="str">
        <f>"530020230531124159102710"</f>
        <v>530020230531124159102710</v>
      </c>
      <c r="C1550" s="6" t="str">
        <f t="shared" si="102"/>
        <v>0203</v>
      </c>
      <c r="D1550" s="6" t="s">
        <v>22</v>
      </c>
      <c r="E1550" s="6" t="str">
        <f>"孙昌婷"</f>
        <v>孙昌婷</v>
      </c>
      <c r="F1550" s="6" t="str">
        <f t="shared" si="103"/>
        <v>女</v>
      </c>
    </row>
    <row r="1551" spans="1:6" ht="30" customHeight="1">
      <c r="A1551" s="6">
        <v>1549</v>
      </c>
      <c r="B1551" s="6" t="str">
        <f>"530020230531123430102677"</f>
        <v>530020230531123430102677</v>
      </c>
      <c r="C1551" s="6" t="str">
        <f t="shared" si="102"/>
        <v>0203</v>
      </c>
      <c r="D1551" s="6" t="s">
        <v>22</v>
      </c>
      <c r="E1551" s="6" t="str">
        <f>"符英梅"</f>
        <v>符英梅</v>
      </c>
      <c r="F1551" s="6" t="str">
        <f t="shared" si="103"/>
        <v>女</v>
      </c>
    </row>
    <row r="1552" spans="1:6" ht="30" customHeight="1">
      <c r="A1552" s="6">
        <v>1550</v>
      </c>
      <c r="B1552" s="6" t="str">
        <f>"53002023052820280688674"</f>
        <v>53002023052820280688674</v>
      </c>
      <c r="C1552" s="6" t="str">
        <f t="shared" si="102"/>
        <v>0203</v>
      </c>
      <c r="D1552" s="6" t="s">
        <v>22</v>
      </c>
      <c r="E1552" s="6" t="str">
        <f>"林慧焜"</f>
        <v>林慧焜</v>
      </c>
      <c r="F1552" s="6" t="str">
        <f t="shared" si="103"/>
        <v>女</v>
      </c>
    </row>
    <row r="1553" spans="1:6" ht="30" customHeight="1">
      <c r="A1553" s="6">
        <v>1551</v>
      </c>
      <c r="B1553" s="6" t="str">
        <f>"530020230531130328102814"</f>
        <v>530020230531130328102814</v>
      </c>
      <c r="C1553" s="6" t="str">
        <f t="shared" si="102"/>
        <v>0203</v>
      </c>
      <c r="D1553" s="6" t="s">
        <v>22</v>
      </c>
      <c r="E1553" s="6" t="str">
        <f>"周先丽"</f>
        <v>周先丽</v>
      </c>
      <c r="F1553" s="6" t="str">
        <f t="shared" si="103"/>
        <v>女</v>
      </c>
    </row>
    <row r="1554" spans="1:6" ht="30" customHeight="1">
      <c r="A1554" s="6">
        <v>1552</v>
      </c>
      <c r="B1554" s="6" t="str">
        <f>"530020230531132624102907"</f>
        <v>530020230531132624102907</v>
      </c>
      <c r="C1554" s="6" t="str">
        <f t="shared" si="102"/>
        <v>0203</v>
      </c>
      <c r="D1554" s="6" t="s">
        <v>22</v>
      </c>
      <c r="E1554" s="6" t="str">
        <f>"蒋倩"</f>
        <v>蒋倩</v>
      </c>
      <c r="F1554" s="6" t="str">
        <f t="shared" si="103"/>
        <v>女</v>
      </c>
    </row>
    <row r="1555" spans="1:6" ht="30" customHeight="1">
      <c r="A1555" s="6">
        <v>1553</v>
      </c>
      <c r="B1555" s="6" t="str">
        <f>"530020230531121429102580"</f>
        <v>530020230531121429102580</v>
      </c>
      <c r="C1555" s="6" t="str">
        <f t="shared" si="102"/>
        <v>0203</v>
      </c>
      <c r="D1555" s="6" t="s">
        <v>22</v>
      </c>
      <c r="E1555" s="6" t="str">
        <f>"丁小桃"</f>
        <v>丁小桃</v>
      </c>
      <c r="F1555" s="6" t="str">
        <f t="shared" si="103"/>
        <v>女</v>
      </c>
    </row>
    <row r="1556" spans="1:6" ht="30" customHeight="1">
      <c r="A1556" s="6">
        <v>1554</v>
      </c>
      <c r="B1556" s="6" t="str">
        <f>"530020230531154818103444"</f>
        <v>530020230531154818103444</v>
      </c>
      <c r="C1556" s="6" t="str">
        <f t="shared" si="102"/>
        <v>0203</v>
      </c>
      <c r="D1556" s="6" t="s">
        <v>22</v>
      </c>
      <c r="E1556" s="6" t="str">
        <f>"黄慧娇"</f>
        <v>黄慧娇</v>
      </c>
      <c r="F1556" s="6" t="str">
        <f t="shared" si="103"/>
        <v>女</v>
      </c>
    </row>
    <row r="1557" spans="1:6" ht="30" customHeight="1">
      <c r="A1557" s="6">
        <v>1555</v>
      </c>
      <c r="B1557" s="6" t="str">
        <f>"530020230531162124103611"</f>
        <v>530020230531162124103611</v>
      </c>
      <c r="C1557" s="6" t="str">
        <f t="shared" si="102"/>
        <v>0203</v>
      </c>
      <c r="D1557" s="6" t="s">
        <v>22</v>
      </c>
      <c r="E1557" s="6" t="str">
        <f>"钟文苑"</f>
        <v>钟文苑</v>
      </c>
      <c r="F1557" s="6" t="str">
        <f t="shared" si="103"/>
        <v>女</v>
      </c>
    </row>
    <row r="1558" spans="1:6" ht="30" customHeight="1">
      <c r="A1558" s="6">
        <v>1556</v>
      </c>
      <c r="B1558" s="6" t="str">
        <f>"530020230531143822103119"</f>
        <v>530020230531143822103119</v>
      </c>
      <c r="C1558" s="6" t="str">
        <f t="shared" si="102"/>
        <v>0203</v>
      </c>
      <c r="D1558" s="6" t="s">
        <v>22</v>
      </c>
      <c r="E1558" s="6" t="str">
        <f>"杨珍"</f>
        <v>杨珍</v>
      </c>
      <c r="F1558" s="6" t="str">
        <f t="shared" si="103"/>
        <v>女</v>
      </c>
    </row>
    <row r="1559" spans="1:6" ht="30" customHeight="1">
      <c r="A1559" s="6">
        <v>1557</v>
      </c>
      <c r="B1559" s="6" t="str">
        <f>"530020230531162504103630"</f>
        <v>530020230531162504103630</v>
      </c>
      <c r="C1559" s="6" t="str">
        <f t="shared" si="102"/>
        <v>0203</v>
      </c>
      <c r="D1559" s="6" t="s">
        <v>22</v>
      </c>
      <c r="E1559" s="6" t="str">
        <f>"王燕"</f>
        <v>王燕</v>
      </c>
      <c r="F1559" s="6" t="str">
        <f t="shared" si="103"/>
        <v>女</v>
      </c>
    </row>
    <row r="1560" spans="1:6" ht="30" customHeight="1">
      <c r="A1560" s="6">
        <v>1558</v>
      </c>
      <c r="B1560" s="6" t="str">
        <f>"530020230531164015103715"</f>
        <v>530020230531164015103715</v>
      </c>
      <c r="C1560" s="6" t="str">
        <f t="shared" si="102"/>
        <v>0203</v>
      </c>
      <c r="D1560" s="6" t="s">
        <v>22</v>
      </c>
      <c r="E1560" s="6" t="str">
        <f>"刘裕花"</f>
        <v>刘裕花</v>
      </c>
      <c r="F1560" s="6" t="str">
        <f t="shared" si="103"/>
        <v>女</v>
      </c>
    </row>
    <row r="1561" spans="1:6" ht="30" customHeight="1">
      <c r="A1561" s="6">
        <v>1559</v>
      </c>
      <c r="B1561" s="6" t="str">
        <f>"53002023052713343684739"</f>
        <v>53002023052713343684739</v>
      </c>
      <c r="C1561" s="6" t="str">
        <f t="shared" si="102"/>
        <v>0203</v>
      </c>
      <c r="D1561" s="6" t="s">
        <v>22</v>
      </c>
      <c r="E1561" s="6" t="str">
        <f>"林琪淇"</f>
        <v>林琪淇</v>
      </c>
      <c r="F1561" s="6" t="str">
        <f>"男"</f>
        <v>男</v>
      </c>
    </row>
    <row r="1562" spans="1:6" ht="30" customHeight="1">
      <c r="A1562" s="6">
        <v>1560</v>
      </c>
      <c r="B1562" s="6" t="str">
        <f>"530020230531172903103933"</f>
        <v>530020230531172903103933</v>
      </c>
      <c r="C1562" s="6" t="str">
        <f t="shared" si="102"/>
        <v>0203</v>
      </c>
      <c r="D1562" s="6" t="s">
        <v>22</v>
      </c>
      <c r="E1562" s="6" t="str">
        <f>"张汉月"</f>
        <v>张汉月</v>
      </c>
      <c r="F1562" s="6" t="str">
        <f aca="true" t="shared" si="104" ref="F1562:F1620">"女"</f>
        <v>女</v>
      </c>
    </row>
    <row r="1563" spans="1:6" ht="30" customHeight="1">
      <c r="A1563" s="6">
        <v>1561</v>
      </c>
      <c r="B1563" s="6" t="str">
        <f>"530020230531173721103965"</f>
        <v>530020230531173721103965</v>
      </c>
      <c r="C1563" s="6" t="str">
        <f t="shared" si="102"/>
        <v>0203</v>
      </c>
      <c r="D1563" s="6" t="s">
        <v>22</v>
      </c>
      <c r="E1563" s="6" t="str">
        <f>"陈龄美"</f>
        <v>陈龄美</v>
      </c>
      <c r="F1563" s="6" t="str">
        <f t="shared" si="104"/>
        <v>女</v>
      </c>
    </row>
    <row r="1564" spans="1:6" ht="30" customHeight="1">
      <c r="A1564" s="6">
        <v>1562</v>
      </c>
      <c r="B1564" s="6" t="str">
        <f>"530020230531180324104055"</f>
        <v>530020230531180324104055</v>
      </c>
      <c r="C1564" s="6" t="str">
        <f t="shared" si="102"/>
        <v>0203</v>
      </c>
      <c r="D1564" s="6" t="s">
        <v>22</v>
      </c>
      <c r="E1564" s="6" t="str">
        <f>"吴艳"</f>
        <v>吴艳</v>
      </c>
      <c r="F1564" s="6" t="str">
        <f t="shared" si="104"/>
        <v>女</v>
      </c>
    </row>
    <row r="1565" spans="1:6" ht="30" customHeight="1">
      <c r="A1565" s="6">
        <v>1563</v>
      </c>
      <c r="B1565" s="6" t="str">
        <f>"530020230531152946103346"</f>
        <v>530020230531152946103346</v>
      </c>
      <c r="C1565" s="6" t="str">
        <f t="shared" si="102"/>
        <v>0203</v>
      </c>
      <c r="D1565" s="6" t="s">
        <v>22</v>
      </c>
      <c r="E1565" s="6" t="str">
        <f>"张颖"</f>
        <v>张颖</v>
      </c>
      <c r="F1565" s="6" t="str">
        <f t="shared" si="104"/>
        <v>女</v>
      </c>
    </row>
    <row r="1566" spans="1:6" ht="30" customHeight="1">
      <c r="A1566" s="6">
        <v>1564</v>
      </c>
      <c r="B1566" s="6" t="str">
        <f>"530020230531182126104106"</f>
        <v>530020230531182126104106</v>
      </c>
      <c r="C1566" s="6" t="str">
        <f t="shared" si="102"/>
        <v>0203</v>
      </c>
      <c r="D1566" s="6" t="s">
        <v>22</v>
      </c>
      <c r="E1566" s="6" t="str">
        <f>"殷小丽"</f>
        <v>殷小丽</v>
      </c>
      <c r="F1566" s="6" t="str">
        <f t="shared" si="104"/>
        <v>女</v>
      </c>
    </row>
    <row r="1567" spans="1:6" ht="30" customHeight="1">
      <c r="A1567" s="6">
        <v>1565</v>
      </c>
      <c r="B1567" s="6" t="str">
        <f>"530020230531185257104189"</f>
        <v>530020230531185257104189</v>
      </c>
      <c r="C1567" s="6" t="str">
        <f t="shared" si="102"/>
        <v>0203</v>
      </c>
      <c r="D1567" s="6" t="s">
        <v>22</v>
      </c>
      <c r="E1567" s="6" t="str">
        <f>"王绥薇"</f>
        <v>王绥薇</v>
      </c>
      <c r="F1567" s="6" t="str">
        <f t="shared" si="104"/>
        <v>女</v>
      </c>
    </row>
    <row r="1568" spans="1:6" ht="30" customHeight="1">
      <c r="A1568" s="6">
        <v>1566</v>
      </c>
      <c r="B1568" s="6" t="str">
        <f>"530020230531190046104204"</f>
        <v>530020230531190046104204</v>
      </c>
      <c r="C1568" s="6" t="str">
        <f t="shared" si="102"/>
        <v>0203</v>
      </c>
      <c r="D1568" s="6" t="s">
        <v>22</v>
      </c>
      <c r="E1568" s="6" t="str">
        <f>"符艳婧"</f>
        <v>符艳婧</v>
      </c>
      <c r="F1568" s="6" t="str">
        <f t="shared" si="104"/>
        <v>女</v>
      </c>
    </row>
    <row r="1569" spans="1:6" ht="30" customHeight="1">
      <c r="A1569" s="6">
        <v>1567</v>
      </c>
      <c r="B1569" s="6" t="str">
        <f>"530020230531183611104150"</f>
        <v>530020230531183611104150</v>
      </c>
      <c r="C1569" s="6" t="str">
        <f t="shared" si="102"/>
        <v>0203</v>
      </c>
      <c r="D1569" s="6" t="s">
        <v>22</v>
      </c>
      <c r="E1569" s="6" t="str">
        <f>"张淑清"</f>
        <v>张淑清</v>
      </c>
      <c r="F1569" s="6" t="str">
        <f t="shared" si="104"/>
        <v>女</v>
      </c>
    </row>
    <row r="1570" spans="1:6" ht="30" customHeight="1">
      <c r="A1570" s="6">
        <v>1568</v>
      </c>
      <c r="B1570" s="6" t="str">
        <f>"53002023052811502387208"</f>
        <v>53002023052811502387208</v>
      </c>
      <c r="C1570" s="6" t="str">
        <f t="shared" si="102"/>
        <v>0203</v>
      </c>
      <c r="D1570" s="6" t="s">
        <v>22</v>
      </c>
      <c r="E1570" s="6" t="str">
        <f>"王丹婷"</f>
        <v>王丹婷</v>
      </c>
      <c r="F1570" s="6" t="str">
        <f t="shared" si="104"/>
        <v>女</v>
      </c>
    </row>
    <row r="1571" spans="1:6" ht="30" customHeight="1">
      <c r="A1571" s="6">
        <v>1569</v>
      </c>
      <c r="B1571" s="6" t="str">
        <f>"530020230531154932103451"</f>
        <v>530020230531154932103451</v>
      </c>
      <c r="C1571" s="6" t="str">
        <f t="shared" si="102"/>
        <v>0203</v>
      </c>
      <c r="D1571" s="6" t="s">
        <v>22</v>
      </c>
      <c r="E1571" s="6" t="str">
        <f>"李青"</f>
        <v>李青</v>
      </c>
      <c r="F1571" s="6" t="str">
        <f t="shared" si="104"/>
        <v>女</v>
      </c>
    </row>
    <row r="1572" spans="1:6" ht="30" customHeight="1">
      <c r="A1572" s="6">
        <v>1570</v>
      </c>
      <c r="B1572" s="6" t="str">
        <f>"530020230531212030104626"</f>
        <v>530020230531212030104626</v>
      </c>
      <c r="C1572" s="6" t="str">
        <f t="shared" si="102"/>
        <v>0203</v>
      </c>
      <c r="D1572" s="6" t="s">
        <v>22</v>
      </c>
      <c r="E1572" s="6" t="str">
        <f>"薛龄爱"</f>
        <v>薛龄爱</v>
      </c>
      <c r="F1572" s="6" t="str">
        <f t="shared" si="104"/>
        <v>女</v>
      </c>
    </row>
    <row r="1573" spans="1:6" ht="30" customHeight="1">
      <c r="A1573" s="6">
        <v>1571</v>
      </c>
      <c r="B1573" s="6" t="str">
        <f>"530020230531212944104673"</f>
        <v>530020230531212944104673</v>
      </c>
      <c r="C1573" s="6" t="str">
        <f t="shared" si="102"/>
        <v>0203</v>
      </c>
      <c r="D1573" s="6" t="s">
        <v>22</v>
      </c>
      <c r="E1573" s="6" t="str">
        <f>"王诗诗"</f>
        <v>王诗诗</v>
      </c>
      <c r="F1573" s="6" t="str">
        <f t="shared" si="104"/>
        <v>女</v>
      </c>
    </row>
    <row r="1574" spans="1:6" ht="30" customHeight="1">
      <c r="A1574" s="6">
        <v>1572</v>
      </c>
      <c r="B1574" s="6" t="str">
        <f>"530020230531212642104658"</f>
        <v>530020230531212642104658</v>
      </c>
      <c r="C1574" s="6" t="str">
        <f t="shared" si="102"/>
        <v>0203</v>
      </c>
      <c r="D1574" s="6" t="s">
        <v>22</v>
      </c>
      <c r="E1574" s="6" t="str">
        <f>"许治青"</f>
        <v>许治青</v>
      </c>
      <c r="F1574" s="6" t="str">
        <f t="shared" si="104"/>
        <v>女</v>
      </c>
    </row>
    <row r="1575" spans="1:6" ht="30" customHeight="1">
      <c r="A1575" s="6">
        <v>1573</v>
      </c>
      <c r="B1575" s="6" t="str">
        <f>"530020230531214322104725"</f>
        <v>530020230531214322104725</v>
      </c>
      <c r="C1575" s="6" t="str">
        <f t="shared" si="102"/>
        <v>0203</v>
      </c>
      <c r="D1575" s="6" t="s">
        <v>22</v>
      </c>
      <c r="E1575" s="6" t="str">
        <f>"吴丽萍"</f>
        <v>吴丽萍</v>
      </c>
      <c r="F1575" s="6" t="str">
        <f t="shared" si="104"/>
        <v>女</v>
      </c>
    </row>
    <row r="1576" spans="1:6" ht="30" customHeight="1">
      <c r="A1576" s="6">
        <v>1574</v>
      </c>
      <c r="B1576" s="6" t="str">
        <f>"530020230531221802104833"</f>
        <v>530020230531221802104833</v>
      </c>
      <c r="C1576" s="6" t="str">
        <f t="shared" si="102"/>
        <v>0203</v>
      </c>
      <c r="D1576" s="6" t="s">
        <v>22</v>
      </c>
      <c r="E1576" s="6" t="str">
        <f>"蔡萌"</f>
        <v>蔡萌</v>
      </c>
      <c r="F1576" s="6" t="str">
        <f t="shared" si="104"/>
        <v>女</v>
      </c>
    </row>
    <row r="1577" spans="1:6" ht="30" customHeight="1">
      <c r="A1577" s="6">
        <v>1575</v>
      </c>
      <c r="B1577" s="6" t="str">
        <f>"530020230531223810104902"</f>
        <v>530020230531223810104902</v>
      </c>
      <c r="C1577" s="6" t="str">
        <f t="shared" si="102"/>
        <v>0203</v>
      </c>
      <c r="D1577" s="6" t="s">
        <v>22</v>
      </c>
      <c r="E1577" s="6" t="str">
        <f>"许慧婷"</f>
        <v>许慧婷</v>
      </c>
      <c r="F1577" s="6" t="str">
        <f t="shared" si="104"/>
        <v>女</v>
      </c>
    </row>
    <row r="1578" spans="1:6" ht="30" customHeight="1">
      <c r="A1578" s="6">
        <v>1576</v>
      </c>
      <c r="B1578" s="6" t="str">
        <f>"530020230531223441104887"</f>
        <v>530020230531223441104887</v>
      </c>
      <c r="C1578" s="6" t="str">
        <f t="shared" si="102"/>
        <v>0203</v>
      </c>
      <c r="D1578" s="6" t="s">
        <v>22</v>
      </c>
      <c r="E1578" s="6" t="str">
        <f>"陈亚亲"</f>
        <v>陈亚亲</v>
      </c>
      <c r="F1578" s="6" t="str">
        <f t="shared" si="104"/>
        <v>女</v>
      </c>
    </row>
    <row r="1579" spans="1:6" ht="30" customHeight="1">
      <c r="A1579" s="6">
        <v>1577</v>
      </c>
      <c r="B1579" s="6" t="str">
        <f>"530020230531231548105023"</f>
        <v>530020230531231548105023</v>
      </c>
      <c r="C1579" s="6" t="str">
        <f t="shared" si="102"/>
        <v>0203</v>
      </c>
      <c r="D1579" s="6" t="s">
        <v>22</v>
      </c>
      <c r="E1579" s="6" t="str">
        <f>"李春香"</f>
        <v>李春香</v>
      </c>
      <c r="F1579" s="6" t="str">
        <f t="shared" si="104"/>
        <v>女</v>
      </c>
    </row>
    <row r="1580" spans="1:6" ht="30" customHeight="1">
      <c r="A1580" s="6">
        <v>1578</v>
      </c>
      <c r="B1580" s="6" t="str">
        <f>"53002023053011035996984"</f>
        <v>53002023053011035996984</v>
      </c>
      <c r="C1580" s="6" t="str">
        <f t="shared" si="102"/>
        <v>0203</v>
      </c>
      <c r="D1580" s="6" t="s">
        <v>22</v>
      </c>
      <c r="E1580" s="6" t="str">
        <f>"林晓宇"</f>
        <v>林晓宇</v>
      </c>
      <c r="F1580" s="6" t="str">
        <f t="shared" si="104"/>
        <v>女</v>
      </c>
    </row>
    <row r="1581" spans="1:6" ht="30" customHeight="1">
      <c r="A1581" s="6">
        <v>1579</v>
      </c>
      <c r="B1581" s="6" t="str">
        <f>"530020230531233339105059"</f>
        <v>530020230531233339105059</v>
      </c>
      <c r="C1581" s="6" t="str">
        <f t="shared" si="102"/>
        <v>0203</v>
      </c>
      <c r="D1581" s="6" t="s">
        <v>22</v>
      </c>
      <c r="E1581" s="6" t="str">
        <f>"钟月兰"</f>
        <v>钟月兰</v>
      </c>
      <c r="F1581" s="6" t="str">
        <f t="shared" si="104"/>
        <v>女</v>
      </c>
    </row>
    <row r="1582" spans="1:6" ht="30" customHeight="1">
      <c r="A1582" s="6">
        <v>1580</v>
      </c>
      <c r="B1582" s="6" t="str">
        <f>"530020230601000520105099"</f>
        <v>530020230601000520105099</v>
      </c>
      <c r="C1582" s="6" t="str">
        <f t="shared" si="102"/>
        <v>0203</v>
      </c>
      <c r="D1582" s="6" t="s">
        <v>22</v>
      </c>
      <c r="E1582" s="6" t="str">
        <f>"张薰匀"</f>
        <v>张薰匀</v>
      </c>
      <c r="F1582" s="6" t="str">
        <f t="shared" si="104"/>
        <v>女</v>
      </c>
    </row>
    <row r="1583" spans="1:6" ht="30" customHeight="1">
      <c r="A1583" s="6">
        <v>1581</v>
      </c>
      <c r="B1583" s="6" t="str">
        <f>"530020230601000416105097"</f>
        <v>530020230601000416105097</v>
      </c>
      <c r="C1583" s="6" t="str">
        <f t="shared" si="102"/>
        <v>0203</v>
      </c>
      <c r="D1583" s="6" t="s">
        <v>22</v>
      </c>
      <c r="E1583" s="6" t="str">
        <f>"石雨昂"</f>
        <v>石雨昂</v>
      </c>
      <c r="F1583" s="6" t="str">
        <f t="shared" si="104"/>
        <v>女</v>
      </c>
    </row>
    <row r="1584" spans="1:6" ht="30" customHeight="1">
      <c r="A1584" s="6">
        <v>1582</v>
      </c>
      <c r="B1584" s="6" t="str">
        <f>"530020230601002649105122"</f>
        <v>530020230601002649105122</v>
      </c>
      <c r="C1584" s="6" t="str">
        <f t="shared" si="102"/>
        <v>0203</v>
      </c>
      <c r="D1584" s="6" t="s">
        <v>22</v>
      </c>
      <c r="E1584" s="6" t="str">
        <f>"曾万英"</f>
        <v>曾万英</v>
      </c>
      <c r="F1584" s="6" t="str">
        <f t="shared" si="104"/>
        <v>女</v>
      </c>
    </row>
    <row r="1585" spans="1:6" ht="30" customHeight="1">
      <c r="A1585" s="6">
        <v>1583</v>
      </c>
      <c r="B1585" s="6" t="str">
        <f>"53002023052910015790471"</f>
        <v>53002023052910015790471</v>
      </c>
      <c r="C1585" s="6" t="str">
        <f t="shared" si="102"/>
        <v>0203</v>
      </c>
      <c r="D1585" s="6" t="s">
        <v>22</v>
      </c>
      <c r="E1585" s="6" t="str">
        <f>"潘娜"</f>
        <v>潘娜</v>
      </c>
      <c r="F1585" s="6" t="str">
        <f t="shared" si="104"/>
        <v>女</v>
      </c>
    </row>
    <row r="1586" spans="1:6" ht="30" customHeight="1">
      <c r="A1586" s="6">
        <v>1584</v>
      </c>
      <c r="B1586" s="6" t="str">
        <f>"530020230531094616101662"</f>
        <v>530020230531094616101662</v>
      </c>
      <c r="C1586" s="6" t="str">
        <f t="shared" si="102"/>
        <v>0203</v>
      </c>
      <c r="D1586" s="6" t="s">
        <v>22</v>
      </c>
      <c r="E1586" s="6" t="str">
        <f>"麦璇"</f>
        <v>麦璇</v>
      </c>
      <c r="F1586" s="6" t="str">
        <f t="shared" si="104"/>
        <v>女</v>
      </c>
    </row>
    <row r="1587" spans="1:6" ht="30" customHeight="1">
      <c r="A1587" s="6">
        <v>1585</v>
      </c>
      <c r="B1587" s="6" t="str">
        <f>"530020230601081438105261"</f>
        <v>530020230601081438105261</v>
      </c>
      <c r="C1587" s="6" t="str">
        <f t="shared" si="102"/>
        <v>0203</v>
      </c>
      <c r="D1587" s="6" t="s">
        <v>22</v>
      </c>
      <c r="E1587" s="6" t="str">
        <f>"陈小妹"</f>
        <v>陈小妹</v>
      </c>
      <c r="F1587" s="6" t="str">
        <f t="shared" si="104"/>
        <v>女</v>
      </c>
    </row>
    <row r="1588" spans="1:6" ht="30" customHeight="1">
      <c r="A1588" s="6">
        <v>1586</v>
      </c>
      <c r="B1588" s="6" t="str">
        <f>"530020230601093059105624"</f>
        <v>530020230601093059105624</v>
      </c>
      <c r="C1588" s="6" t="str">
        <f t="shared" si="102"/>
        <v>0203</v>
      </c>
      <c r="D1588" s="6" t="s">
        <v>22</v>
      </c>
      <c r="E1588" s="6" t="str">
        <f>"王慧"</f>
        <v>王慧</v>
      </c>
      <c r="F1588" s="6" t="str">
        <f t="shared" si="104"/>
        <v>女</v>
      </c>
    </row>
    <row r="1589" spans="1:6" ht="30" customHeight="1">
      <c r="A1589" s="6">
        <v>1587</v>
      </c>
      <c r="B1589" s="6" t="str">
        <f>"530020230601090537105445"</f>
        <v>530020230601090537105445</v>
      </c>
      <c r="C1589" s="6" t="str">
        <f aca="true" t="shared" si="105" ref="C1589:C1652">"0203"</f>
        <v>0203</v>
      </c>
      <c r="D1589" s="6" t="s">
        <v>22</v>
      </c>
      <c r="E1589" s="6" t="str">
        <f>"黎吉逢"</f>
        <v>黎吉逢</v>
      </c>
      <c r="F1589" s="6" t="str">
        <f t="shared" si="104"/>
        <v>女</v>
      </c>
    </row>
    <row r="1590" spans="1:6" ht="30" customHeight="1">
      <c r="A1590" s="6">
        <v>1588</v>
      </c>
      <c r="B1590" s="6" t="str">
        <f>"530020230531155828103491"</f>
        <v>530020230531155828103491</v>
      </c>
      <c r="C1590" s="6" t="str">
        <f t="shared" si="105"/>
        <v>0203</v>
      </c>
      <c r="D1590" s="6" t="s">
        <v>22</v>
      </c>
      <c r="E1590" s="6" t="str">
        <f>"吴漫洪"</f>
        <v>吴漫洪</v>
      </c>
      <c r="F1590" s="6" t="str">
        <f t="shared" si="104"/>
        <v>女</v>
      </c>
    </row>
    <row r="1591" spans="1:6" ht="30" customHeight="1">
      <c r="A1591" s="6">
        <v>1589</v>
      </c>
      <c r="B1591" s="6" t="str">
        <f>"53002023053016570499048"</f>
        <v>53002023053016570499048</v>
      </c>
      <c r="C1591" s="6" t="str">
        <f t="shared" si="105"/>
        <v>0203</v>
      </c>
      <c r="D1591" s="6" t="s">
        <v>22</v>
      </c>
      <c r="E1591" s="6" t="str">
        <f>"陈小玉"</f>
        <v>陈小玉</v>
      </c>
      <c r="F1591" s="6" t="str">
        <f t="shared" si="104"/>
        <v>女</v>
      </c>
    </row>
    <row r="1592" spans="1:6" ht="30" customHeight="1">
      <c r="A1592" s="6">
        <v>1590</v>
      </c>
      <c r="B1592" s="6" t="str">
        <f>"530020230601101157105923"</f>
        <v>530020230601101157105923</v>
      </c>
      <c r="C1592" s="6" t="str">
        <f t="shared" si="105"/>
        <v>0203</v>
      </c>
      <c r="D1592" s="6" t="s">
        <v>22</v>
      </c>
      <c r="E1592" s="6" t="str">
        <f>"符燕丽"</f>
        <v>符燕丽</v>
      </c>
      <c r="F1592" s="6" t="str">
        <f t="shared" si="104"/>
        <v>女</v>
      </c>
    </row>
    <row r="1593" spans="1:6" ht="30" customHeight="1">
      <c r="A1593" s="6">
        <v>1591</v>
      </c>
      <c r="B1593" s="6" t="str">
        <f>"530020230601094335105732"</f>
        <v>530020230601094335105732</v>
      </c>
      <c r="C1593" s="6" t="str">
        <f t="shared" si="105"/>
        <v>0203</v>
      </c>
      <c r="D1593" s="6" t="s">
        <v>22</v>
      </c>
      <c r="E1593" s="6" t="str">
        <f>"林丽"</f>
        <v>林丽</v>
      </c>
      <c r="F1593" s="6" t="str">
        <f t="shared" si="104"/>
        <v>女</v>
      </c>
    </row>
    <row r="1594" spans="1:6" ht="30" customHeight="1">
      <c r="A1594" s="6">
        <v>1592</v>
      </c>
      <c r="B1594" s="6" t="str">
        <f>"53002023053017462299320"</f>
        <v>53002023053017462299320</v>
      </c>
      <c r="C1594" s="6" t="str">
        <f t="shared" si="105"/>
        <v>0203</v>
      </c>
      <c r="D1594" s="6" t="s">
        <v>22</v>
      </c>
      <c r="E1594" s="6" t="str">
        <f>"吴成川"</f>
        <v>吴成川</v>
      </c>
      <c r="F1594" s="6" t="str">
        <f t="shared" si="104"/>
        <v>女</v>
      </c>
    </row>
    <row r="1595" spans="1:6" ht="30" customHeight="1">
      <c r="A1595" s="6">
        <v>1593</v>
      </c>
      <c r="B1595" s="6" t="str">
        <f>"530020230530223043100621"</f>
        <v>530020230530223043100621</v>
      </c>
      <c r="C1595" s="6" t="str">
        <f t="shared" si="105"/>
        <v>0203</v>
      </c>
      <c r="D1595" s="6" t="s">
        <v>22</v>
      </c>
      <c r="E1595" s="6" t="str">
        <f>"林赐丹"</f>
        <v>林赐丹</v>
      </c>
      <c r="F1595" s="6" t="str">
        <f t="shared" si="104"/>
        <v>女</v>
      </c>
    </row>
    <row r="1596" spans="1:6" ht="30" customHeight="1">
      <c r="A1596" s="6">
        <v>1594</v>
      </c>
      <c r="B1596" s="6" t="str">
        <f>"530020230601095110105775"</f>
        <v>530020230601095110105775</v>
      </c>
      <c r="C1596" s="6" t="str">
        <f t="shared" si="105"/>
        <v>0203</v>
      </c>
      <c r="D1596" s="6" t="s">
        <v>22</v>
      </c>
      <c r="E1596" s="6" t="str">
        <f>"黄少茹"</f>
        <v>黄少茹</v>
      </c>
      <c r="F1596" s="6" t="str">
        <f t="shared" si="104"/>
        <v>女</v>
      </c>
    </row>
    <row r="1597" spans="1:6" ht="30" customHeight="1">
      <c r="A1597" s="6">
        <v>1595</v>
      </c>
      <c r="B1597" s="6" t="str">
        <f>"530020230601100430105866"</f>
        <v>530020230601100430105866</v>
      </c>
      <c r="C1597" s="6" t="str">
        <f t="shared" si="105"/>
        <v>0203</v>
      </c>
      <c r="D1597" s="6" t="s">
        <v>22</v>
      </c>
      <c r="E1597" s="6" t="str">
        <f>"钱玉婷"</f>
        <v>钱玉婷</v>
      </c>
      <c r="F1597" s="6" t="str">
        <f t="shared" si="104"/>
        <v>女</v>
      </c>
    </row>
    <row r="1598" spans="1:6" ht="30" customHeight="1">
      <c r="A1598" s="6">
        <v>1596</v>
      </c>
      <c r="B1598" s="6" t="str">
        <f>"530020230601110141106260"</f>
        <v>530020230601110141106260</v>
      </c>
      <c r="C1598" s="6" t="str">
        <f t="shared" si="105"/>
        <v>0203</v>
      </c>
      <c r="D1598" s="6" t="s">
        <v>22</v>
      </c>
      <c r="E1598" s="6" t="str">
        <f>"符才妮"</f>
        <v>符才妮</v>
      </c>
      <c r="F1598" s="6" t="str">
        <f t="shared" si="104"/>
        <v>女</v>
      </c>
    </row>
    <row r="1599" spans="1:6" ht="30" customHeight="1">
      <c r="A1599" s="6">
        <v>1597</v>
      </c>
      <c r="B1599" s="6" t="str">
        <f>"530020230601104953106189"</f>
        <v>530020230601104953106189</v>
      </c>
      <c r="C1599" s="6" t="str">
        <f t="shared" si="105"/>
        <v>0203</v>
      </c>
      <c r="D1599" s="6" t="s">
        <v>22</v>
      </c>
      <c r="E1599" s="6" t="str">
        <f>"文欣"</f>
        <v>文欣</v>
      </c>
      <c r="F1599" s="6" t="str">
        <f t="shared" si="104"/>
        <v>女</v>
      </c>
    </row>
    <row r="1600" spans="1:6" ht="30" customHeight="1">
      <c r="A1600" s="6">
        <v>1598</v>
      </c>
      <c r="B1600" s="6" t="str">
        <f>"530020230601112244106381"</f>
        <v>530020230601112244106381</v>
      </c>
      <c r="C1600" s="6" t="str">
        <f t="shared" si="105"/>
        <v>0203</v>
      </c>
      <c r="D1600" s="6" t="s">
        <v>22</v>
      </c>
      <c r="E1600" s="6" t="str">
        <f>"王素云"</f>
        <v>王素云</v>
      </c>
      <c r="F1600" s="6" t="str">
        <f t="shared" si="104"/>
        <v>女</v>
      </c>
    </row>
    <row r="1601" spans="1:6" ht="30" customHeight="1">
      <c r="A1601" s="6">
        <v>1599</v>
      </c>
      <c r="B1601" s="6" t="str">
        <f>"530020230531160931103549"</f>
        <v>530020230531160931103549</v>
      </c>
      <c r="C1601" s="6" t="str">
        <f t="shared" si="105"/>
        <v>0203</v>
      </c>
      <c r="D1601" s="6" t="s">
        <v>22</v>
      </c>
      <c r="E1601" s="6" t="str">
        <f>"戴依慧"</f>
        <v>戴依慧</v>
      </c>
      <c r="F1601" s="6" t="str">
        <f t="shared" si="104"/>
        <v>女</v>
      </c>
    </row>
    <row r="1602" spans="1:6" ht="30" customHeight="1">
      <c r="A1602" s="6">
        <v>1600</v>
      </c>
      <c r="B1602" s="6" t="str">
        <f>"530020230601113122106425"</f>
        <v>530020230601113122106425</v>
      </c>
      <c r="C1602" s="6" t="str">
        <f t="shared" si="105"/>
        <v>0203</v>
      </c>
      <c r="D1602" s="6" t="s">
        <v>22</v>
      </c>
      <c r="E1602" s="6" t="str">
        <f>"张华"</f>
        <v>张华</v>
      </c>
      <c r="F1602" s="6" t="str">
        <f t="shared" si="104"/>
        <v>女</v>
      </c>
    </row>
    <row r="1603" spans="1:6" ht="30" customHeight="1">
      <c r="A1603" s="6">
        <v>1601</v>
      </c>
      <c r="B1603" s="6" t="str">
        <f>"530020230601113844106460"</f>
        <v>530020230601113844106460</v>
      </c>
      <c r="C1603" s="6" t="str">
        <f t="shared" si="105"/>
        <v>0203</v>
      </c>
      <c r="D1603" s="6" t="s">
        <v>22</v>
      </c>
      <c r="E1603" s="6" t="str">
        <f>"陈丽云"</f>
        <v>陈丽云</v>
      </c>
      <c r="F1603" s="6" t="str">
        <f t="shared" si="104"/>
        <v>女</v>
      </c>
    </row>
    <row r="1604" spans="1:6" ht="30" customHeight="1">
      <c r="A1604" s="6">
        <v>1602</v>
      </c>
      <c r="B1604" s="6" t="str">
        <f>"530020230601112706106403"</f>
        <v>530020230601112706106403</v>
      </c>
      <c r="C1604" s="6" t="str">
        <f t="shared" si="105"/>
        <v>0203</v>
      </c>
      <c r="D1604" s="6" t="s">
        <v>22</v>
      </c>
      <c r="E1604" s="6" t="str">
        <f>"李倩"</f>
        <v>李倩</v>
      </c>
      <c r="F1604" s="6" t="str">
        <f t="shared" si="104"/>
        <v>女</v>
      </c>
    </row>
    <row r="1605" spans="1:6" ht="30" customHeight="1">
      <c r="A1605" s="6">
        <v>1603</v>
      </c>
      <c r="B1605" s="6" t="str">
        <f>"530020230530233419100878"</f>
        <v>530020230530233419100878</v>
      </c>
      <c r="C1605" s="6" t="str">
        <f t="shared" si="105"/>
        <v>0203</v>
      </c>
      <c r="D1605" s="6" t="s">
        <v>22</v>
      </c>
      <c r="E1605" s="6" t="str">
        <f>"陈梨秀"</f>
        <v>陈梨秀</v>
      </c>
      <c r="F1605" s="6" t="str">
        <f t="shared" si="104"/>
        <v>女</v>
      </c>
    </row>
    <row r="1606" spans="1:6" ht="30" customHeight="1">
      <c r="A1606" s="6">
        <v>1604</v>
      </c>
      <c r="B1606" s="6" t="str">
        <f>"53002023053010201296613"</f>
        <v>53002023053010201296613</v>
      </c>
      <c r="C1606" s="6" t="str">
        <f t="shared" si="105"/>
        <v>0203</v>
      </c>
      <c r="D1606" s="6" t="s">
        <v>22</v>
      </c>
      <c r="E1606" s="6" t="str">
        <f>"欧琳琳"</f>
        <v>欧琳琳</v>
      </c>
      <c r="F1606" s="6" t="str">
        <f t="shared" si="104"/>
        <v>女</v>
      </c>
    </row>
    <row r="1607" spans="1:6" ht="30" customHeight="1">
      <c r="A1607" s="6">
        <v>1605</v>
      </c>
      <c r="B1607" s="6" t="str">
        <f>"530020230601081727105271"</f>
        <v>530020230601081727105271</v>
      </c>
      <c r="C1607" s="6" t="str">
        <f t="shared" si="105"/>
        <v>0203</v>
      </c>
      <c r="D1607" s="6" t="s">
        <v>22</v>
      </c>
      <c r="E1607" s="6" t="str">
        <f>"王光妹"</f>
        <v>王光妹</v>
      </c>
      <c r="F1607" s="6" t="str">
        <f t="shared" si="104"/>
        <v>女</v>
      </c>
    </row>
    <row r="1608" spans="1:6" ht="30" customHeight="1">
      <c r="A1608" s="6">
        <v>1606</v>
      </c>
      <c r="B1608" s="6" t="str">
        <f>"530020230601122027106658"</f>
        <v>530020230601122027106658</v>
      </c>
      <c r="C1608" s="6" t="str">
        <f t="shared" si="105"/>
        <v>0203</v>
      </c>
      <c r="D1608" s="6" t="s">
        <v>22</v>
      </c>
      <c r="E1608" s="6" t="str">
        <f>"吴小婷"</f>
        <v>吴小婷</v>
      </c>
      <c r="F1608" s="6" t="str">
        <f t="shared" si="104"/>
        <v>女</v>
      </c>
    </row>
    <row r="1609" spans="1:6" ht="30" customHeight="1">
      <c r="A1609" s="6">
        <v>1607</v>
      </c>
      <c r="B1609" s="6" t="str">
        <f>"530020230531214139104719"</f>
        <v>530020230531214139104719</v>
      </c>
      <c r="C1609" s="6" t="str">
        <f t="shared" si="105"/>
        <v>0203</v>
      </c>
      <c r="D1609" s="6" t="s">
        <v>22</v>
      </c>
      <c r="E1609" s="6" t="str">
        <f>"李丽"</f>
        <v>李丽</v>
      </c>
      <c r="F1609" s="6" t="str">
        <f t="shared" si="104"/>
        <v>女</v>
      </c>
    </row>
    <row r="1610" spans="1:6" ht="30" customHeight="1">
      <c r="A1610" s="6">
        <v>1608</v>
      </c>
      <c r="B1610" s="6" t="str">
        <f>"530020230601132724106920"</f>
        <v>530020230601132724106920</v>
      </c>
      <c r="C1610" s="6" t="str">
        <f t="shared" si="105"/>
        <v>0203</v>
      </c>
      <c r="D1610" s="6" t="s">
        <v>22</v>
      </c>
      <c r="E1610" s="6" t="str">
        <f>"陈少惠"</f>
        <v>陈少惠</v>
      </c>
      <c r="F1610" s="6" t="str">
        <f t="shared" si="104"/>
        <v>女</v>
      </c>
    </row>
    <row r="1611" spans="1:6" ht="30" customHeight="1">
      <c r="A1611" s="6">
        <v>1609</v>
      </c>
      <c r="B1611" s="6" t="str">
        <f>"53002023052714422684943"</f>
        <v>53002023052714422684943</v>
      </c>
      <c r="C1611" s="6" t="str">
        <f t="shared" si="105"/>
        <v>0203</v>
      </c>
      <c r="D1611" s="6" t="s">
        <v>22</v>
      </c>
      <c r="E1611" s="6" t="str">
        <f>"张煦晗"</f>
        <v>张煦晗</v>
      </c>
      <c r="F1611" s="6" t="str">
        <f t="shared" si="104"/>
        <v>女</v>
      </c>
    </row>
    <row r="1612" spans="1:6" ht="30" customHeight="1">
      <c r="A1612" s="6">
        <v>1610</v>
      </c>
      <c r="B1612" s="6" t="str">
        <f>"530020230601150140107247"</f>
        <v>530020230601150140107247</v>
      </c>
      <c r="C1612" s="6" t="str">
        <f t="shared" si="105"/>
        <v>0203</v>
      </c>
      <c r="D1612" s="6" t="s">
        <v>22</v>
      </c>
      <c r="E1612" s="6" t="str">
        <f>"王蔚"</f>
        <v>王蔚</v>
      </c>
      <c r="F1612" s="6" t="str">
        <f t="shared" si="104"/>
        <v>女</v>
      </c>
    </row>
    <row r="1613" spans="1:6" ht="30" customHeight="1">
      <c r="A1613" s="6">
        <v>1611</v>
      </c>
      <c r="B1613" s="6" t="str">
        <f>"530020230601145553107226"</f>
        <v>530020230601145553107226</v>
      </c>
      <c r="C1613" s="6" t="str">
        <f t="shared" si="105"/>
        <v>0203</v>
      </c>
      <c r="D1613" s="6" t="s">
        <v>22</v>
      </c>
      <c r="E1613" s="6" t="str">
        <f>"邵秋语"</f>
        <v>邵秋语</v>
      </c>
      <c r="F1613" s="6" t="str">
        <f t="shared" si="104"/>
        <v>女</v>
      </c>
    </row>
    <row r="1614" spans="1:6" ht="30" customHeight="1">
      <c r="A1614" s="6">
        <v>1612</v>
      </c>
      <c r="B1614" s="6" t="str">
        <f>"530020230601150547107258"</f>
        <v>530020230601150547107258</v>
      </c>
      <c r="C1614" s="6" t="str">
        <f t="shared" si="105"/>
        <v>0203</v>
      </c>
      <c r="D1614" s="6" t="s">
        <v>22</v>
      </c>
      <c r="E1614" s="6" t="str">
        <f>"翁美玉"</f>
        <v>翁美玉</v>
      </c>
      <c r="F1614" s="6" t="str">
        <f t="shared" si="104"/>
        <v>女</v>
      </c>
    </row>
    <row r="1615" spans="1:6" ht="30" customHeight="1">
      <c r="A1615" s="6">
        <v>1613</v>
      </c>
      <c r="B1615" s="6" t="str">
        <f>"530020230531162551103638"</f>
        <v>530020230531162551103638</v>
      </c>
      <c r="C1615" s="6" t="str">
        <f t="shared" si="105"/>
        <v>0203</v>
      </c>
      <c r="D1615" s="6" t="s">
        <v>22</v>
      </c>
      <c r="E1615" s="6" t="str">
        <f>"羊艳花"</f>
        <v>羊艳花</v>
      </c>
      <c r="F1615" s="6" t="str">
        <f t="shared" si="104"/>
        <v>女</v>
      </c>
    </row>
    <row r="1616" spans="1:6" ht="30" customHeight="1">
      <c r="A1616" s="6">
        <v>1614</v>
      </c>
      <c r="B1616" s="6" t="str">
        <f>"530020230601154102107436"</f>
        <v>530020230601154102107436</v>
      </c>
      <c r="C1616" s="6" t="str">
        <f t="shared" si="105"/>
        <v>0203</v>
      </c>
      <c r="D1616" s="6" t="s">
        <v>22</v>
      </c>
      <c r="E1616" s="6" t="str">
        <f>"陈青联"</f>
        <v>陈青联</v>
      </c>
      <c r="F1616" s="6" t="str">
        <f t="shared" si="104"/>
        <v>女</v>
      </c>
    </row>
    <row r="1617" spans="1:6" ht="30" customHeight="1">
      <c r="A1617" s="6">
        <v>1615</v>
      </c>
      <c r="B1617" s="6" t="str">
        <f>"530020230531203641104473"</f>
        <v>530020230531203641104473</v>
      </c>
      <c r="C1617" s="6" t="str">
        <f t="shared" si="105"/>
        <v>0203</v>
      </c>
      <c r="D1617" s="6" t="s">
        <v>22</v>
      </c>
      <c r="E1617" s="6" t="str">
        <f>"张鼎飞"</f>
        <v>张鼎飞</v>
      </c>
      <c r="F1617" s="6" t="str">
        <f t="shared" si="104"/>
        <v>女</v>
      </c>
    </row>
    <row r="1618" spans="1:6" ht="30" customHeight="1">
      <c r="A1618" s="6">
        <v>1616</v>
      </c>
      <c r="B1618" s="6" t="str">
        <f>"530020230601160121107521"</f>
        <v>530020230601160121107521</v>
      </c>
      <c r="C1618" s="6" t="str">
        <f t="shared" si="105"/>
        <v>0203</v>
      </c>
      <c r="D1618" s="6" t="s">
        <v>22</v>
      </c>
      <c r="E1618" s="6" t="str">
        <f>"王新乾"</f>
        <v>王新乾</v>
      </c>
      <c r="F1618" s="6" t="str">
        <f t="shared" si="104"/>
        <v>女</v>
      </c>
    </row>
    <row r="1619" spans="1:6" ht="30" customHeight="1">
      <c r="A1619" s="6">
        <v>1617</v>
      </c>
      <c r="B1619" s="6" t="str">
        <f>"530020230601155333107495"</f>
        <v>530020230601155333107495</v>
      </c>
      <c r="C1619" s="6" t="str">
        <f t="shared" si="105"/>
        <v>0203</v>
      </c>
      <c r="D1619" s="6" t="s">
        <v>22</v>
      </c>
      <c r="E1619" s="6" t="str">
        <f>"何娇"</f>
        <v>何娇</v>
      </c>
      <c r="F1619" s="6" t="str">
        <f t="shared" si="104"/>
        <v>女</v>
      </c>
    </row>
    <row r="1620" spans="1:6" ht="30" customHeight="1">
      <c r="A1620" s="6">
        <v>1618</v>
      </c>
      <c r="B1620" s="6" t="str">
        <f>"530020230601154406107457"</f>
        <v>530020230601154406107457</v>
      </c>
      <c r="C1620" s="6" t="str">
        <f t="shared" si="105"/>
        <v>0203</v>
      </c>
      <c r="D1620" s="6" t="s">
        <v>22</v>
      </c>
      <c r="E1620" s="6" t="str">
        <f>"韦温馨"</f>
        <v>韦温馨</v>
      </c>
      <c r="F1620" s="6" t="str">
        <f t="shared" si="104"/>
        <v>女</v>
      </c>
    </row>
    <row r="1621" spans="1:6" ht="30" customHeight="1">
      <c r="A1621" s="6">
        <v>1619</v>
      </c>
      <c r="B1621" s="6" t="str">
        <f>"530020230531095843101762"</f>
        <v>530020230531095843101762</v>
      </c>
      <c r="C1621" s="6" t="str">
        <f t="shared" si="105"/>
        <v>0203</v>
      </c>
      <c r="D1621" s="6" t="s">
        <v>22</v>
      </c>
      <c r="E1621" s="6" t="str">
        <f>"王强"</f>
        <v>王强</v>
      </c>
      <c r="F1621" s="6" t="str">
        <f>"男"</f>
        <v>男</v>
      </c>
    </row>
    <row r="1622" spans="1:6" ht="30" customHeight="1">
      <c r="A1622" s="6">
        <v>1620</v>
      </c>
      <c r="B1622" s="6" t="str">
        <f>"530020230601164755107730"</f>
        <v>530020230601164755107730</v>
      </c>
      <c r="C1622" s="6" t="str">
        <f t="shared" si="105"/>
        <v>0203</v>
      </c>
      <c r="D1622" s="6" t="s">
        <v>22</v>
      </c>
      <c r="E1622" s="6" t="str">
        <f>"李秋香"</f>
        <v>李秋香</v>
      </c>
      <c r="F1622" s="6" t="str">
        <f aca="true" t="shared" si="106" ref="F1622:F1644">"女"</f>
        <v>女</v>
      </c>
    </row>
    <row r="1623" spans="1:6" ht="30" customHeight="1">
      <c r="A1623" s="6">
        <v>1621</v>
      </c>
      <c r="B1623" s="6" t="str">
        <f>"530020230531170901103851"</f>
        <v>530020230531170901103851</v>
      </c>
      <c r="C1623" s="6" t="str">
        <f t="shared" si="105"/>
        <v>0203</v>
      </c>
      <c r="D1623" s="6" t="s">
        <v>22</v>
      </c>
      <c r="E1623" s="6" t="str">
        <f>"潘璐瑶"</f>
        <v>潘璐瑶</v>
      </c>
      <c r="F1623" s="6" t="str">
        <f t="shared" si="106"/>
        <v>女</v>
      </c>
    </row>
    <row r="1624" spans="1:6" ht="30" customHeight="1">
      <c r="A1624" s="6">
        <v>1622</v>
      </c>
      <c r="B1624" s="6" t="str">
        <f>"530020230601171332107846"</f>
        <v>530020230601171332107846</v>
      </c>
      <c r="C1624" s="6" t="str">
        <f t="shared" si="105"/>
        <v>0203</v>
      </c>
      <c r="D1624" s="6" t="s">
        <v>22</v>
      </c>
      <c r="E1624" s="6" t="str">
        <f>"王敏"</f>
        <v>王敏</v>
      </c>
      <c r="F1624" s="6" t="str">
        <f t="shared" si="106"/>
        <v>女</v>
      </c>
    </row>
    <row r="1625" spans="1:6" ht="30" customHeight="1">
      <c r="A1625" s="6">
        <v>1623</v>
      </c>
      <c r="B1625" s="6" t="str">
        <f>"530020230601173320107917"</f>
        <v>530020230601173320107917</v>
      </c>
      <c r="C1625" s="6" t="str">
        <f t="shared" si="105"/>
        <v>0203</v>
      </c>
      <c r="D1625" s="6" t="s">
        <v>22</v>
      </c>
      <c r="E1625" s="6" t="str">
        <f>"陈乙红"</f>
        <v>陈乙红</v>
      </c>
      <c r="F1625" s="6" t="str">
        <f t="shared" si="106"/>
        <v>女</v>
      </c>
    </row>
    <row r="1626" spans="1:6" ht="30" customHeight="1">
      <c r="A1626" s="6">
        <v>1624</v>
      </c>
      <c r="B1626" s="6" t="str">
        <f>"530020230601175729107999"</f>
        <v>530020230601175729107999</v>
      </c>
      <c r="C1626" s="6" t="str">
        <f t="shared" si="105"/>
        <v>0203</v>
      </c>
      <c r="D1626" s="6" t="s">
        <v>22</v>
      </c>
      <c r="E1626" s="6" t="str">
        <f>"王亚惠"</f>
        <v>王亚惠</v>
      </c>
      <c r="F1626" s="6" t="str">
        <f t="shared" si="106"/>
        <v>女</v>
      </c>
    </row>
    <row r="1627" spans="1:6" ht="30" customHeight="1">
      <c r="A1627" s="6">
        <v>1625</v>
      </c>
      <c r="B1627" s="6" t="str">
        <f>"530020230601180913108037"</f>
        <v>530020230601180913108037</v>
      </c>
      <c r="C1627" s="6" t="str">
        <f t="shared" si="105"/>
        <v>0203</v>
      </c>
      <c r="D1627" s="6" t="s">
        <v>22</v>
      </c>
      <c r="E1627" s="6" t="str">
        <f>"吴依洁"</f>
        <v>吴依洁</v>
      </c>
      <c r="F1627" s="6" t="str">
        <f t="shared" si="106"/>
        <v>女</v>
      </c>
    </row>
    <row r="1628" spans="1:6" ht="30" customHeight="1">
      <c r="A1628" s="6">
        <v>1626</v>
      </c>
      <c r="B1628" s="6" t="str">
        <f>"53002023053015422798569"</f>
        <v>53002023053015422798569</v>
      </c>
      <c r="C1628" s="6" t="str">
        <f t="shared" si="105"/>
        <v>0203</v>
      </c>
      <c r="D1628" s="6" t="s">
        <v>22</v>
      </c>
      <c r="E1628" s="6" t="str">
        <f>"李小静"</f>
        <v>李小静</v>
      </c>
      <c r="F1628" s="6" t="str">
        <f t="shared" si="106"/>
        <v>女</v>
      </c>
    </row>
    <row r="1629" spans="1:6" ht="30" customHeight="1">
      <c r="A1629" s="6">
        <v>1627</v>
      </c>
      <c r="B1629" s="6" t="str">
        <f>"530020230601193522108273"</f>
        <v>530020230601193522108273</v>
      </c>
      <c r="C1629" s="6" t="str">
        <f t="shared" si="105"/>
        <v>0203</v>
      </c>
      <c r="D1629" s="6" t="s">
        <v>22</v>
      </c>
      <c r="E1629" s="6" t="str">
        <f>"李文靖"</f>
        <v>李文靖</v>
      </c>
      <c r="F1629" s="6" t="str">
        <f t="shared" si="106"/>
        <v>女</v>
      </c>
    </row>
    <row r="1630" spans="1:6" ht="30" customHeight="1">
      <c r="A1630" s="6">
        <v>1628</v>
      </c>
      <c r="B1630" s="6" t="str">
        <f>"530020230601194829108309"</f>
        <v>530020230601194829108309</v>
      </c>
      <c r="C1630" s="6" t="str">
        <f t="shared" si="105"/>
        <v>0203</v>
      </c>
      <c r="D1630" s="6" t="s">
        <v>22</v>
      </c>
      <c r="E1630" s="6" t="str">
        <f>"秦栏娟"</f>
        <v>秦栏娟</v>
      </c>
      <c r="F1630" s="6" t="str">
        <f t="shared" si="106"/>
        <v>女</v>
      </c>
    </row>
    <row r="1631" spans="1:6" ht="30" customHeight="1">
      <c r="A1631" s="6">
        <v>1629</v>
      </c>
      <c r="B1631" s="6" t="str">
        <f>"53002023053018023799384"</f>
        <v>53002023053018023799384</v>
      </c>
      <c r="C1631" s="6" t="str">
        <f t="shared" si="105"/>
        <v>0203</v>
      </c>
      <c r="D1631" s="6" t="s">
        <v>22</v>
      </c>
      <c r="E1631" s="6" t="str">
        <f>"刘芳燕"</f>
        <v>刘芳燕</v>
      </c>
      <c r="F1631" s="6" t="str">
        <f t="shared" si="106"/>
        <v>女</v>
      </c>
    </row>
    <row r="1632" spans="1:6" ht="30" customHeight="1">
      <c r="A1632" s="6">
        <v>1630</v>
      </c>
      <c r="B1632" s="6" t="str">
        <f>"530020230601201229108376"</f>
        <v>530020230601201229108376</v>
      </c>
      <c r="C1632" s="6" t="str">
        <f t="shared" si="105"/>
        <v>0203</v>
      </c>
      <c r="D1632" s="6" t="s">
        <v>22</v>
      </c>
      <c r="E1632" s="6" t="str">
        <f>"麦洁梅"</f>
        <v>麦洁梅</v>
      </c>
      <c r="F1632" s="6" t="str">
        <f t="shared" si="106"/>
        <v>女</v>
      </c>
    </row>
    <row r="1633" spans="1:6" ht="30" customHeight="1">
      <c r="A1633" s="6">
        <v>1631</v>
      </c>
      <c r="B1633" s="6" t="str">
        <f>"53002023052916373793414"</f>
        <v>53002023052916373793414</v>
      </c>
      <c r="C1633" s="6" t="str">
        <f t="shared" si="105"/>
        <v>0203</v>
      </c>
      <c r="D1633" s="6" t="s">
        <v>22</v>
      </c>
      <c r="E1633" s="6" t="str">
        <f>"彭楚璎"</f>
        <v>彭楚璎</v>
      </c>
      <c r="F1633" s="6" t="str">
        <f t="shared" si="106"/>
        <v>女</v>
      </c>
    </row>
    <row r="1634" spans="1:6" ht="30" customHeight="1">
      <c r="A1634" s="6">
        <v>1632</v>
      </c>
      <c r="B1634" s="6" t="str">
        <f>"530020230601191643108226"</f>
        <v>530020230601191643108226</v>
      </c>
      <c r="C1634" s="6" t="str">
        <f t="shared" si="105"/>
        <v>0203</v>
      </c>
      <c r="D1634" s="6" t="s">
        <v>22</v>
      </c>
      <c r="E1634" s="6" t="str">
        <f>"林小娇"</f>
        <v>林小娇</v>
      </c>
      <c r="F1634" s="6" t="str">
        <f t="shared" si="106"/>
        <v>女</v>
      </c>
    </row>
    <row r="1635" spans="1:6" ht="30" customHeight="1">
      <c r="A1635" s="6">
        <v>1633</v>
      </c>
      <c r="B1635" s="6" t="str">
        <f>"53002023052817122088064"</f>
        <v>53002023052817122088064</v>
      </c>
      <c r="C1635" s="6" t="str">
        <f t="shared" si="105"/>
        <v>0203</v>
      </c>
      <c r="D1635" s="6" t="s">
        <v>22</v>
      </c>
      <c r="E1635" s="6" t="str">
        <f>"李石燕"</f>
        <v>李石燕</v>
      </c>
      <c r="F1635" s="6" t="str">
        <f t="shared" si="106"/>
        <v>女</v>
      </c>
    </row>
    <row r="1636" spans="1:6" ht="30" customHeight="1">
      <c r="A1636" s="6">
        <v>1634</v>
      </c>
      <c r="B1636" s="6" t="str">
        <f>"530020230531102905101976"</f>
        <v>530020230531102905101976</v>
      </c>
      <c r="C1636" s="6" t="str">
        <f t="shared" si="105"/>
        <v>0203</v>
      </c>
      <c r="D1636" s="6" t="s">
        <v>22</v>
      </c>
      <c r="E1636" s="6" t="str">
        <f>"唐娇"</f>
        <v>唐娇</v>
      </c>
      <c r="F1636" s="6" t="str">
        <f t="shared" si="106"/>
        <v>女</v>
      </c>
    </row>
    <row r="1637" spans="1:6" ht="30" customHeight="1">
      <c r="A1637" s="6">
        <v>1635</v>
      </c>
      <c r="B1637" s="6" t="str">
        <f>"530020230601195009108315"</f>
        <v>530020230601195009108315</v>
      </c>
      <c r="C1637" s="6" t="str">
        <f t="shared" si="105"/>
        <v>0203</v>
      </c>
      <c r="D1637" s="6" t="s">
        <v>22</v>
      </c>
      <c r="E1637" s="6" t="str">
        <f>"陈惠贞"</f>
        <v>陈惠贞</v>
      </c>
      <c r="F1637" s="6" t="str">
        <f t="shared" si="106"/>
        <v>女</v>
      </c>
    </row>
    <row r="1638" spans="1:6" ht="30" customHeight="1">
      <c r="A1638" s="6">
        <v>1636</v>
      </c>
      <c r="B1638" s="6" t="str">
        <f>"530020230601211821108599"</f>
        <v>530020230601211821108599</v>
      </c>
      <c r="C1638" s="6" t="str">
        <f t="shared" si="105"/>
        <v>0203</v>
      </c>
      <c r="D1638" s="6" t="s">
        <v>22</v>
      </c>
      <c r="E1638" s="6" t="str">
        <f>"张达娟"</f>
        <v>张达娟</v>
      </c>
      <c r="F1638" s="6" t="str">
        <f t="shared" si="106"/>
        <v>女</v>
      </c>
    </row>
    <row r="1639" spans="1:6" ht="30" customHeight="1">
      <c r="A1639" s="6">
        <v>1637</v>
      </c>
      <c r="B1639" s="6" t="str">
        <f>"530020230601213648108666"</f>
        <v>530020230601213648108666</v>
      </c>
      <c r="C1639" s="6" t="str">
        <f t="shared" si="105"/>
        <v>0203</v>
      </c>
      <c r="D1639" s="6" t="s">
        <v>22</v>
      </c>
      <c r="E1639" s="6" t="str">
        <f>"孙娴"</f>
        <v>孙娴</v>
      </c>
      <c r="F1639" s="6" t="str">
        <f t="shared" si="106"/>
        <v>女</v>
      </c>
    </row>
    <row r="1640" spans="1:6" ht="30" customHeight="1">
      <c r="A1640" s="6">
        <v>1638</v>
      </c>
      <c r="B1640" s="6" t="str">
        <f>"53002023053016202598807"</f>
        <v>53002023053016202598807</v>
      </c>
      <c r="C1640" s="6" t="str">
        <f t="shared" si="105"/>
        <v>0203</v>
      </c>
      <c r="D1640" s="6" t="s">
        <v>22</v>
      </c>
      <c r="E1640" s="6" t="str">
        <f>"曾庆炎"</f>
        <v>曾庆炎</v>
      </c>
      <c r="F1640" s="6" t="str">
        <f t="shared" si="106"/>
        <v>女</v>
      </c>
    </row>
    <row r="1641" spans="1:6" ht="30" customHeight="1">
      <c r="A1641" s="6">
        <v>1639</v>
      </c>
      <c r="B1641" s="6" t="str">
        <f>"530020230601220341108770"</f>
        <v>530020230601220341108770</v>
      </c>
      <c r="C1641" s="6" t="str">
        <f t="shared" si="105"/>
        <v>0203</v>
      </c>
      <c r="D1641" s="6" t="s">
        <v>22</v>
      </c>
      <c r="E1641" s="6" t="str">
        <f>"桂小孟"</f>
        <v>桂小孟</v>
      </c>
      <c r="F1641" s="6" t="str">
        <f t="shared" si="106"/>
        <v>女</v>
      </c>
    </row>
    <row r="1642" spans="1:6" ht="30" customHeight="1">
      <c r="A1642" s="6">
        <v>1640</v>
      </c>
      <c r="B1642" s="6" t="str">
        <f>"530020230601212700108624"</f>
        <v>530020230601212700108624</v>
      </c>
      <c r="C1642" s="6" t="str">
        <f t="shared" si="105"/>
        <v>0203</v>
      </c>
      <c r="D1642" s="6" t="s">
        <v>22</v>
      </c>
      <c r="E1642" s="6" t="str">
        <f>"卓碧佳"</f>
        <v>卓碧佳</v>
      </c>
      <c r="F1642" s="6" t="str">
        <f t="shared" si="106"/>
        <v>女</v>
      </c>
    </row>
    <row r="1643" spans="1:6" ht="30" customHeight="1">
      <c r="A1643" s="6">
        <v>1641</v>
      </c>
      <c r="B1643" s="6" t="str">
        <f>"530020230601215634108746"</f>
        <v>530020230601215634108746</v>
      </c>
      <c r="C1643" s="6" t="str">
        <f t="shared" si="105"/>
        <v>0203</v>
      </c>
      <c r="D1643" s="6" t="s">
        <v>22</v>
      </c>
      <c r="E1643" s="6" t="str">
        <f>"唐容"</f>
        <v>唐容</v>
      </c>
      <c r="F1643" s="6" t="str">
        <f t="shared" si="106"/>
        <v>女</v>
      </c>
    </row>
    <row r="1644" spans="1:6" ht="30" customHeight="1">
      <c r="A1644" s="6">
        <v>1642</v>
      </c>
      <c r="B1644" s="6" t="str">
        <f>"530020230601222117108857"</f>
        <v>530020230601222117108857</v>
      </c>
      <c r="C1644" s="6" t="str">
        <f t="shared" si="105"/>
        <v>0203</v>
      </c>
      <c r="D1644" s="6" t="s">
        <v>22</v>
      </c>
      <c r="E1644" s="6" t="str">
        <f>"叶秀如"</f>
        <v>叶秀如</v>
      </c>
      <c r="F1644" s="6" t="str">
        <f t="shared" si="106"/>
        <v>女</v>
      </c>
    </row>
    <row r="1645" spans="1:6" ht="30" customHeight="1">
      <c r="A1645" s="6">
        <v>1643</v>
      </c>
      <c r="B1645" s="6" t="str">
        <f>"530020230601215657108749"</f>
        <v>530020230601215657108749</v>
      </c>
      <c r="C1645" s="6" t="str">
        <f t="shared" si="105"/>
        <v>0203</v>
      </c>
      <c r="D1645" s="6" t="s">
        <v>22</v>
      </c>
      <c r="E1645" s="6" t="str">
        <f>"许文"</f>
        <v>许文</v>
      </c>
      <c r="F1645" s="6" t="str">
        <f>"男"</f>
        <v>男</v>
      </c>
    </row>
    <row r="1646" spans="1:6" ht="30" customHeight="1">
      <c r="A1646" s="6">
        <v>1644</v>
      </c>
      <c r="B1646" s="6" t="str">
        <f>"53002023052923510695602"</f>
        <v>53002023052923510695602</v>
      </c>
      <c r="C1646" s="6" t="str">
        <f t="shared" si="105"/>
        <v>0203</v>
      </c>
      <c r="D1646" s="6" t="s">
        <v>22</v>
      </c>
      <c r="E1646" s="6" t="str">
        <f>"黄玲艳"</f>
        <v>黄玲艳</v>
      </c>
      <c r="F1646" s="6" t="str">
        <f>"女"</f>
        <v>女</v>
      </c>
    </row>
    <row r="1647" spans="1:6" ht="30" customHeight="1">
      <c r="A1647" s="6">
        <v>1645</v>
      </c>
      <c r="B1647" s="6" t="str">
        <f>"530020230601152417107356"</f>
        <v>530020230601152417107356</v>
      </c>
      <c r="C1647" s="6" t="str">
        <f t="shared" si="105"/>
        <v>0203</v>
      </c>
      <c r="D1647" s="6" t="s">
        <v>22</v>
      </c>
      <c r="E1647" s="6" t="str">
        <f>"徐明君"</f>
        <v>徐明君</v>
      </c>
      <c r="F1647" s="6" t="str">
        <f>"男"</f>
        <v>男</v>
      </c>
    </row>
    <row r="1648" spans="1:6" ht="30" customHeight="1">
      <c r="A1648" s="6">
        <v>1646</v>
      </c>
      <c r="B1648" s="6" t="str">
        <f>"530020230601175721107997"</f>
        <v>530020230601175721107997</v>
      </c>
      <c r="C1648" s="6" t="str">
        <f t="shared" si="105"/>
        <v>0203</v>
      </c>
      <c r="D1648" s="6" t="s">
        <v>22</v>
      </c>
      <c r="E1648" s="6" t="str">
        <f>"何美玉"</f>
        <v>何美玉</v>
      </c>
      <c r="F1648" s="6" t="str">
        <f aca="true" t="shared" si="107" ref="F1648:F1700">"女"</f>
        <v>女</v>
      </c>
    </row>
    <row r="1649" spans="1:6" ht="30" customHeight="1">
      <c r="A1649" s="6">
        <v>1647</v>
      </c>
      <c r="B1649" s="6" t="str">
        <f>"530020230601230342109003"</f>
        <v>530020230601230342109003</v>
      </c>
      <c r="C1649" s="6" t="str">
        <f t="shared" si="105"/>
        <v>0203</v>
      </c>
      <c r="D1649" s="6" t="s">
        <v>22</v>
      </c>
      <c r="E1649" s="6" t="str">
        <f>"张红"</f>
        <v>张红</v>
      </c>
      <c r="F1649" s="6" t="str">
        <f t="shared" si="107"/>
        <v>女</v>
      </c>
    </row>
    <row r="1650" spans="1:6" ht="30" customHeight="1">
      <c r="A1650" s="6">
        <v>1648</v>
      </c>
      <c r="B1650" s="6" t="str">
        <f>"530020230601232016109043"</f>
        <v>530020230601232016109043</v>
      </c>
      <c r="C1650" s="6" t="str">
        <f t="shared" si="105"/>
        <v>0203</v>
      </c>
      <c r="D1650" s="6" t="s">
        <v>22</v>
      </c>
      <c r="E1650" s="6" t="str">
        <f>"王凯"</f>
        <v>王凯</v>
      </c>
      <c r="F1650" s="6" t="str">
        <f t="shared" si="107"/>
        <v>女</v>
      </c>
    </row>
    <row r="1651" spans="1:6" ht="30" customHeight="1">
      <c r="A1651" s="6">
        <v>1649</v>
      </c>
      <c r="B1651" s="6" t="str">
        <f>"530020230601233547109085"</f>
        <v>530020230601233547109085</v>
      </c>
      <c r="C1651" s="6" t="str">
        <f t="shared" si="105"/>
        <v>0203</v>
      </c>
      <c r="D1651" s="6" t="s">
        <v>22</v>
      </c>
      <c r="E1651" s="6" t="str">
        <f>"邢维娜"</f>
        <v>邢维娜</v>
      </c>
      <c r="F1651" s="6" t="str">
        <f t="shared" si="107"/>
        <v>女</v>
      </c>
    </row>
    <row r="1652" spans="1:6" ht="30" customHeight="1">
      <c r="A1652" s="6">
        <v>1650</v>
      </c>
      <c r="B1652" s="6" t="str">
        <f>"530020230531093922101616"</f>
        <v>530020230531093922101616</v>
      </c>
      <c r="C1652" s="6" t="str">
        <f t="shared" si="105"/>
        <v>0203</v>
      </c>
      <c r="D1652" s="6" t="s">
        <v>22</v>
      </c>
      <c r="E1652" s="6" t="str">
        <f>"陈春潼"</f>
        <v>陈春潼</v>
      </c>
      <c r="F1652" s="6" t="str">
        <f t="shared" si="107"/>
        <v>女</v>
      </c>
    </row>
    <row r="1653" spans="1:6" ht="30" customHeight="1">
      <c r="A1653" s="6">
        <v>1651</v>
      </c>
      <c r="B1653" s="6" t="str">
        <f>"530020230601233746109090"</f>
        <v>530020230601233746109090</v>
      </c>
      <c r="C1653" s="6" t="str">
        <f aca="true" t="shared" si="108" ref="C1653:C1699">"0203"</f>
        <v>0203</v>
      </c>
      <c r="D1653" s="6" t="s">
        <v>22</v>
      </c>
      <c r="E1653" s="6" t="str">
        <f>"陈彩娥"</f>
        <v>陈彩娥</v>
      </c>
      <c r="F1653" s="6" t="str">
        <f t="shared" si="107"/>
        <v>女</v>
      </c>
    </row>
    <row r="1654" spans="1:6" ht="30" customHeight="1">
      <c r="A1654" s="6">
        <v>1652</v>
      </c>
      <c r="B1654" s="6" t="str">
        <f>"530020230602000717109145"</f>
        <v>530020230602000717109145</v>
      </c>
      <c r="C1654" s="6" t="str">
        <f t="shared" si="108"/>
        <v>0203</v>
      </c>
      <c r="D1654" s="6" t="s">
        <v>22</v>
      </c>
      <c r="E1654" s="6" t="str">
        <f>"苏桂英"</f>
        <v>苏桂英</v>
      </c>
      <c r="F1654" s="6" t="str">
        <f t="shared" si="107"/>
        <v>女</v>
      </c>
    </row>
    <row r="1655" spans="1:6" ht="30" customHeight="1">
      <c r="A1655" s="6">
        <v>1653</v>
      </c>
      <c r="B1655" s="6" t="str">
        <f>"530020230601233902109093"</f>
        <v>530020230601233902109093</v>
      </c>
      <c r="C1655" s="6" t="str">
        <f t="shared" si="108"/>
        <v>0203</v>
      </c>
      <c r="D1655" s="6" t="s">
        <v>22</v>
      </c>
      <c r="E1655" s="6" t="str">
        <f>"宋轲莉"</f>
        <v>宋轲莉</v>
      </c>
      <c r="F1655" s="6" t="str">
        <f t="shared" si="107"/>
        <v>女</v>
      </c>
    </row>
    <row r="1656" spans="1:6" ht="30" customHeight="1">
      <c r="A1656" s="6">
        <v>1654</v>
      </c>
      <c r="B1656" s="6" t="str">
        <f>"530020230531125552102771"</f>
        <v>530020230531125552102771</v>
      </c>
      <c r="C1656" s="6" t="str">
        <f t="shared" si="108"/>
        <v>0203</v>
      </c>
      <c r="D1656" s="6" t="s">
        <v>22</v>
      </c>
      <c r="E1656" s="6" t="str">
        <f>"唐孟诗"</f>
        <v>唐孟诗</v>
      </c>
      <c r="F1656" s="6" t="str">
        <f t="shared" si="107"/>
        <v>女</v>
      </c>
    </row>
    <row r="1657" spans="1:6" ht="30" customHeight="1">
      <c r="A1657" s="6">
        <v>1655</v>
      </c>
      <c r="B1657" s="6" t="str">
        <f>"530020230602001409109155"</f>
        <v>530020230602001409109155</v>
      </c>
      <c r="C1657" s="6" t="str">
        <f t="shared" si="108"/>
        <v>0203</v>
      </c>
      <c r="D1657" s="6" t="s">
        <v>22</v>
      </c>
      <c r="E1657" s="6" t="str">
        <f>"刘易菲"</f>
        <v>刘易菲</v>
      </c>
      <c r="F1657" s="6" t="str">
        <f t="shared" si="107"/>
        <v>女</v>
      </c>
    </row>
    <row r="1658" spans="1:6" ht="30" customHeight="1">
      <c r="A1658" s="6">
        <v>1656</v>
      </c>
      <c r="B1658" s="6" t="str">
        <f>"53002023052722403186435"</f>
        <v>53002023052722403186435</v>
      </c>
      <c r="C1658" s="6" t="str">
        <f t="shared" si="108"/>
        <v>0203</v>
      </c>
      <c r="D1658" s="6" t="s">
        <v>22</v>
      </c>
      <c r="E1658" s="6" t="str">
        <f>"符惠瑜"</f>
        <v>符惠瑜</v>
      </c>
      <c r="F1658" s="6" t="str">
        <f t="shared" si="107"/>
        <v>女</v>
      </c>
    </row>
    <row r="1659" spans="1:6" ht="30" customHeight="1">
      <c r="A1659" s="6">
        <v>1657</v>
      </c>
      <c r="B1659" s="6" t="str">
        <f>"530020230602005636109207"</f>
        <v>530020230602005636109207</v>
      </c>
      <c r="C1659" s="6" t="str">
        <f t="shared" si="108"/>
        <v>0203</v>
      </c>
      <c r="D1659" s="6" t="s">
        <v>22</v>
      </c>
      <c r="E1659" s="6" t="str">
        <f>"邝琼容"</f>
        <v>邝琼容</v>
      </c>
      <c r="F1659" s="6" t="str">
        <f t="shared" si="107"/>
        <v>女</v>
      </c>
    </row>
    <row r="1660" spans="1:6" ht="30" customHeight="1">
      <c r="A1660" s="6">
        <v>1658</v>
      </c>
      <c r="B1660" s="6" t="str">
        <f>"530020230602001832109162"</f>
        <v>530020230602001832109162</v>
      </c>
      <c r="C1660" s="6" t="str">
        <f t="shared" si="108"/>
        <v>0203</v>
      </c>
      <c r="D1660" s="6" t="s">
        <v>22</v>
      </c>
      <c r="E1660" s="6" t="str">
        <f>"马晓丽"</f>
        <v>马晓丽</v>
      </c>
      <c r="F1660" s="6" t="str">
        <f t="shared" si="107"/>
        <v>女</v>
      </c>
    </row>
    <row r="1661" spans="1:6" ht="30" customHeight="1">
      <c r="A1661" s="6">
        <v>1659</v>
      </c>
      <c r="B1661" s="6" t="str">
        <f>"530020230602005531109204"</f>
        <v>530020230602005531109204</v>
      </c>
      <c r="C1661" s="6" t="str">
        <f t="shared" si="108"/>
        <v>0203</v>
      </c>
      <c r="D1661" s="6" t="s">
        <v>22</v>
      </c>
      <c r="E1661" s="6" t="str">
        <f>"陈秋庆"</f>
        <v>陈秋庆</v>
      </c>
      <c r="F1661" s="6" t="str">
        <f t="shared" si="107"/>
        <v>女</v>
      </c>
    </row>
    <row r="1662" spans="1:6" ht="30" customHeight="1">
      <c r="A1662" s="6">
        <v>1660</v>
      </c>
      <c r="B1662" s="6" t="str">
        <f>"530020230602005134109197"</f>
        <v>530020230602005134109197</v>
      </c>
      <c r="C1662" s="6" t="str">
        <f t="shared" si="108"/>
        <v>0203</v>
      </c>
      <c r="D1662" s="6" t="s">
        <v>22</v>
      </c>
      <c r="E1662" s="6" t="str">
        <f>"李艳"</f>
        <v>李艳</v>
      </c>
      <c r="F1662" s="6" t="str">
        <f t="shared" si="107"/>
        <v>女</v>
      </c>
    </row>
    <row r="1663" spans="1:6" ht="30" customHeight="1">
      <c r="A1663" s="6">
        <v>1661</v>
      </c>
      <c r="B1663" s="6" t="str">
        <f>"530020230602002202109166"</f>
        <v>530020230602002202109166</v>
      </c>
      <c r="C1663" s="6" t="str">
        <f t="shared" si="108"/>
        <v>0203</v>
      </c>
      <c r="D1663" s="6" t="s">
        <v>22</v>
      </c>
      <c r="E1663" s="6" t="str">
        <f>"廖馨媛"</f>
        <v>廖馨媛</v>
      </c>
      <c r="F1663" s="6" t="str">
        <f t="shared" si="107"/>
        <v>女</v>
      </c>
    </row>
    <row r="1664" spans="1:6" ht="30" customHeight="1">
      <c r="A1664" s="6">
        <v>1662</v>
      </c>
      <c r="B1664" s="6" t="str">
        <f>"530020230602010332109211"</f>
        <v>530020230602010332109211</v>
      </c>
      <c r="C1664" s="6" t="str">
        <f t="shared" si="108"/>
        <v>0203</v>
      </c>
      <c r="D1664" s="6" t="s">
        <v>22</v>
      </c>
      <c r="E1664" s="6" t="str">
        <f>"蒙超莹"</f>
        <v>蒙超莹</v>
      </c>
      <c r="F1664" s="6" t="str">
        <f t="shared" si="107"/>
        <v>女</v>
      </c>
    </row>
    <row r="1665" spans="1:6" ht="30" customHeight="1">
      <c r="A1665" s="6">
        <v>1663</v>
      </c>
      <c r="B1665" s="6" t="str">
        <f>"530020230602053338109264"</f>
        <v>530020230602053338109264</v>
      </c>
      <c r="C1665" s="6" t="str">
        <f t="shared" si="108"/>
        <v>0203</v>
      </c>
      <c r="D1665" s="6" t="s">
        <v>22</v>
      </c>
      <c r="E1665" s="6" t="str">
        <f>"李桃香"</f>
        <v>李桃香</v>
      </c>
      <c r="F1665" s="6" t="str">
        <f t="shared" si="107"/>
        <v>女</v>
      </c>
    </row>
    <row r="1666" spans="1:6" ht="30" customHeight="1">
      <c r="A1666" s="6">
        <v>1664</v>
      </c>
      <c r="B1666" s="6" t="str">
        <f>"530020230601174617107965"</f>
        <v>530020230601174617107965</v>
      </c>
      <c r="C1666" s="6" t="str">
        <f t="shared" si="108"/>
        <v>0203</v>
      </c>
      <c r="D1666" s="6" t="s">
        <v>22</v>
      </c>
      <c r="E1666" s="6" t="str">
        <f>"梁嘉懿"</f>
        <v>梁嘉懿</v>
      </c>
      <c r="F1666" s="6" t="str">
        <f t="shared" si="107"/>
        <v>女</v>
      </c>
    </row>
    <row r="1667" spans="1:6" ht="30" customHeight="1">
      <c r="A1667" s="6">
        <v>1665</v>
      </c>
      <c r="B1667" s="6" t="str">
        <f>"530020230531214220104721"</f>
        <v>530020230531214220104721</v>
      </c>
      <c r="C1667" s="6" t="str">
        <f t="shared" si="108"/>
        <v>0203</v>
      </c>
      <c r="D1667" s="6" t="s">
        <v>22</v>
      </c>
      <c r="E1667" s="6" t="str">
        <f>"陈春桃"</f>
        <v>陈春桃</v>
      </c>
      <c r="F1667" s="6" t="str">
        <f t="shared" si="107"/>
        <v>女</v>
      </c>
    </row>
    <row r="1668" spans="1:6" ht="30" customHeight="1">
      <c r="A1668" s="6">
        <v>1666</v>
      </c>
      <c r="B1668" s="6" t="str">
        <f>"530020230602074003109291"</f>
        <v>530020230602074003109291</v>
      </c>
      <c r="C1668" s="6" t="str">
        <f t="shared" si="108"/>
        <v>0203</v>
      </c>
      <c r="D1668" s="6" t="s">
        <v>22</v>
      </c>
      <c r="E1668" s="6" t="str">
        <f>"李梦蝶"</f>
        <v>李梦蝶</v>
      </c>
      <c r="F1668" s="6" t="str">
        <f t="shared" si="107"/>
        <v>女</v>
      </c>
    </row>
    <row r="1669" spans="1:6" ht="30" customHeight="1">
      <c r="A1669" s="6">
        <v>1667</v>
      </c>
      <c r="B1669" s="6" t="str">
        <f>"530020230601222051108855"</f>
        <v>530020230601222051108855</v>
      </c>
      <c r="C1669" s="6" t="str">
        <f t="shared" si="108"/>
        <v>0203</v>
      </c>
      <c r="D1669" s="6" t="s">
        <v>22</v>
      </c>
      <c r="E1669" s="6" t="str">
        <f>"吴金琼"</f>
        <v>吴金琼</v>
      </c>
      <c r="F1669" s="6" t="str">
        <f t="shared" si="107"/>
        <v>女</v>
      </c>
    </row>
    <row r="1670" spans="1:6" ht="30" customHeight="1">
      <c r="A1670" s="6">
        <v>1668</v>
      </c>
      <c r="B1670" s="6" t="str">
        <f>"530020230601225947108987"</f>
        <v>530020230601225947108987</v>
      </c>
      <c r="C1670" s="6" t="str">
        <f t="shared" si="108"/>
        <v>0203</v>
      </c>
      <c r="D1670" s="6" t="s">
        <v>22</v>
      </c>
      <c r="E1670" s="6" t="str">
        <f>"羊引花"</f>
        <v>羊引花</v>
      </c>
      <c r="F1670" s="6" t="str">
        <f t="shared" si="107"/>
        <v>女</v>
      </c>
    </row>
    <row r="1671" spans="1:6" ht="30" customHeight="1">
      <c r="A1671" s="6">
        <v>1669</v>
      </c>
      <c r="B1671" s="6" t="str">
        <f>"530020230602073815109290"</f>
        <v>530020230602073815109290</v>
      </c>
      <c r="C1671" s="6" t="str">
        <f t="shared" si="108"/>
        <v>0203</v>
      </c>
      <c r="D1671" s="6" t="s">
        <v>22</v>
      </c>
      <c r="E1671" s="6" t="str">
        <f>"谢芸芸"</f>
        <v>谢芸芸</v>
      </c>
      <c r="F1671" s="6" t="str">
        <f t="shared" si="107"/>
        <v>女</v>
      </c>
    </row>
    <row r="1672" spans="1:6" ht="30" customHeight="1">
      <c r="A1672" s="6">
        <v>1670</v>
      </c>
      <c r="B1672" s="6" t="str">
        <f>"530020230602085321109431"</f>
        <v>530020230602085321109431</v>
      </c>
      <c r="C1672" s="6" t="str">
        <f t="shared" si="108"/>
        <v>0203</v>
      </c>
      <c r="D1672" s="6" t="s">
        <v>22</v>
      </c>
      <c r="E1672" s="6" t="str">
        <f>"黄向"</f>
        <v>黄向</v>
      </c>
      <c r="F1672" s="6" t="str">
        <f t="shared" si="107"/>
        <v>女</v>
      </c>
    </row>
    <row r="1673" spans="1:6" ht="30" customHeight="1">
      <c r="A1673" s="6">
        <v>1671</v>
      </c>
      <c r="B1673" s="6" t="str">
        <f>"530020230601111750106346"</f>
        <v>530020230601111750106346</v>
      </c>
      <c r="C1673" s="6" t="str">
        <f t="shared" si="108"/>
        <v>0203</v>
      </c>
      <c r="D1673" s="6" t="s">
        <v>22</v>
      </c>
      <c r="E1673" s="6" t="str">
        <f>"潘美志"</f>
        <v>潘美志</v>
      </c>
      <c r="F1673" s="6" t="str">
        <f t="shared" si="107"/>
        <v>女</v>
      </c>
    </row>
    <row r="1674" spans="1:6" ht="30" customHeight="1">
      <c r="A1674" s="6">
        <v>1672</v>
      </c>
      <c r="B1674" s="6" t="str">
        <f>"530020230602073637109289"</f>
        <v>530020230602073637109289</v>
      </c>
      <c r="C1674" s="6" t="str">
        <f t="shared" si="108"/>
        <v>0203</v>
      </c>
      <c r="D1674" s="6" t="s">
        <v>22</v>
      </c>
      <c r="E1674" s="6" t="str">
        <f>"符小丹"</f>
        <v>符小丹</v>
      </c>
      <c r="F1674" s="6" t="str">
        <f t="shared" si="107"/>
        <v>女</v>
      </c>
    </row>
    <row r="1675" spans="1:6" ht="30" customHeight="1">
      <c r="A1675" s="6">
        <v>1673</v>
      </c>
      <c r="B1675" s="6" t="str">
        <f>"530020230602092220109538"</f>
        <v>530020230602092220109538</v>
      </c>
      <c r="C1675" s="6" t="str">
        <f t="shared" si="108"/>
        <v>0203</v>
      </c>
      <c r="D1675" s="6" t="s">
        <v>22</v>
      </c>
      <c r="E1675" s="6" t="str">
        <f>"张秀洁"</f>
        <v>张秀洁</v>
      </c>
      <c r="F1675" s="6" t="str">
        <f t="shared" si="107"/>
        <v>女</v>
      </c>
    </row>
    <row r="1676" spans="1:6" ht="30" customHeight="1">
      <c r="A1676" s="6">
        <v>1674</v>
      </c>
      <c r="B1676" s="6" t="str">
        <f>"530020230602093757109611"</f>
        <v>530020230602093757109611</v>
      </c>
      <c r="C1676" s="6" t="str">
        <f t="shared" si="108"/>
        <v>0203</v>
      </c>
      <c r="D1676" s="6" t="s">
        <v>22</v>
      </c>
      <c r="E1676" s="6" t="str">
        <f>"甘小碧"</f>
        <v>甘小碧</v>
      </c>
      <c r="F1676" s="6" t="str">
        <f t="shared" si="107"/>
        <v>女</v>
      </c>
    </row>
    <row r="1677" spans="1:6" ht="30" customHeight="1">
      <c r="A1677" s="6">
        <v>1675</v>
      </c>
      <c r="B1677" s="6" t="str">
        <f>"530020230602092339109544"</f>
        <v>530020230602092339109544</v>
      </c>
      <c r="C1677" s="6" t="str">
        <f t="shared" si="108"/>
        <v>0203</v>
      </c>
      <c r="D1677" s="6" t="s">
        <v>22</v>
      </c>
      <c r="E1677" s="6" t="str">
        <f>"陈艳"</f>
        <v>陈艳</v>
      </c>
      <c r="F1677" s="6" t="str">
        <f t="shared" si="107"/>
        <v>女</v>
      </c>
    </row>
    <row r="1678" spans="1:6" ht="30" customHeight="1">
      <c r="A1678" s="6">
        <v>1676</v>
      </c>
      <c r="B1678" s="6" t="str">
        <f>"530020230601221818108846"</f>
        <v>530020230601221818108846</v>
      </c>
      <c r="C1678" s="6" t="str">
        <f t="shared" si="108"/>
        <v>0203</v>
      </c>
      <c r="D1678" s="6" t="s">
        <v>22</v>
      </c>
      <c r="E1678" s="6" t="str">
        <f>"李冬秀"</f>
        <v>李冬秀</v>
      </c>
      <c r="F1678" s="6" t="str">
        <f t="shared" si="107"/>
        <v>女</v>
      </c>
    </row>
    <row r="1679" spans="1:6" ht="30" customHeight="1">
      <c r="A1679" s="6">
        <v>1677</v>
      </c>
      <c r="B1679" s="6" t="str">
        <f>"530020230602094559109644"</f>
        <v>530020230602094559109644</v>
      </c>
      <c r="C1679" s="6" t="str">
        <f t="shared" si="108"/>
        <v>0203</v>
      </c>
      <c r="D1679" s="6" t="s">
        <v>22</v>
      </c>
      <c r="E1679" s="6" t="str">
        <f>"刘海静"</f>
        <v>刘海静</v>
      </c>
      <c r="F1679" s="6" t="str">
        <f t="shared" si="107"/>
        <v>女</v>
      </c>
    </row>
    <row r="1680" spans="1:6" ht="30" customHeight="1">
      <c r="A1680" s="6">
        <v>1678</v>
      </c>
      <c r="B1680" s="6" t="str">
        <f>"53002023052713463484780"</f>
        <v>53002023052713463484780</v>
      </c>
      <c r="C1680" s="6" t="str">
        <f t="shared" si="108"/>
        <v>0203</v>
      </c>
      <c r="D1680" s="6" t="s">
        <v>22</v>
      </c>
      <c r="E1680" s="6" t="str">
        <f>"符晓希"</f>
        <v>符晓希</v>
      </c>
      <c r="F1680" s="6" t="str">
        <f t="shared" si="107"/>
        <v>女</v>
      </c>
    </row>
    <row r="1681" spans="1:6" ht="30" customHeight="1">
      <c r="A1681" s="6">
        <v>1679</v>
      </c>
      <c r="B1681" s="6" t="str">
        <f>"530020230602101429109749"</f>
        <v>530020230602101429109749</v>
      </c>
      <c r="C1681" s="6" t="str">
        <f t="shared" si="108"/>
        <v>0203</v>
      </c>
      <c r="D1681" s="6" t="s">
        <v>22</v>
      </c>
      <c r="E1681" s="6" t="str">
        <f>"周瑞娜"</f>
        <v>周瑞娜</v>
      </c>
      <c r="F1681" s="6" t="str">
        <f t="shared" si="107"/>
        <v>女</v>
      </c>
    </row>
    <row r="1682" spans="1:6" ht="30" customHeight="1">
      <c r="A1682" s="6">
        <v>1680</v>
      </c>
      <c r="B1682" s="6" t="str">
        <f>"530020230602101527109755"</f>
        <v>530020230602101527109755</v>
      </c>
      <c r="C1682" s="6" t="str">
        <f t="shared" si="108"/>
        <v>0203</v>
      </c>
      <c r="D1682" s="6" t="s">
        <v>22</v>
      </c>
      <c r="E1682" s="6" t="str">
        <f>"云春蕊"</f>
        <v>云春蕊</v>
      </c>
      <c r="F1682" s="6" t="str">
        <f t="shared" si="107"/>
        <v>女</v>
      </c>
    </row>
    <row r="1683" spans="1:6" ht="30" customHeight="1">
      <c r="A1683" s="6">
        <v>1681</v>
      </c>
      <c r="B1683" s="6" t="str">
        <f>"530020230602101409109747"</f>
        <v>530020230602101409109747</v>
      </c>
      <c r="C1683" s="6" t="str">
        <f t="shared" si="108"/>
        <v>0203</v>
      </c>
      <c r="D1683" s="6" t="s">
        <v>22</v>
      </c>
      <c r="E1683" s="6" t="str">
        <f>"蔡金桂"</f>
        <v>蔡金桂</v>
      </c>
      <c r="F1683" s="6" t="str">
        <f t="shared" si="107"/>
        <v>女</v>
      </c>
    </row>
    <row r="1684" spans="1:6" ht="30" customHeight="1">
      <c r="A1684" s="6">
        <v>1682</v>
      </c>
      <c r="B1684" s="6" t="str">
        <f>"530020230602092658109557"</f>
        <v>530020230602092658109557</v>
      </c>
      <c r="C1684" s="6" t="str">
        <f t="shared" si="108"/>
        <v>0203</v>
      </c>
      <c r="D1684" s="6" t="s">
        <v>22</v>
      </c>
      <c r="E1684" s="6" t="str">
        <f>"陈学俐"</f>
        <v>陈学俐</v>
      </c>
      <c r="F1684" s="6" t="str">
        <f t="shared" si="107"/>
        <v>女</v>
      </c>
    </row>
    <row r="1685" spans="1:6" ht="30" customHeight="1">
      <c r="A1685" s="6">
        <v>1683</v>
      </c>
      <c r="B1685" s="6" t="str">
        <f>"53002023053001381095724"</f>
        <v>53002023053001381095724</v>
      </c>
      <c r="C1685" s="6" t="str">
        <f t="shared" si="108"/>
        <v>0203</v>
      </c>
      <c r="D1685" s="6" t="s">
        <v>22</v>
      </c>
      <c r="E1685" s="6" t="str">
        <f>"谢小贫"</f>
        <v>谢小贫</v>
      </c>
      <c r="F1685" s="6" t="str">
        <f t="shared" si="107"/>
        <v>女</v>
      </c>
    </row>
    <row r="1686" spans="1:6" ht="30" customHeight="1">
      <c r="A1686" s="6">
        <v>1684</v>
      </c>
      <c r="B1686" s="6" t="str">
        <f>"530020230602103312109829"</f>
        <v>530020230602103312109829</v>
      </c>
      <c r="C1686" s="6" t="str">
        <f t="shared" si="108"/>
        <v>0203</v>
      </c>
      <c r="D1686" s="6" t="s">
        <v>22</v>
      </c>
      <c r="E1686" s="6" t="str">
        <f>"许晶晶"</f>
        <v>许晶晶</v>
      </c>
      <c r="F1686" s="6" t="str">
        <f t="shared" si="107"/>
        <v>女</v>
      </c>
    </row>
    <row r="1687" spans="1:6" ht="30" customHeight="1">
      <c r="A1687" s="6">
        <v>1685</v>
      </c>
      <c r="B1687" s="6" t="str">
        <f>"530020230602103653109850"</f>
        <v>530020230602103653109850</v>
      </c>
      <c r="C1687" s="6" t="str">
        <f t="shared" si="108"/>
        <v>0203</v>
      </c>
      <c r="D1687" s="6" t="s">
        <v>22</v>
      </c>
      <c r="E1687" s="6" t="str">
        <f>"陈南"</f>
        <v>陈南</v>
      </c>
      <c r="F1687" s="6" t="str">
        <f t="shared" si="107"/>
        <v>女</v>
      </c>
    </row>
    <row r="1688" spans="1:6" ht="30" customHeight="1">
      <c r="A1688" s="6">
        <v>1686</v>
      </c>
      <c r="B1688" s="6" t="str">
        <f>"530020230602102840109813"</f>
        <v>530020230602102840109813</v>
      </c>
      <c r="C1688" s="6" t="str">
        <f t="shared" si="108"/>
        <v>0203</v>
      </c>
      <c r="D1688" s="6" t="s">
        <v>22</v>
      </c>
      <c r="E1688" s="6" t="str">
        <f>"陈国凤"</f>
        <v>陈国凤</v>
      </c>
      <c r="F1688" s="6" t="str">
        <f t="shared" si="107"/>
        <v>女</v>
      </c>
    </row>
    <row r="1689" spans="1:6" ht="30" customHeight="1">
      <c r="A1689" s="6">
        <v>1687</v>
      </c>
      <c r="B1689" s="6" t="str">
        <f>"530020230602091011109489"</f>
        <v>530020230602091011109489</v>
      </c>
      <c r="C1689" s="6" t="str">
        <f t="shared" si="108"/>
        <v>0203</v>
      </c>
      <c r="D1689" s="6" t="s">
        <v>22</v>
      </c>
      <c r="E1689" s="6" t="str">
        <f>"秦少凤"</f>
        <v>秦少凤</v>
      </c>
      <c r="F1689" s="6" t="str">
        <f t="shared" si="107"/>
        <v>女</v>
      </c>
    </row>
    <row r="1690" spans="1:6" ht="30" customHeight="1">
      <c r="A1690" s="6">
        <v>1688</v>
      </c>
      <c r="B1690" s="6" t="str">
        <f>"530020230602081241109328"</f>
        <v>530020230602081241109328</v>
      </c>
      <c r="C1690" s="6" t="str">
        <f t="shared" si="108"/>
        <v>0203</v>
      </c>
      <c r="D1690" s="6" t="s">
        <v>22</v>
      </c>
      <c r="E1690" s="6" t="str">
        <f>"陈婆春"</f>
        <v>陈婆春</v>
      </c>
      <c r="F1690" s="6" t="str">
        <f t="shared" si="107"/>
        <v>女</v>
      </c>
    </row>
    <row r="1691" spans="1:6" ht="30" customHeight="1">
      <c r="A1691" s="6">
        <v>1689</v>
      </c>
      <c r="B1691" s="6" t="str">
        <f>"530020230602090157109462"</f>
        <v>530020230602090157109462</v>
      </c>
      <c r="C1691" s="6" t="str">
        <f t="shared" si="108"/>
        <v>0203</v>
      </c>
      <c r="D1691" s="6" t="s">
        <v>22</v>
      </c>
      <c r="E1691" s="6" t="str">
        <f>"邢雅婵"</f>
        <v>邢雅婵</v>
      </c>
      <c r="F1691" s="6" t="str">
        <f t="shared" si="107"/>
        <v>女</v>
      </c>
    </row>
    <row r="1692" spans="1:6" ht="30" customHeight="1">
      <c r="A1692" s="6">
        <v>1690</v>
      </c>
      <c r="B1692" s="6" t="str">
        <f>"530020230602112655110094"</f>
        <v>530020230602112655110094</v>
      </c>
      <c r="C1692" s="6" t="str">
        <f t="shared" si="108"/>
        <v>0203</v>
      </c>
      <c r="D1692" s="6" t="s">
        <v>22</v>
      </c>
      <c r="E1692" s="6" t="str">
        <f>"李吉恋"</f>
        <v>李吉恋</v>
      </c>
      <c r="F1692" s="6" t="str">
        <f t="shared" si="107"/>
        <v>女</v>
      </c>
    </row>
    <row r="1693" spans="1:6" ht="30" customHeight="1">
      <c r="A1693" s="6">
        <v>1691</v>
      </c>
      <c r="B1693" s="6" t="str">
        <f>"530020230602105657109955"</f>
        <v>530020230602105657109955</v>
      </c>
      <c r="C1693" s="6" t="str">
        <f t="shared" si="108"/>
        <v>0203</v>
      </c>
      <c r="D1693" s="6" t="s">
        <v>22</v>
      </c>
      <c r="E1693" s="6" t="s">
        <v>23</v>
      </c>
      <c r="F1693" s="6" t="str">
        <f t="shared" si="107"/>
        <v>女</v>
      </c>
    </row>
    <row r="1694" spans="1:6" ht="30" customHeight="1">
      <c r="A1694" s="6">
        <v>1692</v>
      </c>
      <c r="B1694" s="6" t="str">
        <f>"530020230602110757110013"</f>
        <v>530020230602110757110013</v>
      </c>
      <c r="C1694" s="6" t="str">
        <f t="shared" si="108"/>
        <v>0203</v>
      </c>
      <c r="D1694" s="6" t="s">
        <v>22</v>
      </c>
      <c r="E1694" s="6" t="str">
        <f>"陈婷婷"</f>
        <v>陈婷婷</v>
      </c>
      <c r="F1694" s="6" t="str">
        <f t="shared" si="107"/>
        <v>女</v>
      </c>
    </row>
    <row r="1695" spans="1:6" ht="30" customHeight="1">
      <c r="A1695" s="6">
        <v>1693</v>
      </c>
      <c r="B1695" s="6" t="str">
        <f>"530020230602112629110091"</f>
        <v>530020230602112629110091</v>
      </c>
      <c r="C1695" s="6" t="str">
        <f t="shared" si="108"/>
        <v>0203</v>
      </c>
      <c r="D1695" s="6" t="s">
        <v>22</v>
      </c>
      <c r="E1695" s="6" t="str">
        <f>"吉茹茹"</f>
        <v>吉茹茹</v>
      </c>
      <c r="F1695" s="6" t="str">
        <f t="shared" si="107"/>
        <v>女</v>
      </c>
    </row>
    <row r="1696" spans="1:6" ht="30" customHeight="1">
      <c r="A1696" s="6">
        <v>1694</v>
      </c>
      <c r="B1696" s="6" t="str">
        <f>"530020230602114611110161"</f>
        <v>530020230602114611110161</v>
      </c>
      <c r="C1696" s="6" t="str">
        <f t="shared" si="108"/>
        <v>0203</v>
      </c>
      <c r="D1696" s="6" t="s">
        <v>22</v>
      </c>
      <c r="E1696" s="6" t="str">
        <f>"符谷丹"</f>
        <v>符谷丹</v>
      </c>
      <c r="F1696" s="6" t="str">
        <f t="shared" si="107"/>
        <v>女</v>
      </c>
    </row>
    <row r="1697" spans="1:6" ht="30" customHeight="1">
      <c r="A1697" s="6">
        <v>1695</v>
      </c>
      <c r="B1697" s="6" t="str">
        <f>"53002023053010244996647"</f>
        <v>53002023053010244996647</v>
      </c>
      <c r="C1697" s="6" t="str">
        <f t="shared" si="108"/>
        <v>0203</v>
      </c>
      <c r="D1697" s="6" t="s">
        <v>22</v>
      </c>
      <c r="E1697" s="6" t="str">
        <f>"陈蕊"</f>
        <v>陈蕊</v>
      </c>
      <c r="F1697" s="6" t="str">
        <f t="shared" si="107"/>
        <v>女</v>
      </c>
    </row>
    <row r="1698" spans="1:6" ht="30" customHeight="1">
      <c r="A1698" s="6">
        <v>1696</v>
      </c>
      <c r="B1698" s="6" t="str">
        <f>"530020230602113643110126"</f>
        <v>530020230602113643110126</v>
      </c>
      <c r="C1698" s="6" t="str">
        <f t="shared" si="108"/>
        <v>0203</v>
      </c>
      <c r="D1698" s="6" t="s">
        <v>22</v>
      </c>
      <c r="E1698" s="6" t="str">
        <f>"羊川乾"</f>
        <v>羊川乾</v>
      </c>
      <c r="F1698" s="6" t="str">
        <f t="shared" si="107"/>
        <v>女</v>
      </c>
    </row>
    <row r="1699" spans="1:6" ht="30" customHeight="1">
      <c r="A1699" s="6">
        <v>1697</v>
      </c>
      <c r="B1699" s="6" t="str">
        <f>"530020230602114114110145"</f>
        <v>530020230602114114110145</v>
      </c>
      <c r="C1699" s="6" t="str">
        <f t="shared" si="108"/>
        <v>0203</v>
      </c>
      <c r="D1699" s="6" t="s">
        <v>22</v>
      </c>
      <c r="E1699" s="6" t="str">
        <f>"羊玲妹"</f>
        <v>羊玲妹</v>
      </c>
      <c r="F1699" s="6" t="str">
        <f t="shared" si="107"/>
        <v>女</v>
      </c>
    </row>
    <row r="1700" spans="1:6" ht="30" customHeight="1">
      <c r="A1700" s="6">
        <v>1698</v>
      </c>
      <c r="B1700" s="6" t="str">
        <f>"53002023052709021783661"</f>
        <v>53002023052709021783661</v>
      </c>
      <c r="C1700" s="6" t="str">
        <f aca="true" t="shared" si="109" ref="C1700:C1763">"0204"</f>
        <v>0204</v>
      </c>
      <c r="D1700" s="6" t="s">
        <v>24</v>
      </c>
      <c r="E1700" s="6" t="str">
        <f>"李凤永"</f>
        <v>李凤永</v>
      </c>
      <c r="F1700" s="6" t="str">
        <f t="shared" si="107"/>
        <v>女</v>
      </c>
    </row>
    <row r="1701" spans="1:6" ht="30" customHeight="1">
      <c r="A1701" s="6">
        <v>1699</v>
      </c>
      <c r="B1701" s="6" t="str">
        <f>"53002023052709023383665"</f>
        <v>53002023052709023383665</v>
      </c>
      <c r="C1701" s="6" t="str">
        <f t="shared" si="109"/>
        <v>0204</v>
      </c>
      <c r="D1701" s="6" t="s">
        <v>24</v>
      </c>
      <c r="E1701" s="6" t="str">
        <f>"郇金国"</f>
        <v>郇金国</v>
      </c>
      <c r="F1701" s="6" t="str">
        <f>"男"</f>
        <v>男</v>
      </c>
    </row>
    <row r="1702" spans="1:6" ht="30" customHeight="1">
      <c r="A1702" s="6">
        <v>1700</v>
      </c>
      <c r="B1702" s="6" t="str">
        <f>"53002023052709213783732"</f>
        <v>53002023052709213783732</v>
      </c>
      <c r="C1702" s="6" t="str">
        <f t="shared" si="109"/>
        <v>0204</v>
      </c>
      <c r="D1702" s="6" t="s">
        <v>24</v>
      </c>
      <c r="E1702" s="6" t="str">
        <f>"陈媚洁"</f>
        <v>陈媚洁</v>
      </c>
      <c r="F1702" s="6" t="str">
        <f>"女"</f>
        <v>女</v>
      </c>
    </row>
    <row r="1703" spans="1:6" ht="30" customHeight="1">
      <c r="A1703" s="6">
        <v>1701</v>
      </c>
      <c r="B1703" s="6" t="str">
        <f>"53002023052710063583921"</f>
        <v>53002023052710063583921</v>
      </c>
      <c r="C1703" s="6" t="str">
        <f t="shared" si="109"/>
        <v>0204</v>
      </c>
      <c r="D1703" s="6" t="s">
        <v>24</v>
      </c>
      <c r="E1703" s="6" t="str">
        <f>"王潇潇"</f>
        <v>王潇潇</v>
      </c>
      <c r="F1703" s="6" t="str">
        <f>"女"</f>
        <v>女</v>
      </c>
    </row>
    <row r="1704" spans="1:6" ht="30" customHeight="1">
      <c r="A1704" s="6">
        <v>1702</v>
      </c>
      <c r="B1704" s="6" t="str">
        <f>"53002023052709434383816"</f>
        <v>53002023052709434383816</v>
      </c>
      <c r="C1704" s="6" t="str">
        <f t="shared" si="109"/>
        <v>0204</v>
      </c>
      <c r="D1704" s="6" t="s">
        <v>24</v>
      </c>
      <c r="E1704" s="6" t="str">
        <f>"陈金敏"</f>
        <v>陈金敏</v>
      </c>
      <c r="F1704" s="6" t="str">
        <f>"女"</f>
        <v>女</v>
      </c>
    </row>
    <row r="1705" spans="1:6" ht="30" customHeight="1">
      <c r="A1705" s="6">
        <v>1703</v>
      </c>
      <c r="B1705" s="6" t="str">
        <f>"53002023052712382784550"</f>
        <v>53002023052712382784550</v>
      </c>
      <c r="C1705" s="6" t="str">
        <f t="shared" si="109"/>
        <v>0204</v>
      </c>
      <c r="D1705" s="6" t="s">
        <v>24</v>
      </c>
      <c r="E1705" s="6" t="str">
        <f>"洪新蕊"</f>
        <v>洪新蕊</v>
      </c>
      <c r="F1705" s="6" t="str">
        <f>"女"</f>
        <v>女</v>
      </c>
    </row>
    <row r="1706" spans="1:6" ht="30" customHeight="1">
      <c r="A1706" s="6">
        <v>1704</v>
      </c>
      <c r="B1706" s="6" t="str">
        <f>"53002023052711480384372"</f>
        <v>53002023052711480384372</v>
      </c>
      <c r="C1706" s="6" t="str">
        <f t="shared" si="109"/>
        <v>0204</v>
      </c>
      <c r="D1706" s="6" t="s">
        <v>24</v>
      </c>
      <c r="E1706" s="6" t="str">
        <f>"吴佳倩"</f>
        <v>吴佳倩</v>
      </c>
      <c r="F1706" s="6" t="str">
        <f>"女"</f>
        <v>女</v>
      </c>
    </row>
    <row r="1707" spans="1:6" ht="30" customHeight="1">
      <c r="A1707" s="6">
        <v>1705</v>
      </c>
      <c r="B1707" s="6" t="str">
        <f>"53002023052709330883771"</f>
        <v>53002023052709330883771</v>
      </c>
      <c r="C1707" s="6" t="str">
        <f t="shared" si="109"/>
        <v>0204</v>
      </c>
      <c r="D1707" s="6" t="s">
        <v>24</v>
      </c>
      <c r="E1707" s="6" t="str">
        <f>"李君位"</f>
        <v>李君位</v>
      </c>
      <c r="F1707" s="6" t="str">
        <f>"男"</f>
        <v>男</v>
      </c>
    </row>
    <row r="1708" spans="1:6" ht="30" customHeight="1">
      <c r="A1708" s="6">
        <v>1706</v>
      </c>
      <c r="B1708" s="6" t="str">
        <f>"53002023052715223385091"</f>
        <v>53002023052715223385091</v>
      </c>
      <c r="C1708" s="6" t="str">
        <f t="shared" si="109"/>
        <v>0204</v>
      </c>
      <c r="D1708" s="6" t="s">
        <v>24</v>
      </c>
      <c r="E1708" s="6" t="str">
        <f>"申晓晓"</f>
        <v>申晓晓</v>
      </c>
      <c r="F1708" s="6" t="str">
        <f>"女"</f>
        <v>女</v>
      </c>
    </row>
    <row r="1709" spans="1:6" ht="30" customHeight="1">
      <c r="A1709" s="6">
        <v>1707</v>
      </c>
      <c r="B1709" s="6" t="str">
        <f>"53002023052717393885554"</f>
        <v>53002023052717393885554</v>
      </c>
      <c r="C1709" s="6" t="str">
        <f t="shared" si="109"/>
        <v>0204</v>
      </c>
      <c r="D1709" s="6" t="s">
        <v>24</v>
      </c>
      <c r="E1709" s="6" t="str">
        <f>"梁雪君"</f>
        <v>梁雪君</v>
      </c>
      <c r="F1709" s="6" t="str">
        <f>"女"</f>
        <v>女</v>
      </c>
    </row>
    <row r="1710" spans="1:6" ht="30" customHeight="1">
      <c r="A1710" s="6">
        <v>1708</v>
      </c>
      <c r="B1710" s="6" t="str">
        <f>"53002023052719123385780"</f>
        <v>53002023052719123385780</v>
      </c>
      <c r="C1710" s="6" t="str">
        <f t="shared" si="109"/>
        <v>0204</v>
      </c>
      <c r="D1710" s="6" t="s">
        <v>24</v>
      </c>
      <c r="E1710" s="6" t="str">
        <f>"杨梦选"</f>
        <v>杨梦选</v>
      </c>
      <c r="F1710" s="6" t="str">
        <f>"女"</f>
        <v>女</v>
      </c>
    </row>
    <row r="1711" spans="1:6" ht="30" customHeight="1">
      <c r="A1711" s="6">
        <v>1709</v>
      </c>
      <c r="B1711" s="6" t="str">
        <f>"53002023052723220486544"</f>
        <v>53002023052723220486544</v>
      </c>
      <c r="C1711" s="6" t="str">
        <f t="shared" si="109"/>
        <v>0204</v>
      </c>
      <c r="D1711" s="6" t="s">
        <v>24</v>
      </c>
      <c r="E1711" s="6" t="str">
        <f>"王广品"</f>
        <v>王广品</v>
      </c>
      <c r="F1711" s="6" t="str">
        <f>"男"</f>
        <v>男</v>
      </c>
    </row>
    <row r="1712" spans="1:6" ht="30" customHeight="1">
      <c r="A1712" s="6">
        <v>1710</v>
      </c>
      <c r="B1712" s="6" t="str">
        <f>"53002023052815314387772"</f>
        <v>53002023052815314387772</v>
      </c>
      <c r="C1712" s="6" t="str">
        <f t="shared" si="109"/>
        <v>0204</v>
      </c>
      <c r="D1712" s="6" t="s">
        <v>24</v>
      </c>
      <c r="E1712" s="6" t="str">
        <f>"高菊先"</f>
        <v>高菊先</v>
      </c>
      <c r="F1712" s="6" t="str">
        <f>"女"</f>
        <v>女</v>
      </c>
    </row>
    <row r="1713" spans="1:6" ht="30" customHeight="1">
      <c r="A1713" s="6">
        <v>1711</v>
      </c>
      <c r="B1713" s="6" t="str">
        <f>"53002023052815503187816"</f>
        <v>53002023052815503187816</v>
      </c>
      <c r="C1713" s="6" t="str">
        <f t="shared" si="109"/>
        <v>0204</v>
      </c>
      <c r="D1713" s="6" t="s">
        <v>24</v>
      </c>
      <c r="E1713" s="6" t="str">
        <f>"王艳可"</f>
        <v>王艳可</v>
      </c>
      <c r="F1713" s="6" t="str">
        <f>"女"</f>
        <v>女</v>
      </c>
    </row>
    <row r="1714" spans="1:6" ht="30" customHeight="1">
      <c r="A1714" s="6">
        <v>1712</v>
      </c>
      <c r="B1714" s="6" t="str">
        <f>"53002023052818054988308"</f>
        <v>53002023052818054988308</v>
      </c>
      <c r="C1714" s="6" t="str">
        <f t="shared" si="109"/>
        <v>0204</v>
      </c>
      <c r="D1714" s="6" t="s">
        <v>24</v>
      </c>
      <c r="E1714" s="6" t="str">
        <f>"符文慧"</f>
        <v>符文慧</v>
      </c>
      <c r="F1714" s="6" t="str">
        <f>"女"</f>
        <v>女</v>
      </c>
    </row>
    <row r="1715" spans="1:6" ht="30" customHeight="1">
      <c r="A1715" s="6">
        <v>1713</v>
      </c>
      <c r="B1715" s="6" t="str">
        <f>"53002023052819451488546"</f>
        <v>53002023052819451488546</v>
      </c>
      <c r="C1715" s="6" t="str">
        <f t="shared" si="109"/>
        <v>0204</v>
      </c>
      <c r="D1715" s="6" t="s">
        <v>24</v>
      </c>
      <c r="E1715" s="6" t="str">
        <f>"周鸿祯"</f>
        <v>周鸿祯</v>
      </c>
      <c r="F1715" s="6" t="str">
        <f>"男"</f>
        <v>男</v>
      </c>
    </row>
    <row r="1716" spans="1:6" ht="30" customHeight="1">
      <c r="A1716" s="6">
        <v>1714</v>
      </c>
      <c r="B1716" s="6" t="str">
        <f>"53002023052820375388707"</f>
        <v>53002023052820375388707</v>
      </c>
      <c r="C1716" s="6" t="str">
        <f t="shared" si="109"/>
        <v>0204</v>
      </c>
      <c r="D1716" s="6" t="s">
        <v>24</v>
      </c>
      <c r="E1716" s="6" t="str">
        <f>"李香福"</f>
        <v>李香福</v>
      </c>
      <c r="F1716" s="6" t="str">
        <f>"女"</f>
        <v>女</v>
      </c>
    </row>
    <row r="1717" spans="1:6" ht="30" customHeight="1">
      <c r="A1717" s="6">
        <v>1715</v>
      </c>
      <c r="B1717" s="6" t="str">
        <f>"53002023052819235888497"</f>
        <v>53002023052819235888497</v>
      </c>
      <c r="C1717" s="6" t="str">
        <f t="shared" si="109"/>
        <v>0204</v>
      </c>
      <c r="D1717" s="6" t="s">
        <v>24</v>
      </c>
      <c r="E1717" s="6" t="str">
        <f>"曾祥凤"</f>
        <v>曾祥凤</v>
      </c>
      <c r="F1717" s="6" t="str">
        <f>"女"</f>
        <v>女</v>
      </c>
    </row>
    <row r="1718" spans="1:6" ht="30" customHeight="1">
      <c r="A1718" s="6">
        <v>1716</v>
      </c>
      <c r="B1718" s="6" t="str">
        <f>"53002023052816024687853"</f>
        <v>53002023052816024687853</v>
      </c>
      <c r="C1718" s="6" t="str">
        <f t="shared" si="109"/>
        <v>0204</v>
      </c>
      <c r="D1718" s="6" t="s">
        <v>24</v>
      </c>
      <c r="E1718" s="6" t="str">
        <f>"简金桃"</f>
        <v>简金桃</v>
      </c>
      <c r="F1718" s="6" t="str">
        <f>"女"</f>
        <v>女</v>
      </c>
    </row>
    <row r="1719" spans="1:6" ht="30" customHeight="1">
      <c r="A1719" s="6">
        <v>1717</v>
      </c>
      <c r="B1719" s="6" t="str">
        <f>"53002023052821374188916"</f>
        <v>53002023052821374188916</v>
      </c>
      <c r="C1719" s="6" t="str">
        <f t="shared" si="109"/>
        <v>0204</v>
      </c>
      <c r="D1719" s="6" t="s">
        <v>24</v>
      </c>
      <c r="E1719" s="6" t="str">
        <f>"陈舒逸"</f>
        <v>陈舒逸</v>
      </c>
      <c r="F1719" s="6" t="str">
        <f>"女"</f>
        <v>女</v>
      </c>
    </row>
    <row r="1720" spans="1:6" ht="30" customHeight="1">
      <c r="A1720" s="6">
        <v>1718</v>
      </c>
      <c r="B1720" s="6" t="str">
        <f>"53002023052710553084149"</f>
        <v>53002023052710553084149</v>
      </c>
      <c r="C1720" s="6" t="str">
        <f t="shared" si="109"/>
        <v>0204</v>
      </c>
      <c r="D1720" s="6" t="s">
        <v>24</v>
      </c>
      <c r="E1720" s="6" t="str">
        <f>"谭升光"</f>
        <v>谭升光</v>
      </c>
      <c r="F1720" s="6" t="str">
        <f>"男"</f>
        <v>男</v>
      </c>
    </row>
    <row r="1721" spans="1:6" ht="30" customHeight="1">
      <c r="A1721" s="6">
        <v>1719</v>
      </c>
      <c r="B1721" s="6" t="str">
        <f>"53002023052823071689216"</f>
        <v>53002023052823071689216</v>
      </c>
      <c r="C1721" s="6" t="str">
        <f t="shared" si="109"/>
        <v>0204</v>
      </c>
      <c r="D1721" s="6" t="s">
        <v>24</v>
      </c>
      <c r="E1721" s="6" t="str">
        <f>"钟斯爱"</f>
        <v>钟斯爱</v>
      </c>
      <c r="F1721" s="6" t="str">
        <f>"女"</f>
        <v>女</v>
      </c>
    </row>
    <row r="1722" spans="1:6" ht="30" customHeight="1">
      <c r="A1722" s="6">
        <v>1720</v>
      </c>
      <c r="B1722" s="6" t="str">
        <f>"53002023052823045889207"</f>
        <v>53002023052823045889207</v>
      </c>
      <c r="C1722" s="6" t="str">
        <f t="shared" si="109"/>
        <v>0204</v>
      </c>
      <c r="D1722" s="6" t="s">
        <v>24</v>
      </c>
      <c r="E1722" s="6" t="str">
        <f>"韦盛"</f>
        <v>韦盛</v>
      </c>
      <c r="F1722" s="6" t="str">
        <f>"女"</f>
        <v>女</v>
      </c>
    </row>
    <row r="1723" spans="1:6" ht="30" customHeight="1">
      <c r="A1723" s="6">
        <v>1721</v>
      </c>
      <c r="B1723" s="6" t="str">
        <f>"53002023052823005489199"</f>
        <v>53002023052823005489199</v>
      </c>
      <c r="C1723" s="6" t="str">
        <f t="shared" si="109"/>
        <v>0204</v>
      </c>
      <c r="D1723" s="6" t="s">
        <v>24</v>
      </c>
      <c r="E1723" s="6" t="str">
        <f>"李乾道"</f>
        <v>李乾道</v>
      </c>
      <c r="F1723" s="6" t="str">
        <f>"女"</f>
        <v>女</v>
      </c>
    </row>
    <row r="1724" spans="1:6" ht="30" customHeight="1">
      <c r="A1724" s="6">
        <v>1722</v>
      </c>
      <c r="B1724" s="6" t="str">
        <f>"53002023052817474288260"</f>
        <v>53002023052817474288260</v>
      </c>
      <c r="C1724" s="6" t="str">
        <f t="shared" si="109"/>
        <v>0204</v>
      </c>
      <c r="D1724" s="6" t="s">
        <v>24</v>
      </c>
      <c r="E1724" s="6" t="str">
        <f>"刘超业"</f>
        <v>刘超业</v>
      </c>
      <c r="F1724" s="6" t="str">
        <f>"男"</f>
        <v>男</v>
      </c>
    </row>
    <row r="1725" spans="1:6" ht="30" customHeight="1">
      <c r="A1725" s="6">
        <v>1723</v>
      </c>
      <c r="B1725" s="6" t="str">
        <f>"53002023052908103989503"</f>
        <v>53002023052908103989503</v>
      </c>
      <c r="C1725" s="6" t="str">
        <f t="shared" si="109"/>
        <v>0204</v>
      </c>
      <c r="D1725" s="6" t="s">
        <v>24</v>
      </c>
      <c r="E1725" s="6" t="str">
        <f>"李燕芳"</f>
        <v>李燕芳</v>
      </c>
      <c r="F1725" s="6" t="str">
        <f>"女"</f>
        <v>女</v>
      </c>
    </row>
    <row r="1726" spans="1:6" ht="30" customHeight="1">
      <c r="A1726" s="6">
        <v>1724</v>
      </c>
      <c r="B1726" s="6" t="str">
        <f>"53002023052908110389504"</f>
        <v>53002023052908110389504</v>
      </c>
      <c r="C1726" s="6" t="str">
        <f t="shared" si="109"/>
        <v>0204</v>
      </c>
      <c r="D1726" s="6" t="s">
        <v>24</v>
      </c>
      <c r="E1726" s="6" t="str">
        <f>"李磊"</f>
        <v>李磊</v>
      </c>
      <c r="F1726" s="6" t="str">
        <f>"男"</f>
        <v>男</v>
      </c>
    </row>
    <row r="1727" spans="1:6" ht="30" customHeight="1">
      <c r="A1727" s="6">
        <v>1725</v>
      </c>
      <c r="B1727" s="6" t="str">
        <f>"53002023052909151089929"</f>
        <v>53002023052909151089929</v>
      </c>
      <c r="C1727" s="6" t="str">
        <f t="shared" si="109"/>
        <v>0204</v>
      </c>
      <c r="D1727" s="6" t="s">
        <v>24</v>
      </c>
      <c r="E1727" s="6" t="str">
        <f>"王明聪"</f>
        <v>王明聪</v>
      </c>
      <c r="F1727" s="6" t="str">
        <f>"男"</f>
        <v>男</v>
      </c>
    </row>
    <row r="1728" spans="1:6" ht="30" customHeight="1">
      <c r="A1728" s="6">
        <v>1726</v>
      </c>
      <c r="B1728" s="6" t="str">
        <f>"53002023052909181089963"</f>
        <v>53002023052909181089963</v>
      </c>
      <c r="C1728" s="6" t="str">
        <f t="shared" si="109"/>
        <v>0204</v>
      </c>
      <c r="D1728" s="6" t="s">
        <v>24</v>
      </c>
      <c r="E1728" s="6" t="str">
        <f>"林方敏"</f>
        <v>林方敏</v>
      </c>
      <c r="F1728" s="6" t="str">
        <f>"女"</f>
        <v>女</v>
      </c>
    </row>
    <row r="1729" spans="1:6" ht="30" customHeight="1">
      <c r="A1729" s="6">
        <v>1727</v>
      </c>
      <c r="B1729" s="6" t="str">
        <f>"53002023052823232089253"</f>
        <v>53002023052823232089253</v>
      </c>
      <c r="C1729" s="6" t="str">
        <f t="shared" si="109"/>
        <v>0204</v>
      </c>
      <c r="D1729" s="6" t="s">
        <v>24</v>
      </c>
      <c r="E1729" s="6" t="str">
        <f>"李美"</f>
        <v>李美</v>
      </c>
      <c r="F1729" s="6" t="str">
        <f>"女"</f>
        <v>女</v>
      </c>
    </row>
    <row r="1730" spans="1:6" ht="30" customHeight="1">
      <c r="A1730" s="6">
        <v>1728</v>
      </c>
      <c r="B1730" s="6" t="str">
        <f>"53002023052709182783721"</f>
        <v>53002023052709182783721</v>
      </c>
      <c r="C1730" s="6" t="str">
        <f t="shared" si="109"/>
        <v>0204</v>
      </c>
      <c r="D1730" s="6" t="s">
        <v>24</v>
      </c>
      <c r="E1730" s="6" t="str">
        <f>"羊桂香"</f>
        <v>羊桂香</v>
      </c>
      <c r="F1730" s="6" t="str">
        <f>"女"</f>
        <v>女</v>
      </c>
    </row>
    <row r="1731" spans="1:6" ht="30" customHeight="1">
      <c r="A1731" s="6">
        <v>1729</v>
      </c>
      <c r="B1731" s="6" t="str">
        <f>"53002023052908334489579"</f>
        <v>53002023052908334489579</v>
      </c>
      <c r="C1731" s="6" t="str">
        <f t="shared" si="109"/>
        <v>0204</v>
      </c>
      <c r="D1731" s="6" t="s">
        <v>24</v>
      </c>
      <c r="E1731" s="6" t="str">
        <f>"曾学青"</f>
        <v>曾学青</v>
      </c>
      <c r="F1731" s="6" t="str">
        <f>"女"</f>
        <v>女</v>
      </c>
    </row>
    <row r="1732" spans="1:6" ht="30" customHeight="1">
      <c r="A1732" s="6">
        <v>1730</v>
      </c>
      <c r="B1732" s="6" t="str">
        <f>"53002023052909561390398"</f>
        <v>53002023052909561390398</v>
      </c>
      <c r="C1732" s="6" t="str">
        <f t="shared" si="109"/>
        <v>0204</v>
      </c>
      <c r="D1732" s="6" t="s">
        <v>24</v>
      </c>
      <c r="E1732" s="6" t="str">
        <f>"黄传翔"</f>
        <v>黄传翔</v>
      </c>
      <c r="F1732" s="6" t="str">
        <f>"男"</f>
        <v>男</v>
      </c>
    </row>
    <row r="1733" spans="1:6" ht="30" customHeight="1">
      <c r="A1733" s="6">
        <v>1731</v>
      </c>
      <c r="B1733" s="6" t="str">
        <f>"53002023052910065490520"</f>
        <v>53002023052910065490520</v>
      </c>
      <c r="C1733" s="6" t="str">
        <f t="shared" si="109"/>
        <v>0204</v>
      </c>
      <c r="D1733" s="6" t="s">
        <v>24</v>
      </c>
      <c r="E1733" s="6" t="str">
        <f>"李海蕊"</f>
        <v>李海蕊</v>
      </c>
      <c r="F1733" s="6" t="str">
        <f>"女"</f>
        <v>女</v>
      </c>
    </row>
    <row r="1734" spans="1:6" ht="30" customHeight="1">
      <c r="A1734" s="6">
        <v>1732</v>
      </c>
      <c r="B1734" s="6" t="str">
        <f>"53002023052801070486667"</f>
        <v>53002023052801070486667</v>
      </c>
      <c r="C1734" s="6" t="str">
        <f t="shared" si="109"/>
        <v>0204</v>
      </c>
      <c r="D1734" s="6" t="s">
        <v>24</v>
      </c>
      <c r="E1734" s="6" t="str">
        <f>"林忠福"</f>
        <v>林忠福</v>
      </c>
      <c r="F1734" s="6" t="str">
        <f>"男"</f>
        <v>男</v>
      </c>
    </row>
    <row r="1735" spans="1:6" ht="30" customHeight="1">
      <c r="A1735" s="6">
        <v>1733</v>
      </c>
      <c r="B1735" s="6" t="str">
        <f>"53002023052907541389455"</f>
        <v>53002023052907541389455</v>
      </c>
      <c r="C1735" s="6" t="str">
        <f t="shared" si="109"/>
        <v>0204</v>
      </c>
      <c r="D1735" s="6" t="s">
        <v>24</v>
      </c>
      <c r="E1735" s="6" t="str">
        <f>"郑德荣"</f>
        <v>郑德荣</v>
      </c>
      <c r="F1735" s="6" t="str">
        <f>"男"</f>
        <v>男</v>
      </c>
    </row>
    <row r="1736" spans="1:6" ht="30" customHeight="1">
      <c r="A1736" s="6">
        <v>1734</v>
      </c>
      <c r="B1736" s="6" t="str">
        <f>"53002023052910333590822"</f>
        <v>53002023052910333590822</v>
      </c>
      <c r="C1736" s="6" t="str">
        <f t="shared" si="109"/>
        <v>0204</v>
      </c>
      <c r="D1736" s="6" t="s">
        <v>24</v>
      </c>
      <c r="E1736" s="6" t="str">
        <f>"李小儒"</f>
        <v>李小儒</v>
      </c>
      <c r="F1736" s="6" t="str">
        <f>"女"</f>
        <v>女</v>
      </c>
    </row>
    <row r="1737" spans="1:6" ht="30" customHeight="1">
      <c r="A1737" s="6">
        <v>1735</v>
      </c>
      <c r="B1737" s="6" t="str">
        <f>"53002023052911051091170"</f>
        <v>53002023052911051091170</v>
      </c>
      <c r="C1737" s="6" t="str">
        <f t="shared" si="109"/>
        <v>0204</v>
      </c>
      <c r="D1737" s="6" t="s">
        <v>24</v>
      </c>
      <c r="E1737" s="6" t="str">
        <f>"王川"</f>
        <v>王川</v>
      </c>
      <c r="F1737" s="6" t="str">
        <f>"男"</f>
        <v>男</v>
      </c>
    </row>
    <row r="1738" spans="1:6" ht="30" customHeight="1">
      <c r="A1738" s="6">
        <v>1736</v>
      </c>
      <c r="B1738" s="6" t="str">
        <f>"53002023052910104990564"</f>
        <v>53002023052910104990564</v>
      </c>
      <c r="C1738" s="6" t="str">
        <f t="shared" si="109"/>
        <v>0204</v>
      </c>
      <c r="D1738" s="6" t="s">
        <v>24</v>
      </c>
      <c r="E1738" s="6" t="str">
        <f>"潘天雪"</f>
        <v>潘天雪</v>
      </c>
      <c r="F1738" s="6" t="str">
        <f>"女"</f>
        <v>女</v>
      </c>
    </row>
    <row r="1739" spans="1:6" ht="30" customHeight="1">
      <c r="A1739" s="6">
        <v>1737</v>
      </c>
      <c r="B1739" s="6" t="str">
        <f>"53002023052910070290521"</f>
        <v>53002023052910070290521</v>
      </c>
      <c r="C1739" s="6" t="str">
        <f t="shared" si="109"/>
        <v>0204</v>
      </c>
      <c r="D1739" s="6" t="s">
        <v>24</v>
      </c>
      <c r="E1739" s="6" t="str">
        <f>"吴雪珍"</f>
        <v>吴雪珍</v>
      </c>
      <c r="F1739" s="6" t="str">
        <f>"女"</f>
        <v>女</v>
      </c>
    </row>
    <row r="1740" spans="1:6" ht="30" customHeight="1">
      <c r="A1740" s="6">
        <v>1738</v>
      </c>
      <c r="B1740" s="6" t="str">
        <f>"53002023052911051391173"</f>
        <v>53002023052911051391173</v>
      </c>
      <c r="C1740" s="6" t="str">
        <f t="shared" si="109"/>
        <v>0204</v>
      </c>
      <c r="D1740" s="6" t="s">
        <v>24</v>
      </c>
      <c r="E1740" s="6" t="str">
        <f>"崔水珠"</f>
        <v>崔水珠</v>
      </c>
      <c r="F1740" s="6" t="str">
        <f>"女"</f>
        <v>女</v>
      </c>
    </row>
    <row r="1741" spans="1:6" ht="30" customHeight="1">
      <c r="A1741" s="6">
        <v>1739</v>
      </c>
      <c r="B1741" s="6" t="str">
        <f>"53002023052901101689378"</f>
        <v>53002023052901101689378</v>
      </c>
      <c r="C1741" s="6" t="str">
        <f t="shared" si="109"/>
        <v>0204</v>
      </c>
      <c r="D1741" s="6" t="s">
        <v>24</v>
      </c>
      <c r="E1741" s="6" t="str">
        <f>"陈荣善"</f>
        <v>陈荣善</v>
      </c>
      <c r="F1741" s="6" t="str">
        <f>"男"</f>
        <v>男</v>
      </c>
    </row>
    <row r="1742" spans="1:6" ht="30" customHeight="1">
      <c r="A1742" s="6">
        <v>1740</v>
      </c>
      <c r="B1742" s="6" t="str">
        <f>"53002023052907231389425"</f>
        <v>53002023052907231389425</v>
      </c>
      <c r="C1742" s="6" t="str">
        <f t="shared" si="109"/>
        <v>0204</v>
      </c>
      <c r="D1742" s="6" t="s">
        <v>24</v>
      </c>
      <c r="E1742" s="6" t="str">
        <f>"李青丽"</f>
        <v>李青丽</v>
      </c>
      <c r="F1742" s="6" t="str">
        <f aca="true" t="shared" si="110" ref="F1742:F1747">"女"</f>
        <v>女</v>
      </c>
    </row>
    <row r="1743" spans="1:6" ht="30" customHeight="1">
      <c r="A1743" s="6">
        <v>1741</v>
      </c>
      <c r="B1743" s="6" t="str">
        <f>"53002023052718135685634"</f>
        <v>53002023052718135685634</v>
      </c>
      <c r="C1743" s="6" t="str">
        <f t="shared" si="109"/>
        <v>0204</v>
      </c>
      <c r="D1743" s="6" t="s">
        <v>24</v>
      </c>
      <c r="E1743" s="6" t="str">
        <f>"林娟"</f>
        <v>林娟</v>
      </c>
      <c r="F1743" s="6" t="str">
        <f t="shared" si="110"/>
        <v>女</v>
      </c>
    </row>
    <row r="1744" spans="1:6" ht="30" customHeight="1">
      <c r="A1744" s="6">
        <v>1742</v>
      </c>
      <c r="B1744" s="6" t="str">
        <f>"53002023052712003084409"</f>
        <v>53002023052712003084409</v>
      </c>
      <c r="C1744" s="6" t="str">
        <f t="shared" si="109"/>
        <v>0204</v>
      </c>
      <c r="D1744" s="6" t="s">
        <v>24</v>
      </c>
      <c r="E1744" s="6" t="str">
        <f>"张柏涵"</f>
        <v>张柏涵</v>
      </c>
      <c r="F1744" s="6" t="str">
        <f t="shared" si="110"/>
        <v>女</v>
      </c>
    </row>
    <row r="1745" spans="1:6" ht="30" customHeight="1">
      <c r="A1745" s="6">
        <v>1743</v>
      </c>
      <c r="B1745" s="6" t="str">
        <f>"53002023052910421490940"</f>
        <v>53002023052910421490940</v>
      </c>
      <c r="C1745" s="6" t="str">
        <f t="shared" si="109"/>
        <v>0204</v>
      </c>
      <c r="D1745" s="6" t="s">
        <v>24</v>
      </c>
      <c r="E1745" s="6" t="str">
        <f>"王容"</f>
        <v>王容</v>
      </c>
      <c r="F1745" s="6" t="str">
        <f t="shared" si="110"/>
        <v>女</v>
      </c>
    </row>
    <row r="1746" spans="1:6" ht="30" customHeight="1">
      <c r="A1746" s="6">
        <v>1744</v>
      </c>
      <c r="B1746" s="6" t="str">
        <f>"53002023052915450693003"</f>
        <v>53002023052915450693003</v>
      </c>
      <c r="C1746" s="6" t="str">
        <f t="shared" si="109"/>
        <v>0204</v>
      </c>
      <c r="D1746" s="6" t="s">
        <v>24</v>
      </c>
      <c r="E1746" s="6" t="str">
        <f>"黄海燕"</f>
        <v>黄海燕</v>
      </c>
      <c r="F1746" s="6" t="str">
        <f t="shared" si="110"/>
        <v>女</v>
      </c>
    </row>
    <row r="1747" spans="1:6" ht="30" customHeight="1">
      <c r="A1747" s="6">
        <v>1745</v>
      </c>
      <c r="B1747" s="6" t="str">
        <f>"53002023052915460293011"</f>
        <v>53002023052915460293011</v>
      </c>
      <c r="C1747" s="6" t="str">
        <f t="shared" si="109"/>
        <v>0204</v>
      </c>
      <c r="D1747" s="6" t="s">
        <v>24</v>
      </c>
      <c r="E1747" s="6" t="str">
        <f>"周薇"</f>
        <v>周薇</v>
      </c>
      <c r="F1747" s="6" t="str">
        <f t="shared" si="110"/>
        <v>女</v>
      </c>
    </row>
    <row r="1748" spans="1:6" ht="30" customHeight="1">
      <c r="A1748" s="6">
        <v>1746</v>
      </c>
      <c r="B1748" s="6" t="str">
        <f>"53002023052916130393228"</f>
        <v>53002023052916130393228</v>
      </c>
      <c r="C1748" s="6" t="str">
        <f t="shared" si="109"/>
        <v>0204</v>
      </c>
      <c r="D1748" s="6" t="s">
        <v>24</v>
      </c>
      <c r="E1748" s="6" t="str">
        <f>"黎启亮"</f>
        <v>黎启亮</v>
      </c>
      <c r="F1748" s="6" t="str">
        <f>"男"</f>
        <v>男</v>
      </c>
    </row>
    <row r="1749" spans="1:6" ht="30" customHeight="1">
      <c r="A1749" s="6">
        <v>1747</v>
      </c>
      <c r="B1749" s="6" t="str">
        <f>"53002023052916273893334"</f>
        <v>53002023052916273893334</v>
      </c>
      <c r="C1749" s="6" t="str">
        <f t="shared" si="109"/>
        <v>0204</v>
      </c>
      <c r="D1749" s="6" t="s">
        <v>24</v>
      </c>
      <c r="E1749" s="6" t="str">
        <f>"黄莉茱"</f>
        <v>黄莉茱</v>
      </c>
      <c r="F1749" s="6" t="str">
        <f>"女"</f>
        <v>女</v>
      </c>
    </row>
    <row r="1750" spans="1:6" ht="30" customHeight="1">
      <c r="A1750" s="6">
        <v>1748</v>
      </c>
      <c r="B1750" s="6" t="str">
        <f>"53002023052916070393180"</f>
        <v>53002023052916070393180</v>
      </c>
      <c r="C1750" s="6" t="str">
        <f t="shared" si="109"/>
        <v>0204</v>
      </c>
      <c r="D1750" s="6" t="s">
        <v>24</v>
      </c>
      <c r="E1750" s="6" t="str">
        <f>"羊妹娥"</f>
        <v>羊妹娥</v>
      </c>
      <c r="F1750" s="6" t="str">
        <f>"女"</f>
        <v>女</v>
      </c>
    </row>
    <row r="1751" spans="1:6" ht="30" customHeight="1">
      <c r="A1751" s="6">
        <v>1749</v>
      </c>
      <c r="B1751" s="6" t="str">
        <f>"53002023052916482393490"</f>
        <v>53002023052916482393490</v>
      </c>
      <c r="C1751" s="6" t="str">
        <f t="shared" si="109"/>
        <v>0204</v>
      </c>
      <c r="D1751" s="6" t="s">
        <v>24</v>
      </c>
      <c r="E1751" s="6" t="str">
        <f>"梁春燕"</f>
        <v>梁春燕</v>
      </c>
      <c r="F1751" s="6" t="str">
        <f>"女"</f>
        <v>女</v>
      </c>
    </row>
    <row r="1752" spans="1:6" ht="30" customHeight="1">
      <c r="A1752" s="6">
        <v>1750</v>
      </c>
      <c r="B1752" s="6" t="str">
        <f>"53002023052917020293579"</f>
        <v>53002023052917020293579</v>
      </c>
      <c r="C1752" s="6" t="str">
        <f t="shared" si="109"/>
        <v>0204</v>
      </c>
      <c r="D1752" s="6" t="s">
        <v>24</v>
      </c>
      <c r="E1752" s="6" t="str">
        <f>"王祚师"</f>
        <v>王祚师</v>
      </c>
      <c r="F1752" s="6" t="str">
        <f>"男"</f>
        <v>男</v>
      </c>
    </row>
    <row r="1753" spans="1:6" ht="30" customHeight="1">
      <c r="A1753" s="6">
        <v>1751</v>
      </c>
      <c r="B1753" s="6" t="str">
        <f>"53002023052916395793431"</f>
        <v>53002023052916395793431</v>
      </c>
      <c r="C1753" s="6" t="str">
        <f t="shared" si="109"/>
        <v>0204</v>
      </c>
      <c r="D1753" s="6" t="s">
        <v>24</v>
      </c>
      <c r="E1753" s="6" t="str">
        <f>"蒙绪娜"</f>
        <v>蒙绪娜</v>
      </c>
      <c r="F1753" s="6" t="str">
        <f aca="true" t="shared" si="111" ref="F1753:F1760">"女"</f>
        <v>女</v>
      </c>
    </row>
    <row r="1754" spans="1:6" ht="30" customHeight="1">
      <c r="A1754" s="6">
        <v>1752</v>
      </c>
      <c r="B1754" s="6" t="str">
        <f>"53002023052910152090622"</f>
        <v>53002023052910152090622</v>
      </c>
      <c r="C1754" s="6" t="str">
        <f t="shared" si="109"/>
        <v>0204</v>
      </c>
      <c r="D1754" s="6" t="s">
        <v>24</v>
      </c>
      <c r="E1754" s="6" t="str">
        <f>"李三梅"</f>
        <v>李三梅</v>
      </c>
      <c r="F1754" s="6" t="str">
        <f t="shared" si="111"/>
        <v>女</v>
      </c>
    </row>
    <row r="1755" spans="1:6" ht="30" customHeight="1">
      <c r="A1755" s="6">
        <v>1753</v>
      </c>
      <c r="B1755" s="6" t="str">
        <f>"53002023052908493789635"</f>
        <v>53002023052908493789635</v>
      </c>
      <c r="C1755" s="6" t="str">
        <f t="shared" si="109"/>
        <v>0204</v>
      </c>
      <c r="D1755" s="6" t="s">
        <v>24</v>
      </c>
      <c r="E1755" s="6" t="str">
        <f>"李振苏"</f>
        <v>李振苏</v>
      </c>
      <c r="F1755" s="6" t="str">
        <f t="shared" si="111"/>
        <v>女</v>
      </c>
    </row>
    <row r="1756" spans="1:6" ht="30" customHeight="1">
      <c r="A1756" s="6">
        <v>1754</v>
      </c>
      <c r="B1756" s="6" t="str">
        <f>"53002023052722551086477"</f>
        <v>53002023052722551086477</v>
      </c>
      <c r="C1756" s="6" t="str">
        <f t="shared" si="109"/>
        <v>0204</v>
      </c>
      <c r="D1756" s="6" t="s">
        <v>24</v>
      </c>
      <c r="E1756" s="6" t="str">
        <f>"吴婧"</f>
        <v>吴婧</v>
      </c>
      <c r="F1756" s="6" t="str">
        <f t="shared" si="111"/>
        <v>女</v>
      </c>
    </row>
    <row r="1757" spans="1:6" ht="30" customHeight="1">
      <c r="A1757" s="6">
        <v>1755</v>
      </c>
      <c r="B1757" s="6" t="str">
        <f>"53002023052916160593247"</f>
        <v>53002023052916160593247</v>
      </c>
      <c r="C1757" s="6" t="str">
        <f t="shared" si="109"/>
        <v>0204</v>
      </c>
      <c r="D1757" s="6" t="s">
        <v>24</v>
      </c>
      <c r="E1757" s="6" t="str">
        <f>"冯晓琴"</f>
        <v>冯晓琴</v>
      </c>
      <c r="F1757" s="6" t="str">
        <f t="shared" si="111"/>
        <v>女</v>
      </c>
    </row>
    <row r="1758" spans="1:6" ht="30" customHeight="1">
      <c r="A1758" s="6">
        <v>1756</v>
      </c>
      <c r="B1758" s="6" t="str">
        <f>"53002023052918004293889"</f>
        <v>53002023052918004293889</v>
      </c>
      <c r="C1758" s="6" t="str">
        <f t="shared" si="109"/>
        <v>0204</v>
      </c>
      <c r="D1758" s="6" t="s">
        <v>24</v>
      </c>
      <c r="E1758" s="6" t="str">
        <f>"杨俊芳"</f>
        <v>杨俊芳</v>
      </c>
      <c r="F1758" s="6" t="str">
        <f t="shared" si="111"/>
        <v>女</v>
      </c>
    </row>
    <row r="1759" spans="1:6" ht="30" customHeight="1">
      <c r="A1759" s="6">
        <v>1757</v>
      </c>
      <c r="B1759" s="6" t="str">
        <f>"53002023052909200889980"</f>
        <v>53002023052909200889980</v>
      </c>
      <c r="C1759" s="6" t="str">
        <f t="shared" si="109"/>
        <v>0204</v>
      </c>
      <c r="D1759" s="6" t="s">
        <v>24</v>
      </c>
      <c r="E1759" s="6" t="str">
        <f>"王晓"</f>
        <v>王晓</v>
      </c>
      <c r="F1759" s="6" t="str">
        <f t="shared" si="111"/>
        <v>女</v>
      </c>
    </row>
    <row r="1760" spans="1:6" ht="30" customHeight="1">
      <c r="A1760" s="6">
        <v>1758</v>
      </c>
      <c r="B1760" s="6" t="str">
        <f>"53002023052722210386376"</f>
        <v>53002023052722210386376</v>
      </c>
      <c r="C1760" s="6" t="str">
        <f t="shared" si="109"/>
        <v>0204</v>
      </c>
      <c r="D1760" s="6" t="s">
        <v>24</v>
      </c>
      <c r="E1760" s="6" t="str">
        <f>"甘郁灵"</f>
        <v>甘郁灵</v>
      </c>
      <c r="F1760" s="6" t="str">
        <f t="shared" si="111"/>
        <v>女</v>
      </c>
    </row>
    <row r="1761" spans="1:6" ht="30" customHeight="1">
      <c r="A1761" s="6">
        <v>1759</v>
      </c>
      <c r="B1761" s="6" t="str">
        <f>"53002023052909112089884"</f>
        <v>53002023052909112089884</v>
      </c>
      <c r="C1761" s="6" t="str">
        <f t="shared" si="109"/>
        <v>0204</v>
      </c>
      <c r="D1761" s="6" t="s">
        <v>24</v>
      </c>
      <c r="E1761" s="6" t="str">
        <f>"麦练鹏"</f>
        <v>麦练鹏</v>
      </c>
      <c r="F1761" s="6" t="str">
        <f>"男"</f>
        <v>男</v>
      </c>
    </row>
    <row r="1762" spans="1:6" ht="30" customHeight="1">
      <c r="A1762" s="6">
        <v>1760</v>
      </c>
      <c r="B1762" s="6" t="str">
        <f>"53002023052820270888668"</f>
        <v>53002023052820270888668</v>
      </c>
      <c r="C1762" s="6" t="str">
        <f t="shared" si="109"/>
        <v>0204</v>
      </c>
      <c r="D1762" s="6" t="s">
        <v>24</v>
      </c>
      <c r="E1762" s="6" t="str">
        <f>"苏高立"</f>
        <v>苏高立</v>
      </c>
      <c r="F1762" s="6" t="str">
        <f>"男"</f>
        <v>男</v>
      </c>
    </row>
    <row r="1763" spans="1:6" ht="30" customHeight="1">
      <c r="A1763" s="6">
        <v>1761</v>
      </c>
      <c r="B1763" s="6" t="str">
        <f>"53002023052920194294499"</f>
        <v>53002023052920194294499</v>
      </c>
      <c r="C1763" s="6" t="str">
        <f t="shared" si="109"/>
        <v>0204</v>
      </c>
      <c r="D1763" s="6" t="s">
        <v>24</v>
      </c>
      <c r="E1763" s="6" t="str">
        <f>"周炳惠"</f>
        <v>周炳惠</v>
      </c>
      <c r="F1763" s="6" t="str">
        <f aca="true" t="shared" si="112" ref="F1763:F1781">"女"</f>
        <v>女</v>
      </c>
    </row>
    <row r="1764" spans="1:6" ht="30" customHeight="1">
      <c r="A1764" s="6">
        <v>1762</v>
      </c>
      <c r="B1764" s="6" t="str">
        <f>"53002023052918550094124"</f>
        <v>53002023052918550094124</v>
      </c>
      <c r="C1764" s="6" t="str">
        <f aca="true" t="shared" si="113" ref="C1764:C1827">"0204"</f>
        <v>0204</v>
      </c>
      <c r="D1764" s="6" t="s">
        <v>24</v>
      </c>
      <c r="E1764" s="6" t="str">
        <f>"杨英乔"</f>
        <v>杨英乔</v>
      </c>
      <c r="F1764" s="6" t="str">
        <f t="shared" si="112"/>
        <v>女</v>
      </c>
    </row>
    <row r="1765" spans="1:6" ht="30" customHeight="1">
      <c r="A1765" s="6">
        <v>1763</v>
      </c>
      <c r="B1765" s="6" t="str">
        <f>"53002023052921055694741"</f>
        <v>53002023052921055694741</v>
      </c>
      <c r="C1765" s="6" t="str">
        <f t="shared" si="113"/>
        <v>0204</v>
      </c>
      <c r="D1765" s="6" t="s">
        <v>24</v>
      </c>
      <c r="E1765" s="6" t="str">
        <f>"李冬香"</f>
        <v>李冬香</v>
      </c>
      <c r="F1765" s="6" t="str">
        <f t="shared" si="112"/>
        <v>女</v>
      </c>
    </row>
    <row r="1766" spans="1:6" ht="30" customHeight="1">
      <c r="A1766" s="6">
        <v>1764</v>
      </c>
      <c r="B1766" s="6" t="str">
        <f>"53002023052922120095144"</f>
        <v>53002023052922120095144</v>
      </c>
      <c r="C1766" s="6" t="str">
        <f t="shared" si="113"/>
        <v>0204</v>
      </c>
      <c r="D1766" s="6" t="s">
        <v>24</v>
      </c>
      <c r="E1766" s="6" t="str">
        <f>"唐玉丹"</f>
        <v>唐玉丹</v>
      </c>
      <c r="F1766" s="6" t="str">
        <f t="shared" si="112"/>
        <v>女</v>
      </c>
    </row>
    <row r="1767" spans="1:6" ht="30" customHeight="1">
      <c r="A1767" s="6">
        <v>1765</v>
      </c>
      <c r="B1767" s="6" t="str">
        <f>"53002023052921402794958"</f>
        <v>53002023052921402794958</v>
      </c>
      <c r="C1767" s="6" t="str">
        <f t="shared" si="113"/>
        <v>0204</v>
      </c>
      <c r="D1767" s="6" t="s">
        <v>24</v>
      </c>
      <c r="E1767" s="6" t="str">
        <f>"裴王艳"</f>
        <v>裴王艳</v>
      </c>
      <c r="F1767" s="6" t="str">
        <f t="shared" si="112"/>
        <v>女</v>
      </c>
    </row>
    <row r="1768" spans="1:6" ht="30" customHeight="1">
      <c r="A1768" s="6">
        <v>1766</v>
      </c>
      <c r="B1768" s="6" t="str">
        <f>"53002023052922541795374"</f>
        <v>53002023052922541795374</v>
      </c>
      <c r="C1768" s="6" t="str">
        <f t="shared" si="113"/>
        <v>0204</v>
      </c>
      <c r="D1768" s="6" t="s">
        <v>24</v>
      </c>
      <c r="E1768" s="6" t="str">
        <f>"陈翠红"</f>
        <v>陈翠红</v>
      </c>
      <c r="F1768" s="6" t="str">
        <f t="shared" si="112"/>
        <v>女</v>
      </c>
    </row>
    <row r="1769" spans="1:6" ht="30" customHeight="1">
      <c r="A1769" s="6">
        <v>1767</v>
      </c>
      <c r="B1769" s="6" t="str">
        <f>"53002023052802094386695"</f>
        <v>53002023052802094386695</v>
      </c>
      <c r="C1769" s="6" t="str">
        <f t="shared" si="113"/>
        <v>0204</v>
      </c>
      <c r="D1769" s="6" t="s">
        <v>24</v>
      </c>
      <c r="E1769" s="6" t="str">
        <f>"吴德爱"</f>
        <v>吴德爱</v>
      </c>
      <c r="F1769" s="6" t="str">
        <f t="shared" si="112"/>
        <v>女</v>
      </c>
    </row>
    <row r="1770" spans="1:6" ht="30" customHeight="1">
      <c r="A1770" s="6">
        <v>1768</v>
      </c>
      <c r="B1770" s="6" t="str">
        <f>"53002023053000034795639"</f>
        <v>53002023053000034795639</v>
      </c>
      <c r="C1770" s="6" t="str">
        <f t="shared" si="113"/>
        <v>0204</v>
      </c>
      <c r="D1770" s="6" t="s">
        <v>24</v>
      </c>
      <c r="E1770" s="6" t="str">
        <f>"麦汝婷"</f>
        <v>麦汝婷</v>
      </c>
      <c r="F1770" s="6" t="str">
        <f t="shared" si="112"/>
        <v>女</v>
      </c>
    </row>
    <row r="1771" spans="1:6" ht="30" customHeight="1">
      <c r="A1771" s="6">
        <v>1769</v>
      </c>
      <c r="B1771" s="6" t="str">
        <f>"53002023052819341688520"</f>
        <v>53002023052819341688520</v>
      </c>
      <c r="C1771" s="6" t="str">
        <f t="shared" si="113"/>
        <v>0204</v>
      </c>
      <c r="D1771" s="6" t="s">
        <v>24</v>
      </c>
      <c r="E1771" s="6" t="str">
        <f>"文红梅"</f>
        <v>文红梅</v>
      </c>
      <c r="F1771" s="6" t="str">
        <f t="shared" si="112"/>
        <v>女</v>
      </c>
    </row>
    <row r="1772" spans="1:6" ht="30" customHeight="1">
      <c r="A1772" s="6">
        <v>1770</v>
      </c>
      <c r="B1772" s="6" t="str">
        <f>"53002023053008425295907"</f>
        <v>53002023053008425295907</v>
      </c>
      <c r="C1772" s="6" t="str">
        <f t="shared" si="113"/>
        <v>0204</v>
      </c>
      <c r="D1772" s="6" t="s">
        <v>24</v>
      </c>
      <c r="E1772" s="6" t="str">
        <f>"符秀弯"</f>
        <v>符秀弯</v>
      </c>
      <c r="F1772" s="6" t="str">
        <f t="shared" si="112"/>
        <v>女</v>
      </c>
    </row>
    <row r="1773" spans="1:6" ht="30" customHeight="1">
      <c r="A1773" s="6">
        <v>1771</v>
      </c>
      <c r="B1773" s="6" t="str">
        <f>"53002023052912122491730"</f>
        <v>53002023052912122491730</v>
      </c>
      <c r="C1773" s="6" t="str">
        <f t="shared" si="113"/>
        <v>0204</v>
      </c>
      <c r="D1773" s="6" t="s">
        <v>24</v>
      </c>
      <c r="E1773" s="6" t="str">
        <f>"黎明翠"</f>
        <v>黎明翠</v>
      </c>
      <c r="F1773" s="6" t="str">
        <f t="shared" si="112"/>
        <v>女</v>
      </c>
    </row>
    <row r="1774" spans="1:6" ht="30" customHeight="1">
      <c r="A1774" s="6">
        <v>1772</v>
      </c>
      <c r="B1774" s="6" t="str">
        <f>"53002023053008544595955"</f>
        <v>53002023053008544595955</v>
      </c>
      <c r="C1774" s="6" t="str">
        <f t="shared" si="113"/>
        <v>0204</v>
      </c>
      <c r="D1774" s="6" t="s">
        <v>24</v>
      </c>
      <c r="E1774" s="6" t="str">
        <f>"谢宛燃"</f>
        <v>谢宛燃</v>
      </c>
      <c r="F1774" s="6" t="str">
        <f t="shared" si="112"/>
        <v>女</v>
      </c>
    </row>
    <row r="1775" spans="1:6" ht="30" customHeight="1">
      <c r="A1775" s="6">
        <v>1773</v>
      </c>
      <c r="B1775" s="6" t="str">
        <f>"53002023053010353596733"</f>
        <v>53002023053010353596733</v>
      </c>
      <c r="C1775" s="6" t="str">
        <f t="shared" si="113"/>
        <v>0204</v>
      </c>
      <c r="D1775" s="6" t="s">
        <v>24</v>
      </c>
      <c r="E1775" s="6" t="str">
        <f>"黎石带"</f>
        <v>黎石带</v>
      </c>
      <c r="F1775" s="6" t="str">
        <f t="shared" si="112"/>
        <v>女</v>
      </c>
    </row>
    <row r="1776" spans="1:6" ht="30" customHeight="1">
      <c r="A1776" s="6">
        <v>1774</v>
      </c>
      <c r="B1776" s="6" t="str">
        <f>"53002023052822411389137"</f>
        <v>53002023052822411389137</v>
      </c>
      <c r="C1776" s="6" t="str">
        <f t="shared" si="113"/>
        <v>0204</v>
      </c>
      <c r="D1776" s="6" t="s">
        <v>24</v>
      </c>
      <c r="E1776" s="6" t="str">
        <f>"王丽秧"</f>
        <v>王丽秧</v>
      </c>
      <c r="F1776" s="6" t="str">
        <f t="shared" si="112"/>
        <v>女</v>
      </c>
    </row>
    <row r="1777" spans="1:6" ht="30" customHeight="1">
      <c r="A1777" s="6">
        <v>1775</v>
      </c>
      <c r="B1777" s="6" t="str">
        <f>"53002023052908341689581"</f>
        <v>53002023052908341689581</v>
      </c>
      <c r="C1777" s="6" t="str">
        <f t="shared" si="113"/>
        <v>0204</v>
      </c>
      <c r="D1777" s="6" t="s">
        <v>24</v>
      </c>
      <c r="E1777" s="6" t="str">
        <f>"李彦容"</f>
        <v>李彦容</v>
      </c>
      <c r="F1777" s="6" t="str">
        <f t="shared" si="112"/>
        <v>女</v>
      </c>
    </row>
    <row r="1778" spans="1:6" ht="30" customHeight="1">
      <c r="A1778" s="6">
        <v>1776</v>
      </c>
      <c r="B1778" s="6" t="str">
        <f>"53002023053010120596538"</f>
        <v>53002023053010120596538</v>
      </c>
      <c r="C1778" s="6" t="str">
        <f t="shared" si="113"/>
        <v>0204</v>
      </c>
      <c r="D1778" s="6" t="s">
        <v>24</v>
      </c>
      <c r="E1778" s="6" t="str">
        <f>"吴和月"</f>
        <v>吴和月</v>
      </c>
      <c r="F1778" s="6" t="str">
        <f t="shared" si="112"/>
        <v>女</v>
      </c>
    </row>
    <row r="1779" spans="1:6" ht="30" customHeight="1">
      <c r="A1779" s="6">
        <v>1777</v>
      </c>
      <c r="B1779" s="6" t="str">
        <f>"53002023052915461993014"</f>
        <v>53002023052915461993014</v>
      </c>
      <c r="C1779" s="6" t="str">
        <f t="shared" si="113"/>
        <v>0204</v>
      </c>
      <c r="D1779" s="6" t="s">
        <v>24</v>
      </c>
      <c r="E1779" s="6" t="str">
        <f>"何喜川"</f>
        <v>何喜川</v>
      </c>
      <c r="F1779" s="6" t="str">
        <f t="shared" si="112"/>
        <v>女</v>
      </c>
    </row>
    <row r="1780" spans="1:6" ht="30" customHeight="1">
      <c r="A1780" s="6">
        <v>1778</v>
      </c>
      <c r="B1780" s="6" t="str">
        <f>"53002023053011061997002"</f>
        <v>53002023053011061997002</v>
      </c>
      <c r="C1780" s="6" t="str">
        <f t="shared" si="113"/>
        <v>0204</v>
      </c>
      <c r="D1780" s="6" t="s">
        <v>24</v>
      </c>
      <c r="E1780" s="6" t="str">
        <f>"桂年秋"</f>
        <v>桂年秋</v>
      </c>
      <c r="F1780" s="6" t="str">
        <f t="shared" si="112"/>
        <v>女</v>
      </c>
    </row>
    <row r="1781" spans="1:6" ht="30" customHeight="1">
      <c r="A1781" s="6">
        <v>1779</v>
      </c>
      <c r="B1781" s="6" t="str">
        <f>"53002023053011175597101"</f>
        <v>53002023053011175597101</v>
      </c>
      <c r="C1781" s="6" t="str">
        <f t="shared" si="113"/>
        <v>0204</v>
      </c>
      <c r="D1781" s="6" t="s">
        <v>24</v>
      </c>
      <c r="E1781" s="6" t="str">
        <f>"陈言玲"</f>
        <v>陈言玲</v>
      </c>
      <c r="F1781" s="6" t="str">
        <f t="shared" si="112"/>
        <v>女</v>
      </c>
    </row>
    <row r="1782" spans="1:6" ht="30" customHeight="1">
      <c r="A1782" s="6">
        <v>1780</v>
      </c>
      <c r="B1782" s="6" t="str">
        <f>"53002023053010291996677"</f>
        <v>53002023053010291996677</v>
      </c>
      <c r="C1782" s="6" t="str">
        <f t="shared" si="113"/>
        <v>0204</v>
      </c>
      <c r="D1782" s="6" t="s">
        <v>24</v>
      </c>
      <c r="E1782" s="6" t="str">
        <f>"郑钦文"</f>
        <v>郑钦文</v>
      </c>
      <c r="F1782" s="6" t="str">
        <f>"男"</f>
        <v>男</v>
      </c>
    </row>
    <row r="1783" spans="1:6" ht="30" customHeight="1">
      <c r="A1783" s="6">
        <v>1781</v>
      </c>
      <c r="B1783" s="6" t="str">
        <f>"53002023053013132197808"</f>
        <v>53002023053013132197808</v>
      </c>
      <c r="C1783" s="6" t="str">
        <f t="shared" si="113"/>
        <v>0204</v>
      </c>
      <c r="D1783" s="6" t="s">
        <v>24</v>
      </c>
      <c r="E1783" s="6" t="str">
        <f>"许杏菊"</f>
        <v>许杏菊</v>
      </c>
      <c r="F1783" s="6" t="str">
        <f aca="true" t="shared" si="114" ref="F1783:F1789">"女"</f>
        <v>女</v>
      </c>
    </row>
    <row r="1784" spans="1:6" ht="30" customHeight="1">
      <c r="A1784" s="6">
        <v>1782</v>
      </c>
      <c r="B1784" s="6" t="str">
        <f>"53002023052710253484007"</f>
        <v>53002023052710253484007</v>
      </c>
      <c r="C1784" s="6" t="str">
        <f t="shared" si="113"/>
        <v>0204</v>
      </c>
      <c r="D1784" s="6" t="s">
        <v>24</v>
      </c>
      <c r="E1784" s="6" t="str">
        <f>"赵欣"</f>
        <v>赵欣</v>
      </c>
      <c r="F1784" s="6" t="str">
        <f t="shared" si="114"/>
        <v>女</v>
      </c>
    </row>
    <row r="1785" spans="1:6" ht="30" customHeight="1">
      <c r="A1785" s="6">
        <v>1783</v>
      </c>
      <c r="B1785" s="6" t="str">
        <f>"53002023052811100087106"</f>
        <v>53002023052811100087106</v>
      </c>
      <c r="C1785" s="6" t="str">
        <f t="shared" si="113"/>
        <v>0204</v>
      </c>
      <c r="D1785" s="6" t="s">
        <v>24</v>
      </c>
      <c r="E1785" s="6" t="str">
        <f>"李彩荣"</f>
        <v>李彩荣</v>
      </c>
      <c r="F1785" s="6" t="str">
        <f t="shared" si="114"/>
        <v>女</v>
      </c>
    </row>
    <row r="1786" spans="1:6" ht="30" customHeight="1">
      <c r="A1786" s="6">
        <v>1784</v>
      </c>
      <c r="B1786" s="6" t="str">
        <f>"53002023053012144697464"</f>
        <v>53002023053012144697464</v>
      </c>
      <c r="C1786" s="6" t="str">
        <f t="shared" si="113"/>
        <v>0204</v>
      </c>
      <c r="D1786" s="6" t="s">
        <v>24</v>
      </c>
      <c r="E1786" s="6" t="str">
        <f>"叶佩玲"</f>
        <v>叶佩玲</v>
      </c>
      <c r="F1786" s="6" t="str">
        <f t="shared" si="114"/>
        <v>女</v>
      </c>
    </row>
    <row r="1787" spans="1:6" ht="30" customHeight="1">
      <c r="A1787" s="6">
        <v>1785</v>
      </c>
      <c r="B1787" s="6" t="str">
        <f>"53002023053015512698623"</f>
        <v>53002023053015512698623</v>
      </c>
      <c r="C1787" s="6" t="str">
        <f t="shared" si="113"/>
        <v>0204</v>
      </c>
      <c r="D1787" s="6" t="s">
        <v>24</v>
      </c>
      <c r="E1787" s="6" t="str">
        <f>"莫朝什"</f>
        <v>莫朝什</v>
      </c>
      <c r="F1787" s="6" t="str">
        <f t="shared" si="114"/>
        <v>女</v>
      </c>
    </row>
    <row r="1788" spans="1:6" ht="30" customHeight="1">
      <c r="A1788" s="6">
        <v>1786</v>
      </c>
      <c r="B1788" s="6" t="str">
        <f>"53002023053012542997690"</f>
        <v>53002023053012542997690</v>
      </c>
      <c r="C1788" s="6" t="str">
        <f t="shared" si="113"/>
        <v>0204</v>
      </c>
      <c r="D1788" s="6" t="s">
        <v>24</v>
      </c>
      <c r="E1788" s="6" t="str">
        <f>"夏梦"</f>
        <v>夏梦</v>
      </c>
      <c r="F1788" s="6" t="str">
        <f t="shared" si="114"/>
        <v>女</v>
      </c>
    </row>
    <row r="1789" spans="1:6" ht="30" customHeight="1">
      <c r="A1789" s="6">
        <v>1787</v>
      </c>
      <c r="B1789" s="6" t="str">
        <f>"53002023053016232798828"</f>
        <v>53002023053016232798828</v>
      </c>
      <c r="C1789" s="6" t="str">
        <f t="shared" si="113"/>
        <v>0204</v>
      </c>
      <c r="D1789" s="6" t="s">
        <v>24</v>
      </c>
      <c r="E1789" s="6" t="str">
        <f>"吴琪"</f>
        <v>吴琪</v>
      </c>
      <c r="F1789" s="6" t="str">
        <f t="shared" si="114"/>
        <v>女</v>
      </c>
    </row>
    <row r="1790" spans="1:6" ht="30" customHeight="1">
      <c r="A1790" s="6">
        <v>1788</v>
      </c>
      <c r="B1790" s="6" t="str">
        <f>"53002023052715285285114"</f>
        <v>53002023052715285285114</v>
      </c>
      <c r="C1790" s="6" t="str">
        <f t="shared" si="113"/>
        <v>0204</v>
      </c>
      <c r="D1790" s="6" t="s">
        <v>24</v>
      </c>
      <c r="E1790" s="6" t="str">
        <f>"高伟"</f>
        <v>高伟</v>
      </c>
      <c r="F1790" s="6" t="str">
        <f>"男"</f>
        <v>男</v>
      </c>
    </row>
    <row r="1791" spans="1:6" ht="30" customHeight="1">
      <c r="A1791" s="6">
        <v>1789</v>
      </c>
      <c r="B1791" s="6" t="str">
        <f>"53002023052723582586613"</f>
        <v>53002023052723582586613</v>
      </c>
      <c r="C1791" s="6" t="str">
        <f t="shared" si="113"/>
        <v>0204</v>
      </c>
      <c r="D1791" s="6" t="s">
        <v>24</v>
      </c>
      <c r="E1791" s="6" t="str">
        <f>"朱成名"</f>
        <v>朱成名</v>
      </c>
      <c r="F1791" s="6" t="str">
        <f>"男"</f>
        <v>男</v>
      </c>
    </row>
    <row r="1792" spans="1:6" ht="30" customHeight="1">
      <c r="A1792" s="6">
        <v>1790</v>
      </c>
      <c r="B1792" s="6" t="str">
        <f>"53002023053018351399523"</f>
        <v>53002023053018351399523</v>
      </c>
      <c r="C1792" s="6" t="str">
        <f t="shared" si="113"/>
        <v>0204</v>
      </c>
      <c r="D1792" s="6" t="s">
        <v>24</v>
      </c>
      <c r="E1792" s="6" t="str">
        <f>"吴桃坤"</f>
        <v>吴桃坤</v>
      </c>
      <c r="F1792" s="6" t="str">
        <f>"女"</f>
        <v>女</v>
      </c>
    </row>
    <row r="1793" spans="1:6" ht="30" customHeight="1">
      <c r="A1793" s="6">
        <v>1791</v>
      </c>
      <c r="B1793" s="6" t="str">
        <f>"53002023053018471999579"</f>
        <v>53002023053018471999579</v>
      </c>
      <c r="C1793" s="6" t="str">
        <f t="shared" si="113"/>
        <v>0204</v>
      </c>
      <c r="D1793" s="6" t="s">
        <v>24</v>
      </c>
      <c r="E1793" s="6" t="str">
        <f>"周婷婷"</f>
        <v>周婷婷</v>
      </c>
      <c r="F1793" s="6" t="str">
        <f>"女"</f>
        <v>女</v>
      </c>
    </row>
    <row r="1794" spans="1:6" ht="30" customHeight="1">
      <c r="A1794" s="6">
        <v>1792</v>
      </c>
      <c r="B1794" s="6" t="str">
        <f>"530020230530203632100069"</f>
        <v>530020230530203632100069</v>
      </c>
      <c r="C1794" s="6" t="str">
        <f t="shared" si="113"/>
        <v>0204</v>
      </c>
      <c r="D1794" s="6" t="s">
        <v>24</v>
      </c>
      <c r="E1794" s="6" t="str">
        <f>"王初同"</f>
        <v>王初同</v>
      </c>
      <c r="F1794" s="6" t="str">
        <f>"女"</f>
        <v>女</v>
      </c>
    </row>
    <row r="1795" spans="1:6" ht="30" customHeight="1">
      <c r="A1795" s="6">
        <v>1793</v>
      </c>
      <c r="B1795" s="6" t="str">
        <f>"530020230530205447100147"</f>
        <v>530020230530205447100147</v>
      </c>
      <c r="C1795" s="6" t="str">
        <f t="shared" si="113"/>
        <v>0204</v>
      </c>
      <c r="D1795" s="6" t="s">
        <v>24</v>
      </c>
      <c r="E1795" s="6" t="str">
        <f>"符美云"</f>
        <v>符美云</v>
      </c>
      <c r="F1795" s="6" t="str">
        <f>"女"</f>
        <v>女</v>
      </c>
    </row>
    <row r="1796" spans="1:6" ht="30" customHeight="1">
      <c r="A1796" s="6">
        <v>1794</v>
      </c>
      <c r="B1796" s="6" t="str">
        <f>"530020230530215736100458"</f>
        <v>530020230530215736100458</v>
      </c>
      <c r="C1796" s="6" t="str">
        <f t="shared" si="113"/>
        <v>0204</v>
      </c>
      <c r="D1796" s="6" t="s">
        <v>24</v>
      </c>
      <c r="E1796" s="6" t="str">
        <f>"吴玲美"</f>
        <v>吴玲美</v>
      </c>
      <c r="F1796" s="6" t="str">
        <f>"女"</f>
        <v>女</v>
      </c>
    </row>
    <row r="1797" spans="1:6" ht="30" customHeight="1">
      <c r="A1797" s="6">
        <v>1795</v>
      </c>
      <c r="B1797" s="6" t="str">
        <f>"530020230531000803100954"</f>
        <v>530020230531000803100954</v>
      </c>
      <c r="C1797" s="6" t="str">
        <f t="shared" si="113"/>
        <v>0204</v>
      </c>
      <c r="D1797" s="6" t="s">
        <v>24</v>
      </c>
      <c r="E1797" s="6" t="str">
        <f>"金扬请"</f>
        <v>金扬请</v>
      </c>
      <c r="F1797" s="6" t="str">
        <f>"男"</f>
        <v>男</v>
      </c>
    </row>
    <row r="1798" spans="1:6" ht="30" customHeight="1">
      <c r="A1798" s="6">
        <v>1796</v>
      </c>
      <c r="B1798" s="6" t="str">
        <f>"53002023052715312785129"</f>
        <v>53002023052715312785129</v>
      </c>
      <c r="C1798" s="6" t="str">
        <f t="shared" si="113"/>
        <v>0204</v>
      </c>
      <c r="D1798" s="6" t="s">
        <v>24</v>
      </c>
      <c r="E1798" s="6" t="str">
        <f>"李丹垚"</f>
        <v>李丹垚</v>
      </c>
      <c r="F1798" s="6" t="str">
        <f>"女"</f>
        <v>女</v>
      </c>
    </row>
    <row r="1799" spans="1:6" ht="30" customHeight="1">
      <c r="A1799" s="6">
        <v>1797</v>
      </c>
      <c r="B1799" s="6" t="str">
        <f>"530020230531003757100996"</f>
        <v>530020230531003757100996</v>
      </c>
      <c r="C1799" s="6" t="str">
        <f t="shared" si="113"/>
        <v>0204</v>
      </c>
      <c r="D1799" s="6" t="s">
        <v>24</v>
      </c>
      <c r="E1799" s="6" t="str">
        <f>"刘珊羽"</f>
        <v>刘珊羽</v>
      </c>
      <c r="F1799" s="6" t="str">
        <f>"女"</f>
        <v>女</v>
      </c>
    </row>
    <row r="1800" spans="1:6" ht="30" customHeight="1">
      <c r="A1800" s="6">
        <v>1798</v>
      </c>
      <c r="B1800" s="6" t="str">
        <f>"530020230531092535101509"</f>
        <v>530020230531092535101509</v>
      </c>
      <c r="C1800" s="6" t="str">
        <f t="shared" si="113"/>
        <v>0204</v>
      </c>
      <c r="D1800" s="6" t="s">
        <v>24</v>
      </c>
      <c r="E1800" s="6" t="str">
        <f>"柏继舜"</f>
        <v>柏继舜</v>
      </c>
      <c r="F1800" s="6" t="str">
        <f>"男"</f>
        <v>男</v>
      </c>
    </row>
    <row r="1801" spans="1:6" ht="30" customHeight="1">
      <c r="A1801" s="6">
        <v>1799</v>
      </c>
      <c r="B1801" s="6" t="str">
        <f>"53002023053017564599357"</f>
        <v>53002023053017564599357</v>
      </c>
      <c r="C1801" s="6" t="str">
        <f t="shared" si="113"/>
        <v>0204</v>
      </c>
      <c r="D1801" s="6" t="s">
        <v>24</v>
      </c>
      <c r="E1801" s="6" t="str">
        <f>"符小贻"</f>
        <v>符小贻</v>
      </c>
      <c r="F1801" s="6" t="str">
        <f aca="true" t="shared" si="115" ref="F1801:F1807">"女"</f>
        <v>女</v>
      </c>
    </row>
    <row r="1802" spans="1:6" ht="30" customHeight="1">
      <c r="A1802" s="6">
        <v>1800</v>
      </c>
      <c r="B1802" s="6" t="str">
        <f>"530020230531105259102141"</f>
        <v>530020230531105259102141</v>
      </c>
      <c r="C1802" s="6" t="str">
        <f t="shared" si="113"/>
        <v>0204</v>
      </c>
      <c r="D1802" s="6" t="s">
        <v>24</v>
      </c>
      <c r="E1802" s="6" t="str">
        <f>"周晓娟"</f>
        <v>周晓娟</v>
      </c>
      <c r="F1802" s="6" t="str">
        <f t="shared" si="115"/>
        <v>女</v>
      </c>
    </row>
    <row r="1803" spans="1:6" ht="30" customHeight="1">
      <c r="A1803" s="6">
        <v>1801</v>
      </c>
      <c r="B1803" s="6" t="str">
        <f>"53002023053010194696610"</f>
        <v>53002023053010194696610</v>
      </c>
      <c r="C1803" s="6" t="str">
        <f t="shared" si="113"/>
        <v>0204</v>
      </c>
      <c r="D1803" s="6" t="s">
        <v>24</v>
      </c>
      <c r="E1803" s="6" t="str">
        <f>"陈芳婷"</f>
        <v>陈芳婷</v>
      </c>
      <c r="F1803" s="6" t="str">
        <f t="shared" si="115"/>
        <v>女</v>
      </c>
    </row>
    <row r="1804" spans="1:6" ht="30" customHeight="1">
      <c r="A1804" s="6">
        <v>1802</v>
      </c>
      <c r="B1804" s="6" t="str">
        <f>"530020230531122818102643"</f>
        <v>530020230531122818102643</v>
      </c>
      <c r="C1804" s="6" t="str">
        <f t="shared" si="113"/>
        <v>0204</v>
      </c>
      <c r="D1804" s="6" t="s">
        <v>24</v>
      </c>
      <c r="E1804" s="6" t="str">
        <f>"符玲玲"</f>
        <v>符玲玲</v>
      </c>
      <c r="F1804" s="6" t="str">
        <f t="shared" si="115"/>
        <v>女</v>
      </c>
    </row>
    <row r="1805" spans="1:6" ht="30" customHeight="1">
      <c r="A1805" s="6">
        <v>1803</v>
      </c>
      <c r="B1805" s="6" t="str">
        <f>"530020230531121451102582"</f>
        <v>530020230531121451102582</v>
      </c>
      <c r="C1805" s="6" t="str">
        <f t="shared" si="113"/>
        <v>0204</v>
      </c>
      <c r="D1805" s="6" t="s">
        <v>24</v>
      </c>
      <c r="E1805" s="6" t="str">
        <f>"黎秋侬"</f>
        <v>黎秋侬</v>
      </c>
      <c r="F1805" s="6" t="str">
        <f t="shared" si="115"/>
        <v>女</v>
      </c>
    </row>
    <row r="1806" spans="1:6" ht="30" customHeight="1">
      <c r="A1806" s="6">
        <v>1804</v>
      </c>
      <c r="B1806" s="6" t="str">
        <f>"530020230531121210102566"</f>
        <v>530020230531121210102566</v>
      </c>
      <c r="C1806" s="6" t="str">
        <f t="shared" si="113"/>
        <v>0204</v>
      </c>
      <c r="D1806" s="6" t="s">
        <v>24</v>
      </c>
      <c r="E1806" s="6" t="str">
        <f>"邓丹花"</f>
        <v>邓丹花</v>
      </c>
      <c r="F1806" s="6" t="str">
        <f t="shared" si="115"/>
        <v>女</v>
      </c>
    </row>
    <row r="1807" spans="1:6" ht="30" customHeight="1">
      <c r="A1807" s="6">
        <v>1805</v>
      </c>
      <c r="B1807" s="6" t="str">
        <f>"530020230531122542102633"</f>
        <v>530020230531122542102633</v>
      </c>
      <c r="C1807" s="6" t="str">
        <f t="shared" si="113"/>
        <v>0204</v>
      </c>
      <c r="D1807" s="6" t="s">
        <v>24</v>
      </c>
      <c r="E1807" s="6" t="str">
        <f>"李丽香"</f>
        <v>李丽香</v>
      </c>
      <c r="F1807" s="6" t="str">
        <f t="shared" si="115"/>
        <v>女</v>
      </c>
    </row>
    <row r="1808" spans="1:6" ht="30" customHeight="1">
      <c r="A1808" s="6">
        <v>1806</v>
      </c>
      <c r="B1808" s="6" t="str">
        <f>"530020230531132933102920"</f>
        <v>530020230531132933102920</v>
      </c>
      <c r="C1808" s="6" t="str">
        <f t="shared" si="113"/>
        <v>0204</v>
      </c>
      <c r="D1808" s="6" t="s">
        <v>24</v>
      </c>
      <c r="E1808" s="6" t="str">
        <f>"黄庆民"</f>
        <v>黄庆民</v>
      </c>
      <c r="F1808" s="6" t="str">
        <f>"男"</f>
        <v>男</v>
      </c>
    </row>
    <row r="1809" spans="1:6" ht="30" customHeight="1">
      <c r="A1809" s="6">
        <v>1807</v>
      </c>
      <c r="B1809" s="6" t="str">
        <f>"530020230531144509103147"</f>
        <v>530020230531144509103147</v>
      </c>
      <c r="C1809" s="6" t="str">
        <f t="shared" si="113"/>
        <v>0204</v>
      </c>
      <c r="D1809" s="6" t="s">
        <v>24</v>
      </c>
      <c r="E1809" s="6" t="str">
        <f>"林妮妮"</f>
        <v>林妮妮</v>
      </c>
      <c r="F1809" s="6" t="str">
        <f>"女"</f>
        <v>女</v>
      </c>
    </row>
    <row r="1810" spans="1:6" ht="30" customHeight="1">
      <c r="A1810" s="6">
        <v>1808</v>
      </c>
      <c r="B1810" s="6" t="str">
        <f>"53002023053019370899773"</f>
        <v>53002023053019370899773</v>
      </c>
      <c r="C1810" s="6" t="str">
        <f t="shared" si="113"/>
        <v>0204</v>
      </c>
      <c r="D1810" s="6" t="s">
        <v>24</v>
      </c>
      <c r="E1810" s="6" t="str">
        <f>"温在国"</f>
        <v>温在国</v>
      </c>
      <c r="F1810" s="6" t="str">
        <f>"男"</f>
        <v>男</v>
      </c>
    </row>
    <row r="1811" spans="1:6" ht="30" customHeight="1">
      <c r="A1811" s="6">
        <v>1809</v>
      </c>
      <c r="B1811" s="6" t="str">
        <f>"530020230531153612103381"</f>
        <v>530020230531153612103381</v>
      </c>
      <c r="C1811" s="6" t="str">
        <f t="shared" si="113"/>
        <v>0204</v>
      </c>
      <c r="D1811" s="6" t="s">
        <v>24</v>
      </c>
      <c r="E1811" s="6" t="str">
        <f>"林少琴"</f>
        <v>林少琴</v>
      </c>
      <c r="F1811" s="6" t="str">
        <f>"女"</f>
        <v>女</v>
      </c>
    </row>
    <row r="1812" spans="1:6" ht="30" customHeight="1">
      <c r="A1812" s="6">
        <v>1810</v>
      </c>
      <c r="B1812" s="6" t="str">
        <f>"530020230531164338103730"</f>
        <v>530020230531164338103730</v>
      </c>
      <c r="C1812" s="6" t="str">
        <f t="shared" si="113"/>
        <v>0204</v>
      </c>
      <c r="D1812" s="6" t="s">
        <v>24</v>
      </c>
      <c r="E1812" s="6" t="str">
        <f>"黄雨霞"</f>
        <v>黄雨霞</v>
      </c>
      <c r="F1812" s="6" t="str">
        <f>"女"</f>
        <v>女</v>
      </c>
    </row>
    <row r="1813" spans="1:6" ht="30" customHeight="1">
      <c r="A1813" s="6">
        <v>1811</v>
      </c>
      <c r="B1813" s="6" t="str">
        <f>"53002023052923303795540"</f>
        <v>53002023052923303795540</v>
      </c>
      <c r="C1813" s="6" t="str">
        <f t="shared" si="113"/>
        <v>0204</v>
      </c>
      <c r="D1813" s="6" t="s">
        <v>24</v>
      </c>
      <c r="E1813" s="6" t="str">
        <f>"王彩丹"</f>
        <v>王彩丹</v>
      </c>
      <c r="F1813" s="6" t="str">
        <f>"女"</f>
        <v>女</v>
      </c>
    </row>
    <row r="1814" spans="1:6" ht="30" customHeight="1">
      <c r="A1814" s="6">
        <v>1812</v>
      </c>
      <c r="B1814" s="6" t="str">
        <f>"53002023052820485488750"</f>
        <v>53002023052820485488750</v>
      </c>
      <c r="C1814" s="6" t="str">
        <f t="shared" si="113"/>
        <v>0204</v>
      </c>
      <c r="D1814" s="6" t="s">
        <v>24</v>
      </c>
      <c r="E1814" s="6" t="str">
        <f>"黎德霞"</f>
        <v>黎德霞</v>
      </c>
      <c r="F1814" s="6" t="str">
        <f>"女"</f>
        <v>女</v>
      </c>
    </row>
    <row r="1815" spans="1:6" ht="30" customHeight="1">
      <c r="A1815" s="6">
        <v>1813</v>
      </c>
      <c r="B1815" s="6" t="str">
        <f>"530020230531190107104207"</f>
        <v>530020230531190107104207</v>
      </c>
      <c r="C1815" s="6" t="str">
        <f t="shared" si="113"/>
        <v>0204</v>
      </c>
      <c r="D1815" s="6" t="s">
        <v>24</v>
      </c>
      <c r="E1815" s="6" t="str">
        <f>"王小清"</f>
        <v>王小清</v>
      </c>
      <c r="F1815" s="6" t="str">
        <f>"男"</f>
        <v>男</v>
      </c>
    </row>
    <row r="1816" spans="1:6" ht="30" customHeight="1">
      <c r="A1816" s="6">
        <v>1814</v>
      </c>
      <c r="B1816" s="6" t="str">
        <f>"530020230531202847104444"</f>
        <v>530020230531202847104444</v>
      </c>
      <c r="C1816" s="6" t="str">
        <f t="shared" si="113"/>
        <v>0204</v>
      </c>
      <c r="D1816" s="6" t="s">
        <v>24</v>
      </c>
      <c r="E1816" s="6" t="str">
        <f>"胡绍海"</f>
        <v>胡绍海</v>
      </c>
      <c r="F1816" s="6" t="str">
        <f>"男"</f>
        <v>男</v>
      </c>
    </row>
    <row r="1817" spans="1:6" ht="30" customHeight="1">
      <c r="A1817" s="6">
        <v>1815</v>
      </c>
      <c r="B1817" s="6" t="str">
        <f>"530020230531191003104227"</f>
        <v>530020230531191003104227</v>
      </c>
      <c r="C1817" s="6" t="str">
        <f t="shared" si="113"/>
        <v>0204</v>
      </c>
      <c r="D1817" s="6" t="s">
        <v>24</v>
      </c>
      <c r="E1817" s="6" t="str">
        <f>"刘泽珊"</f>
        <v>刘泽珊</v>
      </c>
      <c r="F1817" s="6" t="str">
        <f>"女"</f>
        <v>女</v>
      </c>
    </row>
    <row r="1818" spans="1:6" ht="30" customHeight="1">
      <c r="A1818" s="6">
        <v>1816</v>
      </c>
      <c r="B1818" s="6" t="str">
        <f>"53002023053015275998454"</f>
        <v>53002023053015275998454</v>
      </c>
      <c r="C1818" s="6" t="str">
        <f t="shared" si="113"/>
        <v>0204</v>
      </c>
      <c r="D1818" s="6" t="s">
        <v>24</v>
      </c>
      <c r="E1818" s="6" t="str">
        <f>"郭善兰"</f>
        <v>郭善兰</v>
      </c>
      <c r="F1818" s="6" t="str">
        <f>"女"</f>
        <v>女</v>
      </c>
    </row>
    <row r="1819" spans="1:6" ht="30" customHeight="1">
      <c r="A1819" s="6">
        <v>1817</v>
      </c>
      <c r="B1819" s="6" t="str">
        <f>"530020230531224755104941"</f>
        <v>530020230531224755104941</v>
      </c>
      <c r="C1819" s="6" t="str">
        <f t="shared" si="113"/>
        <v>0204</v>
      </c>
      <c r="D1819" s="6" t="s">
        <v>24</v>
      </c>
      <c r="E1819" s="6" t="str">
        <f>"张瑞传"</f>
        <v>张瑞传</v>
      </c>
      <c r="F1819" s="6" t="str">
        <f>"男"</f>
        <v>男</v>
      </c>
    </row>
    <row r="1820" spans="1:6" ht="30" customHeight="1">
      <c r="A1820" s="6">
        <v>1818</v>
      </c>
      <c r="B1820" s="6" t="str">
        <f>"530020230531232223105035"</f>
        <v>530020230531232223105035</v>
      </c>
      <c r="C1820" s="6" t="str">
        <f t="shared" si="113"/>
        <v>0204</v>
      </c>
      <c r="D1820" s="6" t="s">
        <v>24</v>
      </c>
      <c r="E1820" s="6" t="str">
        <f>"卢妍杏"</f>
        <v>卢妍杏</v>
      </c>
      <c r="F1820" s="6" t="str">
        <f>"女"</f>
        <v>女</v>
      </c>
    </row>
    <row r="1821" spans="1:6" ht="30" customHeight="1">
      <c r="A1821" s="6">
        <v>1819</v>
      </c>
      <c r="B1821" s="6" t="str">
        <f>"53002023052820305988682"</f>
        <v>53002023052820305988682</v>
      </c>
      <c r="C1821" s="6" t="str">
        <f t="shared" si="113"/>
        <v>0204</v>
      </c>
      <c r="D1821" s="6" t="s">
        <v>24</v>
      </c>
      <c r="E1821" s="6" t="str">
        <f>"陈政澎"</f>
        <v>陈政澎</v>
      </c>
      <c r="F1821" s="6" t="str">
        <f>"男"</f>
        <v>男</v>
      </c>
    </row>
    <row r="1822" spans="1:6" ht="30" customHeight="1">
      <c r="A1822" s="6">
        <v>1820</v>
      </c>
      <c r="B1822" s="6" t="str">
        <f>"530020230601090755105473"</f>
        <v>530020230601090755105473</v>
      </c>
      <c r="C1822" s="6" t="str">
        <f t="shared" si="113"/>
        <v>0204</v>
      </c>
      <c r="D1822" s="6" t="s">
        <v>24</v>
      </c>
      <c r="E1822" s="6" t="str">
        <f>"云燕娇"</f>
        <v>云燕娇</v>
      </c>
      <c r="F1822" s="6" t="str">
        <f>"女"</f>
        <v>女</v>
      </c>
    </row>
    <row r="1823" spans="1:6" ht="30" customHeight="1">
      <c r="A1823" s="6">
        <v>1821</v>
      </c>
      <c r="B1823" s="6" t="str">
        <f>"530020230601093633105674"</f>
        <v>530020230601093633105674</v>
      </c>
      <c r="C1823" s="6" t="str">
        <f t="shared" si="113"/>
        <v>0204</v>
      </c>
      <c r="D1823" s="6" t="s">
        <v>24</v>
      </c>
      <c r="E1823" s="6" t="str">
        <f>"刘传育"</f>
        <v>刘传育</v>
      </c>
      <c r="F1823" s="6" t="str">
        <f>"男"</f>
        <v>男</v>
      </c>
    </row>
    <row r="1824" spans="1:6" ht="30" customHeight="1">
      <c r="A1824" s="6">
        <v>1822</v>
      </c>
      <c r="B1824" s="6" t="str">
        <f>"530020230601100543105875"</f>
        <v>530020230601100543105875</v>
      </c>
      <c r="C1824" s="6" t="str">
        <f t="shared" si="113"/>
        <v>0204</v>
      </c>
      <c r="D1824" s="6" t="s">
        <v>24</v>
      </c>
      <c r="E1824" s="6" t="str">
        <f>"陈桂美"</f>
        <v>陈桂美</v>
      </c>
      <c r="F1824" s="6" t="str">
        <f>"女"</f>
        <v>女</v>
      </c>
    </row>
    <row r="1825" spans="1:6" ht="30" customHeight="1">
      <c r="A1825" s="6">
        <v>1823</v>
      </c>
      <c r="B1825" s="6" t="str">
        <f>"530020230601101206105925"</f>
        <v>530020230601101206105925</v>
      </c>
      <c r="C1825" s="6" t="str">
        <f t="shared" si="113"/>
        <v>0204</v>
      </c>
      <c r="D1825" s="6" t="s">
        <v>24</v>
      </c>
      <c r="E1825" s="6" t="str">
        <f>"林何花"</f>
        <v>林何花</v>
      </c>
      <c r="F1825" s="6" t="str">
        <f>"女"</f>
        <v>女</v>
      </c>
    </row>
    <row r="1826" spans="1:6" ht="30" customHeight="1">
      <c r="A1826" s="6">
        <v>1824</v>
      </c>
      <c r="B1826" s="6" t="str">
        <f>"530020230601103347106088"</f>
        <v>530020230601103347106088</v>
      </c>
      <c r="C1826" s="6" t="str">
        <f t="shared" si="113"/>
        <v>0204</v>
      </c>
      <c r="D1826" s="6" t="s">
        <v>24</v>
      </c>
      <c r="E1826" s="6" t="str">
        <f>"陈堂兵"</f>
        <v>陈堂兵</v>
      </c>
      <c r="F1826" s="6" t="str">
        <f>"女"</f>
        <v>女</v>
      </c>
    </row>
    <row r="1827" spans="1:6" ht="30" customHeight="1">
      <c r="A1827" s="6">
        <v>1825</v>
      </c>
      <c r="B1827" s="6" t="str">
        <f>"530020230601132307106904"</f>
        <v>530020230601132307106904</v>
      </c>
      <c r="C1827" s="6" t="str">
        <f t="shared" si="113"/>
        <v>0204</v>
      </c>
      <c r="D1827" s="6" t="s">
        <v>24</v>
      </c>
      <c r="E1827" s="6" t="str">
        <f>"吉秋靓"</f>
        <v>吉秋靓</v>
      </c>
      <c r="F1827" s="6" t="str">
        <f>"女"</f>
        <v>女</v>
      </c>
    </row>
    <row r="1828" spans="1:6" ht="30" customHeight="1">
      <c r="A1828" s="6">
        <v>1826</v>
      </c>
      <c r="B1828" s="6" t="str">
        <f>"530020230601143841107146"</f>
        <v>530020230601143841107146</v>
      </c>
      <c r="C1828" s="6" t="str">
        <f aca="true" t="shared" si="116" ref="C1828:C1850">"0204"</f>
        <v>0204</v>
      </c>
      <c r="D1828" s="6" t="s">
        <v>24</v>
      </c>
      <c r="E1828" s="6" t="str">
        <f>"邢维佳"</f>
        <v>邢维佳</v>
      </c>
      <c r="F1828" s="6" t="str">
        <f>"女"</f>
        <v>女</v>
      </c>
    </row>
    <row r="1829" spans="1:6" ht="30" customHeight="1">
      <c r="A1829" s="6">
        <v>1827</v>
      </c>
      <c r="B1829" s="6" t="str">
        <f>"530020230531134838102971"</f>
        <v>530020230531134838102971</v>
      </c>
      <c r="C1829" s="6" t="str">
        <f t="shared" si="116"/>
        <v>0204</v>
      </c>
      <c r="D1829" s="6" t="s">
        <v>24</v>
      </c>
      <c r="E1829" s="6" t="str">
        <f>"钟玄俊"</f>
        <v>钟玄俊</v>
      </c>
      <c r="F1829" s="6" t="str">
        <f>"男"</f>
        <v>男</v>
      </c>
    </row>
    <row r="1830" spans="1:6" ht="30" customHeight="1">
      <c r="A1830" s="6">
        <v>1828</v>
      </c>
      <c r="B1830" s="6" t="str">
        <f>"530020230531225613104973"</f>
        <v>530020230531225613104973</v>
      </c>
      <c r="C1830" s="6" t="str">
        <f t="shared" si="116"/>
        <v>0204</v>
      </c>
      <c r="D1830" s="6" t="s">
        <v>24</v>
      </c>
      <c r="E1830" s="6" t="str">
        <f>"欧春南"</f>
        <v>欧春南</v>
      </c>
      <c r="F1830" s="6" t="str">
        <f>"女"</f>
        <v>女</v>
      </c>
    </row>
    <row r="1831" spans="1:6" ht="30" customHeight="1">
      <c r="A1831" s="6">
        <v>1829</v>
      </c>
      <c r="B1831" s="6" t="str">
        <f>"530020230601104733106173"</f>
        <v>530020230601104733106173</v>
      </c>
      <c r="C1831" s="6" t="str">
        <f t="shared" si="116"/>
        <v>0204</v>
      </c>
      <c r="D1831" s="6" t="s">
        <v>24</v>
      </c>
      <c r="E1831" s="6" t="str">
        <f>"许悦"</f>
        <v>许悦</v>
      </c>
      <c r="F1831" s="6" t="str">
        <f>"女"</f>
        <v>女</v>
      </c>
    </row>
    <row r="1832" spans="1:6" ht="30" customHeight="1">
      <c r="A1832" s="6">
        <v>1830</v>
      </c>
      <c r="B1832" s="6" t="str">
        <f>"530020230601170446107809"</f>
        <v>530020230601170446107809</v>
      </c>
      <c r="C1832" s="6" t="str">
        <f t="shared" si="116"/>
        <v>0204</v>
      </c>
      <c r="D1832" s="6" t="s">
        <v>24</v>
      </c>
      <c r="E1832" s="6" t="str">
        <f>"曾桃英"</f>
        <v>曾桃英</v>
      </c>
      <c r="F1832" s="6" t="str">
        <f>"女"</f>
        <v>女</v>
      </c>
    </row>
    <row r="1833" spans="1:6" ht="30" customHeight="1">
      <c r="A1833" s="6">
        <v>1831</v>
      </c>
      <c r="B1833" s="6" t="str">
        <f>"530020230601182919108096"</f>
        <v>530020230601182919108096</v>
      </c>
      <c r="C1833" s="6" t="str">
        <f t="shared" si="116"/>
        <v>0204</v>
      </c>
      <c r="D1833" s="6" t="s">
        <v>24</v>
      </c>
      <c r="E1833" s="6" t="str">
        <f>"梁顾競"</f>
        <v>梁顾競</v>
      </c>
      <c r="F1833" s="6" t="str">
        <f>"男"</f>
        <v>男</v>
      </c>
    </row>
    <row r="1834" spans="1:6" ht="30" customHeight="1">
      <c r="A1834" s="6">
        <v>1832</v>
      </c>
      <c r="B1834" s="6" t="str">
        <f>"530020230601200120108344"</f>
        <v>530020230601200120108344</v>
      </c>
      <c r="C1834" s="6" t="str">
        <f t="shared" si="116"/>
        <v>0204</v>
      </c>
      <c r="D1834" s="6" t="s">
        <v>24</v>
      </c>
      <c r="E1834" s="6" t="str">
        <f>"吴耀亮"</f>
        <v>吴耀亮</v>
      </c>
      <c r="F1834" s="6" t="str">
        <f>"男"</f>
        <v>男</v>
      </c>
    </row>
    <row r="1835" spans="1:6" ht="30" customHeight="1">
      <c r="A1835" s="6">
        <v>1833</v>
      </c>
      <c r="B1835" s="6" t="str">
        <f>"530020230601204620108490"</f>
        <v>530020230601204620108490</v>
      </c>
      <c r="C1835" s="6" t="str">
        <f t="shared" si="116"/>
        <v>0204</v>
      </c>
      <c r="D1835" s="6" t="s">
        <v>24</v>
      </c>
      <c r="E1835" s="6" t="str">
        <f>"王秀敏"</f>
        <v>王秀敏</v>
      </c>
      <c r="F1835" s="6" t="str">
        <f>"女"</f>
        <v>女</v>
      </c>
    </row>
    <row r="1836" spans="1:6" ht="30" customHeight="1">
      <c r="A1836" s="6">
        <v>1834</v>
      </c>
      <c r="B1836" s="6" t="str">
        <f>"530020230601223701108923"</f>
        <v>530020230601223701108923</v>
      </c>
      <c r="C1836" s="6" t="str">
        <f t="shared" si="116"/>
        <v>0204</v>
      </c>
      <c r="D1836" s="6" t="s">
        <v>24</v>
      </c>
      <c r="E1836" s="6" t="str">
        <f>"张金英"</f>
        <v>张金英</v>
      </c>
      <c r="F1836" s="6" t="str">
        <f>"女"</f>
        <v>女</v>
      </c>
    </row>
    <row r="1837" spans="1:6" ht="30" customHeight="1">
      <c r="A1837" s="6">
        <v>1835</v>
      </c>
      <c r="B1837" s="6" t="str">
        <f>"530020230531163426103685"</f>
        <v>530020230531163426103685</v>
      </c>
      <c r="C1837" s="6" t="str">
        <f t="shared" si="116"/>
        <v>0204</v>
      </c>
      <c r="D1837" s="6" t="s">
        <v>24</v>
      </c>
      <c r="E1837" s="6" t="str">
        <f>"符利森"</f>
        <v>符利森</v>
      </c>
      <c r="F1837" s="6" t="str">
        <f>"男"</f>
        <v>男</v>
      </c>
    </row>
    <row r="1838" spans="1:6" ht="30" customHeight="1">
      <c r="A1838" s="6">
        <v>1836</v>
      </c>
      <c r="B1838" s="6" t="str">
        <f>"530020230531105039102121"</f>
        <v>530020230531105039102121</v>
      </c>
      <c r="C1838" s="6" t="str">
        <f t="shared" si="116"/>
        <v>0204</v>
      </c>
      <c r="D1838" s="6" t="s">
        <v>24</v>
      </c>
      <c r="E1838" s="6" t="str">
        <f>"唐娟"</f>
        <v>唐娟</v>
      </c>
      <c r="F1838" s="6" t="str">
        <f aca="true" t="shared" si="117" ref="F1838:F1843">"女"</f>
        <v>女</v>
      </c>
    </row>
    <row r="1839" spans="1:6" ht="30" customHeight="1">
      <c r="A1839" s="6">
        <v>1837</v>
      </c>
      <c r="B1839" s="6" t="str">
        <f>"530020230602000632109143"</f>
        <v>530020230602000632109143</v>
      </c>
      <c r="C1839" s="6" t="str">
        <f t="shared" si="116"/>
        <v>0204</v>
      </c>
      <c r="D1839" s="6" t="s">
        <v>24</v>
      </c>
      <c r="E1839" s="6" t="str">
        <f>"陈秋月"</f>
        <v>陈秋月</v>
      </c>
      <c r="F1839" s="6" t="str">
        <f t="shared" si="117"/>
        <v>女</v>
      </c>
    </row>
    <row r="1840" spans="1:6" ht="30" customHeight="1">
      <c r="A1840" s="6">
        <v>1838</v>
      </c>
      <c r="B1840" s="6" t="str">
        <f>"530020230601195543108329"</f>
        <v>530020230601195543108329</v>
      </c>
      <c r="C1840" s="6" t="str">
        <f t="shared" si="116"/>
        <v>0204</v>
      </c>
      <c r="D1840" s="6" t="s">
        <v>24</v>
      </c>
      <c r="E1840" s="6" t="str">
        <f>"符玲玲"</f>
        <v>符玲玲</v>
      </c>
      <c r="F1840" s="6" t="str">
        <f t="shared" si="117"/>
        <v>女</v>
      </c>
    </row>
    <row r="1841" spans="1:6" ht="30" customHeight="1">
      <c r="A1841" s="6">
        <v>1839</v>
      </c>
      <c r="B1841" s="6" t="str">
        <f>"530020230531205730104555"</f>
        <v>530020230531205730104555</v>
      </c>
      <c r="C1841" s="6" t="str">
        <f t="shared" si="116"/>
        <v>0204</v>
      </c>
      <c r="D1841" s="6" t="s">
        <v>24</v>
      </c>
      <c r="E1841" s="6" t="str">
        <f>"李华川"</f>
        <v>李华川</v>
      </c>
      <c r="F1841" s="6" t="str">
        <f t="shared" si="117"/>
        <v>女</v>
      </c>
    </row>
    <row r="1842" spans="1:6" ht="30" customHeight="1">
      <c r="A1842" s="6">
        <v>1840</v>
      </c>
      <c r="B1842" s="6" t="str">
        <f>"530020230602084232109407"</f>
        <v>530020230602084232109407</v>
      </c>
      <c r="C1842" s="6" t="str">
        <f t="shared" si="116"/>
        <v>0204</v>
      </c>
      <c r="D1842" s="6" t="s">
        <v>24</v>
      </c>
      <c r="E1842" s="6" t="str">
        <f>"张亚姑"</f>
        <v>张亚姑</v>
      </c>
      <c r="F1842" s="6" t="str">
        <f t="shared" si="117"/>
        <v>女</v>
      </c>
    </row>
    <row r="1843" spans="1:6" ht="30" customHeight="1">
      <c r="A1843" s="6">
        <v>1841</v>
      </c>
      <c r="B1843" s="6" t="str">
        <f>"530020230602082900109365"</f>
        <v>530020230602082900109365</v>
      </c>
      <c r="C1843" s="6" t="str">
        <f t="shared" si="116"/>
        <v>0204</v>
      </c>
      <c r="D1843" s="6" t="s">
        <v>24</v>
      </c>
      <c r="E1843" s="6" t="str">
        <f>"何存存"</f>
        <v>何存存</v>
      </c>
      <c r="F1843" s="6" t="str">
        <f t="shared" si="117"/>
        <v>女</v>
      </c>
    </row>
    <row r="1844" spans="1:6" ht="30" customHeight="1">
      <c r="A1844" s="6">
        <v>1842</v>
      </c>
      <c r="B1844" s="6" t="str">
        <f>"53002023053015305498477"</f>
        <v>53002023053015305498477</v>
      </c>
      <c r="C1844" s="6" t="str">
        <f t="shared" si="116"/>
        <v>0204</v>
      </c>
      <c r="D1844" s="6" t="s">
        <v>24</v>
      </c>
      <c r="E1844" s="6" t="str">
        <f>"吴应晶"</f>
        <v>吴应晶</v>
      </c>
      <c r="F1844" s="6" t="str">
        <f>"男"</f>
        <v>男</v>
      </c>
    </row>
    <row r="1845" spans="1:6" ht="30" customHeight="1">
      <c r="A1845" s="6">
        <v>1843</v>
      </c>
      <c r="B1845" s="6" t="str">
        <f>"530020230602065156109273"</f>
        <v>530020230602065156109273</v>
      </c>
      <c r="C1845" s="6" t="str">
        <f t="shared" si="116"/>
        <v>0204</v>
      </c>
      <c r="D1845" s="6" t="s">
        <v>24</v>
      </c>
      <c r="E1845" s="6" t="str">
        <f>"陈慧敏"</f>
        <v>陈慧敏</v>
      </c>
      <c r="F1845" s="6" t="str">
        <f aca="true" t="shared" si="118" ref="F1845:F1850">"女"</f>
        <v>女</v>
      </c>
    </row>
    <row r="1846" spans="1:6" ht="30" customHeight="1">
      <c r="A1846" s="6">
        <v>1844</v>
      </c>
      <c r="B1846" s="6" t="str">
        <f>"530020230602075603109305"</f>
        <v>530020230602075603109305</v>
      </c>
      <c r="C1846" s="6" t="str">
        <f t="shared" si="116"/>
        <v>0204</v>
      </c>
      <c r="D1846" s="6" t="s">
        <v>24</v>
      </c>
      <c r="E1846" s="6" t="str">
        <f>"黄灵敏"</f>
        <v>黄灵敏</v>
      </c>
      <c r="F1846" s="6" t="str">
        <f t="shared" si="118"/>
        <v>女</v>
      </c>
    </row>
    <row r="1847" spans="1:6" ht="30" customHeight="1">
      <c r="A1847" s="6">
        <v>1845</v>
      </c>
      <c r="B1847" s="6" t="str">
        <f>"53002023052721484686284"</f>
        <v>53002023052721484686284</v>
      </c>
      <c r="C1847" s="6" t="str">
        <f t="shared" si="116"/>
        <v>0204</v>
      </c>
      <c r="D1847" s="6" t="s">
        <v>24</v>
      </c>
      <c r="E1847" s="6" t="str">
        <f>"薛月柳"</f>
        <v>薛月柳</v>
      </c>
      <c r="F1847" s="6" t="str">
        <f t="shared" si="118"/>
        <v>女</v>
      </c>
    </row>
    <row r="1848" spans="1:6" ht="30" customHeight="1">
      <c r="A1848" s="6">
        <v>1846</v>
      </c>
      <c r="B1848" s="6" t="str">
        <f>"530020230602092109109531"</f>
        <v>530020230602092109109531</v>
      </c>
      <c r="C1848" s="6" t="str">
        <f t="shared" si="116"/>
        <v>0204</v>
      </c>
      <c r="D1848" s="6" t="s">
        <v>24</v>
      </c>
      <c r="E1848" s="6" t="str">
        <f>"孟巧璞"</f>
        <v>孟巧璞</v>
      </c>
      <c r="F1848" s="6" t="str">
        <f t="shared" si="118"/>
        <v>女</v>
      </c>
    </row>
    <row r="1849" spans="1:6" ht="30" customHeight="1">
      <c r="A1849" s="6">
        <v>1847</v>
      </c>
      <c r="B1849" s="6" t="str">
        <f>"530020230602105747109963"</f>
        <v>530020230602105747109963</v>
      </c>
      <c r="C1849" s="6" t="str">
        <f t="shared" si="116"/>
        <v>0204</v>
      </c>
      <c r="D1849" s="6" t="s">
        <v>24</v>
      </c>
      <c r="E1849" s="6" t="str">
        <f>"李冰虹"</f>
        <v>李冰虹</v>
      </c>
      <c r="F1849" s="6" t="str">
        <f t="shared" si="118"/>
        <v>女</v>
      </c>
    </row>
    <row r="1850" spans="1:6" ht="30" customHeight="1">
      <c r="A1850" s="6">
        <v>1848</v>
      </c>
      <c r="B1850" s="6" t="str">
        <f>"53002023052900362389357"</f>
        <v>53002023052900362389357</v>
      </c>
      <c r="C1850" s="6" t="str">
        <f t="shared" si="116"/>
        <v>0204</v>
      </c>
      <c r="D1850" s="6" t="s">
        <v>24</v>
      </c>
      <c r="E1850" s="6" t="str">
        <f>"李玉丽"</f>
        <v>李玉丽</v>
      </c>
      <c r="F1850" s="6" t="str">
        <f t="shared" si="118"/>
        <v>女</v>
      </c>
    </row>
    <row r="1851" spans="1:6" ht="30" customHeight="1">
      <c r="A1851" s="6">
        <v>1849</v>
      </c>
      <c r="B1851" s="6" t="str">
        <f>"53002023052709082883688"</f>
        <v>53002023052709082883688</v>
      </c>
      <c r="C1851" s="6" t="str">
        <f aca="true" t="shared" si="119" ref="C1851:C1914">"0205"</f>
        <v>0205</v>
      </c>
      <c r="D1851" s="6" t="s">
        <v>25</v>
      </c>
      <c r="E1851" s="6" t="str">
        <f>"唐金鑫"</f>
        <v>唐金鑫</v>
      </c>
      <c r="F1851" s="6" t="str">
        <f>"男"</f>
        <v>男</v>
      </c>
    </row>
    <row r="1852" spans="1:6" ht="30" customHeight="1">
      <c r="A1852" s="6">
        <v>1850</v>
      </c>
      <c r="B1852" s="6" t="str">
        <f>"53002023052709010083653"</f>
        <v>53002023052709010083653</v>
      </c>
      <c r="C1852" s="6" t="str">
        <f t="shared" si="119"/>
        <v>0205</v>
      </c>
      <c r="D1852" s="6" t="s">
        <v>25</v>
      </c>
      <c r="E1852" s="6" t="str">
        <f>"陈皓琳"</f>
        <v>陈皓琳</v>
      </c>
      <c r="F1852" s="6" t="str">
        <f>"女"</f>
        <v>女</v>
      </c>
    </row>
    <row r="1853" spans="1:6" ht="30" customHeight="1">
      <c r="A1853" s="6">
        <v>1851</v>
      </c>
      <c r="B1853" s="6" t="str">
        <f>"53002023052709224983736"</f>
        <v>53002023052709224983736</v>
      </c>
      <c r="C1853" s="6" t="str">
        <f t="shared" si="119"/>
        <v>0205</v>
      </c>
      <c r="D1853" s="6" t="s">
        <v>25</v>
      </c>
      <c r="E1853" s="6" t="str">
        <f>"羊秀凤"</f>
        <v>羊秀凤</v>
      </c>
      <c r="F1853" s="6" t="str">
        <f>"女"</f>
        <v>女</v>
      </c>
    </row>
    <row r="1854" spans="1:6" ht="30" customHeight="1">
      <c r="A1854" s="6">
        <v>1852</v>
      </c>
      <c r="B1854" s="6" t="str">
        <f>"53002023052709395683798"</f>
        <v>53002023052709395683798</v>
      </c>
      <c r="C1854" s="6" t="str">
        <f t="shared" si="119"/>
        <v>0205</v>
      </c>
      <c r="D1854" s="6" t="s">
        <v>25</v>
      </c>
      <c r="E1854" s="6" t="str">
        <f>"戴金妹"</f>
        <v>戴金妹</v>
      </c>
      <c r="F1854" s="6" t="str">
        <f>"女"</f>
        <v>女</v>
      </c>
    </row>
    <row r="1855" spans="1:6" ht="30" customHeight="1">
      <c r="A1855" s="6">
        <v>1853</v>
      </c>
      <c r="B1855" s="6" t="str">
        <f>"53002023052709553083861"</f>
        <v>53002023052709553083861</v>
      </c>
      <c r="C1855" s="6" t="str">
        <f t="shared" si="119"/>
        <v>0205</v>
      </c>
      <c r="D1855" s="6" t="s">
        <v>25</v>
      </c>
      <c r="E1855" s="6" t="str">
        <f>"何远兴"</f>
        <v>何远兴</v>
      </c>
      <c r="F1855" s="6" t="str">
        <f>"男"</f>
        <v>男</v>
      </c>
    </row>
    <row r="1856" spans="1:6" ht="30" customHeight="1">
      <c r="A1856" s="6">
        <v>1854</v>
      </c>
      <c r="B1856" s="6" t="str">
        <f>"53002023052709082283686"</f>
        <v>53002023052709082283686</v>
      </c>
      <c r="C1856" s="6" t="str">
        <f t="shared" si="119"/>
        <v>0205</v>
      </c>
      <c r="D1856" s="6" t="s">
        <v>25</v>
      </c>
      <c r="E1856" s="6" t="str">
        <f>"冯玮"</f>
        <v>冯玮</v>
      </c>
      <c r="F1856" s="6" t="str">
        <f aca="true" t="shared" si="120" ref="F1856:F1866">"女"</f>
        <v>女</v>
      </c>
    </row>
    <row r="1857" spans="1:6" ht="30" customHeight="1">
      <c r="A1857" s="6">
        <v>1855</v>
      </c>
      <c r="B1857" s="6" t="str">
        <f>"53002023052710183283976"</f>
        <v>53002023052710183283976</v>
      </c>
      <c r="C1857" s="6" t="str">
        <f t="shared" si="119"/>
        <v>0205</v>
      </c>
      <c r="D1857" s="6" t="s">
        <v>25</v>
      </c>
      <c r="E1857" s="6" t="str">
        <f>"符妹"</f>
        <v>符妹</v>
      </c>
      <c r="F1857" s="6" t="str">
        <f t="shared" si="120"/>
        <v>女</v>
      </c>
    </row>
    <row r="1858" spans="1:6" ht="30" customHeight="1">
      <c r="A1858" s="6">
        <v>1856</v>
      </c>
      <c r="B1858" s="6" t="str">
        <f>"53002023052712322884525"</f>
        <v>53002023052712322884525</v>
      </c>
      <c r="C1858" s="6" t="str">
        <f t="shared" si="119"/>
        <v>0205</v>
      </c>
      <c r="D1858" s="6" t="s">
        <v>25</v>
      </c>
      <c r="E1858" s="6" t="str">
        <f>"陈宏娜"</f>
        <v>陈宏娜</v>
      </c>
      <c r="F1858" s="6" t="str">
        <f t="shared" si="120"/>
        <v>女</v>
      </c>
    </row>
    <row r="1859" spans="1:6" ht="30" customHeight="1">
      <c r="A1859" s="6">
        <v>1857</v>
      </c>
      <c r="B1859" s="6" t="str">
        <f>"53002023052712281484506"</f>
        <v>53002023052712281484506</v>
      </c>
      <c r="C1859" s="6" t="str">
        <f t="shared" si="119"/>
        <v>0205</v>
      </c>
      <c r="D1859" s="6" t="s">
        <v>25</v>
      </c>
      <c r="E1859" s="6" t="str">
        <f>"钟海玉"</f>
        <v>钟海玉</v>
      </c>
      <c r="F1859" s="6" t="str">
        <f t="shared" si="120"/>
        <v>女</v>
      </c>
    </row>
    <row r="1860" spans="1:6" ht="30" customHeight="1">
      <c r="A1860" s="6">
        <v>1858</v>
      </c>
      <c r="B1860" s="6" t="str">
        <f>"53002023052712453484573"</f>
        <v>53002023052712453484573</v>
      </c>
      <c r="C1860" s="6" t="str">
        <f t="shared" si="119"/>
        <v>0205</v>
      </c>
      <c r="D1860" s="6" t="s">
        <v>25</v>
      </c>
      <c r="E1860" s="6" t="str">
        <f>"吴周少"</f>
        <v>吴周少</v>
      </c>
      <c r="F1860" s="6" t="str">
        <f t="shared" si="120"/>
        <v>女</v>
      </c>
    </row>
    <row r="1861" spans="1:6" ht="30" customHeight="1">
      <c r="A1861" s="6">
        <v>1859</v>
      </c>
      <c r="B1861" s="6" t="str">
        <f>"53002023052713000384614"</f>
        <v>53002023052713000384614</v>
      </c>
      <c r="C1861" s="6" t="str">
        <f t="shared" si="119"/>
        <v>0205</v>
      </c>
      <c r="D1861" s="6" t="s">
        <v>25</v>
      </c>
      <c r="E1861" s="6" t="str">
        <f>"陈爱兰"</f>
        <v>陈爱兰</v>
      </c>
      <c r="F1861" s="6" t="str">
        <f t="shared" si="120"/>
        <v>女</v>
      </c>
    </row>
    <row r="1862" spans="1:6" ht="30" customHeight="1">
      <c r="A1862" s="6">
        <v>1860</v>
      </c>
      <c r="B1862" s="6" t="str">
        <f>"53002023052712373984547"</f>
        <v>53002023052712373984547</v>
      </c>
      <c r="C1862" s="6" t="str">
        <f t="shared" si="119"/>
        <v>0205</v>
      </c>
      <c r="D1862" s="6" t="s">
        <v>25</v>
      </c>
      <c r="E1862" s="6" t="str">
        <f>"谢尚英"</f>
        <v>谢尚英</v>
      </c>
      <c r="F1862" s="6" t="str">
        <f t="shared" si="120"/>
        <v>女</v>
      </c>
    </row>
    <row r="1863" spans="1:6" ht="30" customHeight="1">
      <c r="A1863" s="6">
        <v>1861</v>
      </c>
      <c r="B1863" s="6" t="str">
        <f>"53002023052716362785339"</f>
        <v>53002023052716362785339</v>
      </c>
      <c r="C1863" s="6" t="str">
        <f t="shared" si="119"/>
        <v>0205</v>
      </c>
      <c r="D1863" s="6" t="s">
        <v>25</v>
      </c>
      <c r="E1863" s="6" t="str">
        <f>"祁曼雅"</f>
        <v>祁曼雅</v>
      </c>
      <c r="F1863" s="6" t="str">
        <f t="shared" si="120"/>
        <v>女</v>
      </c>
    </row>
    <row r="1864" spans="1:6" ht="30" customHeight="1">
      <c r="A1864" s="6">
        <v>1862</v>
      </c>
      <c r="B1864" s="6" t="str">
        <f>"53002023052716515185393"</f>
        <v>53002023052716515185393</v>
      </c>
      <c r="C1864" s="6" t="str">
        <f t="shared" si="119"/>
        <v>0205</v>
      </c>
      <c r="D1864" s="6" t="s">
        <v>25</v>
      </c>
      <c r="E1864" s="6" t="str">
        <f>"黄莹茹"</f>
        <v>黄莹茹</v>
      </c>
      <c r="F1864" s="6" t="str">
        <f t="shared" si="120"/>
        <v>女</v>
      </c>
    </row>
    <row r="1865" spans="1:6" ht="30" customHeight="1">
      <c r="A1865" s="6">
        <v>1863</v>
      </c>
      <c r="B1865" s="6" t="str">
        <f>"53002023052718145485638"</f>
        <v>53002023052718145485638</v>
      </c>
      <c r="C1865" s="6" t="str">
        <f t="shared" si="119"/>
        <v>0205</v>
      </c>
      <c r="D1865" s="6" t="s">
        <v>25</v>
      </c>
      <c r="E1865" s="6" t="str">
        <f>"何益舅"</f>
        <v>何益舅</v>
      </c>
      <c r="F1865" s="6" t="str">
        <f t="shared" si="120"/>
        <v>女</v>
      </c>
    </row>
    <row r="1866" spans="1:6" ht="30" customHeight="1">
      <c r="A1866" s="6">
        <v>1864</v>
      </c>
      <c r="B1866" s="6" t="str">
        <f>"53002023052718542785731"</f>
        <v>53002023052718542785731</v>
      </c>
      <c r="C1866" s="6" t="str">
        <f t="shared" si="119"/>
        <v>0205</v>
      </c>
      <c r="D1866" s="6" t="s">
        <v>25</v>
      </c>
      <c r="E1866" s="6" t="str">
        <f>"黄微"</f>
        <v>黄微</v>
      </c>
      <c r="F1866" s="6" t="str">
        <f t="shared" si="120"/>
        <v>女</v>
      </c>
    </row>
    <row r="1867" spans="1:6" ht="30" customHeight="1">
      <c r="A1867" s="6">
        <v>1865</v>
      </c>
      <c r="B1867" s="6" t="str">
        <f>"53002023052719284785827"</f>
        <v>53002023052719284785827</v>
      </c>
      <c r="C1867" s="6" t="str">
        <f t="shared" si="119"/>
        <v>0205</v>
      </c>
      <c r="D1867" s="6" t="s">
        <v>25</v>
      </c>
      <c r="E1867" s="6" t="str">
        <f>"杨顺"</f>
        <v>杨顺</v>
      </c>
      <c r="F1867" s="6" t="str">
        <f>"男"</f>
        <v>男</v>
      </c>
    </row>
    <row r="1868" spans="1:6" ht="30" customHeight="1">
      <c r="A1868" s="6">
        <v>1866</v>
      </c>
      <c r="B1868" s="6" t="str">
        <f>"53002023052719441085865"</f>
        <v>53002023052719441085865</v>
      </c>
      <c r="C1868" s="6" t="str">
        <f t="shared" si="119"/>
        <v>0205</v>
      </c>
      <c r="D1868" s="6" t="s">
        <v>25</v>
      </c>
      <c r="E1868" s="6" t="str">
        <f>"羊小玲"</f>
        <v>羊小玲</v>
      </c>
      <c r="F1868" s="6" t="str">
        <f>"女"</f>
        <v>女</v>
      </c>
    </row>
    <row r="1869" spans="1:6" ht="30" customHeight="1">
      <c r="A1869" s="6">
        <v>1867</v>
      </c>
      <c r="B1869" s="6" t="str">
        <f>"53002023052719484485880"</f>
        <v>53002023052719484485880</v>
      </c>
      <c r="C1869" s="6" t="str">
        <f t="shared" si="119"/>
        <v>0205</v>
      </c>
      <c r="D1869" s="6" t="s">
        <v>25</v>
      </c>
      <c r="E1869" s="6" t="str">
        <f>"钟琼振"</f>
        <v>钟琼振</v>
      </c>
      <c r="F1869" s="6" t="str">
        <f>"女"</f>
        <v>女</v>
      </c>
    </row>
    <row r="1870" spans="1:6" ht="30" customHeight="1">
      <c r="A1870" s="6">
        <v>1868</v>
      </c>
      <c r="B1870" s="6" t="str">
        <f>"53002023052721312386227"</f>
        <v>53002023052721312386227</v>
      </c>
      <c r="C1870" s="6" t="str">
        <f t="shared" si="119"/>
        <v>0205</v>
      </c>
      <c r="D1870" s="6" t="s">
        <v>25</v>
      </c>
      <c r="E1870" s="6" t="str">
        <f>"林颖"</f>
        <v>林颖</v>
      </c>
      <c r="F1870" s="6" t="str">
        <f>"女"</f>
        <v>女</v>
      </c>
    </row>
    <row r="1871" spans="1:6" ht="30" customHeight="1">
      <c r="A1871" s="6">
        <v>1869</v>
      </c>
      <c r="B1871" s="6" t="str">
        <f>"53002023052713573584821"</f>
        <v>53002023052713573584821</v>
      </c>
      <c r="C1871" s="6" t="str">
        <f t="shared" si="119"/>
        <v>0205</v>
      </c>
      <c r="D1871" s="6" t="s">
        <v>25</v>
      </c>
      <c r="E1871" s="6" t="str">
        <f>"崔芝源 "</f>
        <v>崔芝源 </v>
      </c>
      <c r="F1871" s="6" t="str">
        <f>"男"</f>
        <v>男</v>
      </c>
    </row>
    <row r="1872" spans="1:6" ht="30" customHeight="1">
      <c r="A1872" s="6">
        <v>1870</v>
      </c>
      <c r="B1872" s="6" t="str">
        <f>"53002023052722052386336"</f>
        <v>53002023052722052386336</v>
      </c>
      <c r="C1872" s="6" t="str">
        <f t="shared" si="119"/>
        <v>0205</v>
      </c>
      <c r="D1872" s="6" t="s">
        <v>25</v>
      </c>
      <c r="E1872" s="6" t="str">
        <f>"黎金玲"</f>
        <v>黎金玲</v>
      </c>
      <c r="F1872" s="6" t="str">
        <f>"女"</f>
        <v>女</v>
      </c>
    </row>
    <row r="1873" spans="1:6" ht="30" customHeight="1">
      <c r="A1873" s="6">
        <v>1871</v>
      </c>
      <c r="B1873" s="6" t="str">
        <f>"53002023052723002086488"</f>
        <v>53002023052723002086488</v>
      </c>
      <c r="C1873" s="6" t="str">
        <f t="shared" si="119"/>
        <v>0205</v>
      </c>
      <c r="D1873" s="6" t="s">
        <v>25</v>
      </c>
      <c r="E1873" s="6" t="str">
        <f>"蔡江贤"</f>
        <v>蔡江贤</v>
      </c>
      <c r="F1873" s="6" t="str">
        <f>"女"</f>
        <v>女</v>
      </c>
    </row>
    <row r="1874" spans="1:6" ht="30" customHeight="1">
      <c r="A1874" s="6">
        <v>1872</v>
      </c>
      <c r="B1874" s="6" t="str">
        <f>"53002023052723402286583"</f>
        <v>53002023052723402286583</v>
      </c>
      <c r="C1874" s="6" t="str">
        <f t="shared" si="119"/>
        <v>0205</v>
      </c>
      <c r="D1874" s="6" t="s">
        <v>25</v>
      </c>
      <c r="E1874" s="6" t="str">
        <f>"吉发霞"</f>
        <v>吉发霞</v>
      </c>
      <c r="F1874" s="6" t="str">
        <f>"女"</f>
        <v>女</v>
      </c>
    </row>
    <row r="1875" spans="1:6" ht="30" customHeight="1">
      <c r="A1875" s="6">
        <v>1873</v>
      </c>
      <c r="B1875" s="6" t="str">
        <f>"53002023052711150984234"</f>
        <v>53002023052711150984234</v>
      </c>
      <c r="C1875" s="6" t="str">
        <f t="shared" si="119"/>
        <v>0205</v>
      </c>
      <c r="D1875" s="6" t="s">
        <v>25</v>
      </c>
      <c r="E1875" s="6" t="str">
        <f>"符振鸾"</f>
        <v>符振鸾</v>
      </c>
      <c r="F1875" s="6" t="str">
        <f>"女"</f>
        <v>女</v>
      </c>
    </row>
    <row r="1876" spans="1:6" ht="30" customHeight="1">
      <c r="A1876" s="6">
        <v>1874</v>
      </c>
      <c r="B1876" s="6" t="str">
        <f>"53002023052723165486529"</f>
        <v>53002023052723165486529</v>
      </c>
      <c r="C1876" s="6" t="str">
        <f t="shared" si="119"/>
        <v>0205</v>
      </c>
      <c r="D1876" s="6" t="s">
        <v>25</v>
      </c>
      <c r="E1876" s="6" t="str">
        <f>"文昌雨"</f>
        <v>文昌雨</v>
      </c>
      <c r="F1876" s="6" t="str">
        <f>"男"</f>
        <v>男</v>
      </c>
    </row>
    <row r="1877" spans="1:6" ht="30" customHeight="1">
      <c r="A1877" s="6">
        <v>1875</v>
      </c>
      <c r="B1877" s="6" t="str">
        <f>"53002023052812413987333"</f>
        <v>53002023052812413987333</v>
      </c>
      <c r="C1877" s="6" t="str">
        <f t="shared" si="119"/>
        <v>0205</v>
      </c>
      <c r="D1877" s="6" t="s">
        <v>25</v>
      </c>
      <c r="E1877" s="6" t="str">
        <f>"蒋燕娇"</f>
        <v>蒋燕娇</v>
      </c>
      <c r="F1877" s="6" t="str">
        <f>"女"</f>
        <v>女</v>
      </c>
    </row>
    <row r="1878" spans="1:6" ht="30" customHeight="1">
      <c r="A1878" s="6">
        <v>1876</v>
      </c>
      <c r="B1878" s="6" t="str">
        <f>"53002023052812584787390"</f>
        <v>53002023052812584787390</v>
      </c>
      <c r="C1878" s="6" t="str">
        <f t="shared" si="119"/>
        <v>0205</v>
      </c>
      <c r="D1878" s="6" t="s">
        <v>25</v>
      </c>
      <c r="E1878" s="6" t="str">
        <f>"胡其扬"</f>
        <v>胡其扬</v>
      </c>
      <c r="F1878" s="6" t="str">
        <f>"男"</f>
        <v>男</v>
      </c>
    </row>
    <row r="1879" spans="1:6" ht="30" customHeight="1">
      <c r="A1879" s="6">
        <v>1877</v>
      </c>
      <c r="B1879" s="6" t="str">
        <f>"53002023052813565987549"</f>
        <v>53002023052813565987549</v>
      </c>
      <c r="C1879" s="6" t="str">
        <f t="shared" si="119"/>
        <v>0205</v>
      </c>
      <c r="D1879" s="6" t="s">
        <v>25</v>
      </c>
      <c r="E1879" s="6" t="str">
        <f>"王丽梨"</f>
        <v>王丽梨</v>
      </c>
      <c r="F1879" s="6" t="str">
        <f aca="true" t="shared" si="121" ref="F1879:F1886">"女"</f>
        <v>女</v>
      </c>
    </row>
    <row r="1880" spans="1:6" ht="30" customHeight="1">
      <c r="A1880" s="6">
        <v>1878</v>
      </c>
      <c r="B1880" s="6" t="str">
        <f>"53002023052814225887599"</f>
        <v>53002023052814225887599</v>
      </c>
      <c r="C1880" s="6" t="str">
        <f t="shared" si="119"/>
        <v>0205</v>
      </c>
      <c r="D1880" s="6" t="s">
        <v>25</v>
      </c>
      <c r="E1880" s="6" t="str">
        <f>"蔡盈盈"</f>
        <v>蔡盈盈</v>
      </c>
      <c r="F1880" s="6" t="str">
        <f t="shared" si="121"/>
        <v>女</v>
      </c>
    </row>
    <row r="1881" spans="1:6" ht="30" customHeight="1">
      <c r="A1881" s="6">
        <v>1879</v>
      </c>
      <c r="B1881" s="6" t="str">
        <f>"53002023052815071287711"</f>
        <v>53002023052815071287711</v>
      </c>
      <c r="C1881" s="6" t="str">
        <f t="shared" si="119"/>
        <v>0205</v>
      </c>
      <c r="D1881" s="6" t="s">
        <v>25</v>
      </c>
      <c r="E1881" s="6" t="str">
        <f>"林福曲"</f>
        <v>林福曲</v>
      </c>
      <c r="F1881" s="6" t="str">
        <f t="shared" si="121"/>
        <v>女</v>
      </c>
    </row>
    <row r="1882" spans="1:6" ht="30" customHeight="1">
      <c r="A1882" s="6">
        <v>1880</v>
      </c>
      <c r="B1882" s="6" t="str">
        <f>"53002023052719175385798"</f>
        <v>53002023052719175385798</v>
      </c>
      <c r="C1882" s="6" t="str">
        <f t="shared" si="119"/>
        <v>0205</v>
      </c>
      <c r="D1882" s="6" t="s">
        <v>25</v>
      </c>
      <c r="E1882" s="6" t="str">
        <f>"高育姬"</f>
        <v>高育姬</v>
      </c>
      <c r="F1882" s="6" t="str">
        <f t="shared" si="121"/>
        <v>女</v>
      </c>
    </row>
    <row r="1883" spans="1:6" ht="30" customHeight="1">
      <c r="A1883" s="6">
        <v>1881</v>
      </c>
      <c r="B1883" s="6" t="str">
        <f>"53002023052709513283848"</f>
        <v>53002023052709513283848</v>
      </c>
      <c r="C1883" s="6" t="str">
        <f t="shared" si="119"/>
        <v>0205</v>
      </c>
      <c r="D1883" s="6" t="s">
        <v>25</v>
      </c>
      <c r="E1883" s="6" t="str">
        <f>"陈代丽"</f>
        <v>陈代丽</v>
      </c>
      <c r="F1883" s="6" t="str">
        <f t="shared" si="121"/>
        <v>女</v>
      </c>
    </row>
    <row r="1884" spans="1:6" ht="30" customHeight="1">
      <c r="A1884" s="6">
        <v>1882</v>
      </c>
      <c r="B1884" s="6" t="str">
        <f>"53002023052816071387870"</f>
        <v>53002023052816071387870</v>
      </c>
      <c r="C1884" s="6" t="str">
        <f t="shared" si="119"/>
        <v>0205</v>
      </c>
      <c r="D1884" s="6" t="s">
        <v>25</v>
      </c>
      <c r="E1884" s="6" t="str">
        <f>"陈汉翠"</f>
        <v>陈汉翠</v>
      </c>
      <c r="F1884" s="6" t="str">
        <f t="shared" si="121"/>
        <v>女</v>
      </c>
    </row>
    <row r="1885" spans="1:6" ht="30" customHeight="1">
      <c r="A1885" s="6">
        <v>1883</v>
      </c>
      <c r="B1885" s="6" t="str">
        <f>"53002023052719313985832"</f>
        <v>53002023052719313985832</v>
      </c>
      <c r="C1885" s="6" t="str">
        <f t="shared" si="119"/>
        <v>0205</v>
      </c>
      <c r="D1885" s="6" t="s">
        <v>25</v>
      </c>
      <c r="E1885" s="6" t="str">
        <f>"文亚倩"</f>
        <v>文亚倩</v>
      </c>
      <c r="F1885" s="6" t="str">
        <f t="shared" si="121"/>
        <v>女</v>
      </c>
    </row>
    <row r="1886" spans="1:6" ht="30" customHeight="1">
      <c r="A1886" s="6">
        <v>1884</v>
      </c>
      <c r="B1886" s="6" t="str">
        <f>"53002023052817131788070"</f>
        <v>53002023052817131788070</v>
      </c>
      <c r="C1886" s="6" t="str">
        <f t="shared" si="119"/>
        <v>0205</v>
      </c>
      <c r="D1886" s="6" t="s">
        <v>25</v>
      </c>
      <c r="E1886" s="6" t="str">
        <f>"符慧华"</f>
        <v>符慧华</v>
      </c>
      <c r="F1886" s="6" t="str">
        <f t="shared" si="121"/>
        <v>女</v>
      </c>
    </row>
    <row r="1887" spans="1:6" ht="30" customHeight="1">
      <c r="A1887" s="6">
        <v>1885</v>
      </c>
      <c r="B1887" s="6" t="str">
        <f>"53002023052817075488048"</f>
        <v>53002023052817075488048</v>
      </c>
      <c r="C1887" s="6" t="str">
        <f t="shared" si="119"/>
        <v>0205</v>
      </c>
      <c r="D1887" s="6" t="s">
        <v>25</v>
      </c>
      <c r="E1887" s="6" t="str">
        <f>"戴君华"</f>
        <v>戴君华</v>
      </c>
      <c r="F1887" s="6" t="str">
        <f>"男"</f>
        <v>男</v>
      </c>
    </row>
    <row r="1888" spans="1:6" ht="30" customHeight="1">
      <c r="A1888" s="6">
        <v>1886</v>
      </c>
      <c r="B1888" s="6" t="str">
        <f>"53002023052817170688076"</f>
        <v>53002023052817170688076</v>
      </c>
      <c r="C1888" s="6" t="str">
        <f t="shared" si="119"/>
        <v>0205</v>
      </c>
      <c r="D1888" s="6" t="s">
        <v>25</v>
      </c>
      <c r="E1888" s="6" t="str">
        <f>"王淑玲"</f>
        <v>王淑玲</v>
      </c>
      <c r="F1888" s="6" t="str">
        <f>"女"</f>
        <v>女</v>
      </c>
    </row>
    <row r="1889" spans="1:6" ht="30" customHeight="1">
      <c r="A1889" s="6">
        <v>1887</v>
      </c>
      <c r="B1889" s="6" t="str">
        <f>"53002023052720051985938"</f>
        <v>53002023052720051985938</v>
      </c>
      <c r="C1889" s="6" t="str">
        <f t="shared" si="119"/>
        <v>0205</v>
      </c>
      <c r="D1889" s="6" t="s">
        <v>25</v>
      </c>
      <c r="E1889" s="6" t="str">
        <f>"吴茜茜"</f>
        <v>吴茜茜</v>
      </c>
      <c r="F1889" s="6" t="str">
        <f>"女"</f>
        <v>女</v>
      </c>
    </row>
    <row r="1890" spans="1:6" ht="30" customHeight="1">
      <c r="A1890" s="6">
        <v>1888</v>
      </c>
      <c r="B1890" s="6" t="str">
        <f>"53002023052718352385674"</f>
        <v>53002023052718352385674</v>
      </c>
      <c r="C1890" s="6" t="str">
        <f t="shared" si="119"/>
        <v>0205</v>
      </c>
      <c r="D1890" s="6" t="s">
        <v>25</v>
      </c>
      <c r="E1890" s="6" t="str">
        <f>"吴林丹"</f>
        <v>吴林丹</v>
      </c>
      <c r="F1890" s="6" t="str">
        <f>"女"</f>
        <v>女</v>
      </c>
    </row>
    <row r="1891" spans="1:6" ht="30" customHeight="1">
      <c r="A1891" s="6">
        <v>1889</v>
      </c>
      <c r="B1891" s="6" t="str">
        <f>"53002023052811594987229"</f>
        <v>53002023052811594987229</v>
      </c>
      <c r="C1891" s="6" t="str">
        <f t="shared" si="119"/>
        <v>0205</v>
      </c>
      <c r="D1891" s="6" t="s">
        <v>25</v>
      </c>
      <c r="E1891" s="6" t="str">
        <f>"韩兰兰"</f>
        <v>韩兰兰</v>
      </c>
      <c r="F1891" s="6" t="str">
        <f>"女"</f>
        <v>女</v>
      </c>
    </row>
    <row r="1892" spans="1:6" ht="30" customHeight="1">
      <c r="A1892" s="6">
        <v>1890</v>
      </c>
      <c r="B1892" s="6" t="str">
        <f>"53002023052820321888687"</f>
        <v>53002023052820321888687</v>
      </c>
      <c r="C1892" s="6" t="str">
        <f t="shared" si="119"/>
        <v>0205</v>
      </c>
      <c r="D1892" s="6" t="s">
        <v>25</v>
      </c>
      <c r="E1892" s="6" t="str">
        <f>"吴挺川"</f>
        <v>吴挺川</v>
      </c>
      <c r="F1892" s="6" t="str">
        <f>"男"</f>
        <v>男</v>
      </c>
    </row>
    <row r="1893" spans="1:6" ht="30" customHeight="1">
      <c r="A1893" s="6">
        <v>1891</v>
      </c>
      <c r="B1893" s="6" t="str">
        <f>"53002023052820275788673"</f>
        <v>53002023052820275788673</v>
      </c>
      <c r="C1893" s="6" t="str">
        <f t="shared" si="119"/>
        <v>0205</v>
      </c>
      <c r="D1893" s="6" t="s">
        <v>25</v>
      </c>
      <c r="E1893" s="6" t="str">
        <f>"郑新燕"</f>
        <v>郑新燕</v>
      </c>
      <c r="F1893" s="6" t="str">
        <f aca="true" t="shared" si="122" ref="F1893:F1900">"女"</f>
        <v>女</v>
      </c>
    </row>
    <row r="1894" spans="1:6" ht="30" customHeight="1">
      <c r="A1894" s="6">
        <v>1892</v>
      </c>
      <c r="B1894" s="6" t="str">
        <f>"53002023052815160787730"</f>
        <v>53002023052815160787730</v>
      </c>
      <c r="C1894" s="6" t="str">
        <f t="shared" si="119"/>
        <v>0205</v>
      </c>
      <c r="D1894" s="6" t="s">
        <v>25</v>
      </c>
      <c r="E1894" s="6" t="str">
        <f>"赵春月"</f>
        <v>赵春月</v>
      </c>
      <c r="F1894" s="6" t="str">
        <f t="shared" si="122"/>
        <v>女</v>
      </c>
    </row>
    <row r="1895" spans="1:6" ht="30" customHeight="1">
      <c r="A1895" s="6">
        <v>1893</v>
      </c>
      <c r="B1895" s="6" t="str">
        <f>"53002023052821141688835"</f>
        <v>53002023052821141688835</v>
      </c>
      <c r="C1895" s="6" t="str">
        <f t="shared" si="119"/>
        <v>0205</v>
      </c>
      <c r="D1895" s="6" t="s">
        <v>25</v>
      </c>
      <c r="E1895" s="6" t="str">
        <f>"谢宗胶"</f>
        <v>谢宗胶</v>
      </c>
      <c r="F1895" s="6" t="str">
        <f t="shared" si="122"/>
        <v>女</v>
      </c>
    </row>
    <row r="1896" spans="1:6" ht="30" customHeight="1">
      <c r="A1896" s="6">
        <v>1894</v>
      </c>
      <c r="B1896" s="6" t="str">
        <f>"53002023052820103288602"</f>
        <v>53002023052820103288602</v>
      </c>
      <c r="C1896" s="6" t="str">
        <f t="shared" si="119"/>
        <v>0205</v>
      </c>
      <c r="D1896" s="6" t="s">
        <v>25</v>
      </c>
      <c r="E1896" s="6" t="str">
        <f>"吴丽婷"</f>
        <v>吴丽婷</v>
      </c>
      <c r="F1896" s="6" t="str">
        <f t="shared" si="122"/>
        <v>女</v>
      </c>
    </row>
    <row r="1897" spans="1:6" ht="30" customHeight="1">
      <c r="A1897" s="6">
        <v>1895</v>
      </c>
      <c r="B1897" s="6" t="str">
        <f>"53002023052821401188922"</f>
        <v>53002023052821401188922</v>
      </c>
      <c r="C1897" s="6" t="str">
        <f t="shared" si="119"/>
        <v>0205</v>
      </c>
      <c r="D1897" s="6" t="s">
        <v>25</v>
      </c>
      <c r="E1897" s="6" t="str">
        <f>"陈秀女"</f>
        <v>陈秀女</v>
      </c>
      <c r="F1897" s="6" t="str">
        <f t="shared" si="122"/>
        <v>女</v>
      </c>
    </row>
    <row r="1898" spans="1:6" ht="30" customHeight="1">
      <c r="A1898" s="6">
        <v>1896</v>
      </c>
      <c r="B1898" s="6" t="str">
        <f>"53002023052812463487347"</f>
        <v>53002023052812463487347</v>
      </c>
      <c r="C1898" s="6" t="str">
        <f t="shared" si="119"/>
        <v>0205</v>
      </c>
      <c r="D1898" s="6" t="s">
        <v>25</v>
      </c>
      <c r="E1898" s="6" t="str">
        <f>"吕小燕"</f>
        <v>吕小燕</v>
      </c>
      <c r="F1898" s="6" t="str">
        <f t="shared" si="122"/>
        <v>女</v>
      </c>
    </row>
    <row r="1899" spans="1:6" ht="30" customHeight="1">
      <c r="A1899" s="6">
        <v>1897</v>
      </c>
      <c r="B1899" s="6" t="str">
        <f>"53002023052822181989059"</f>
        <v>53002023052822181989059</v>
      </c>
      <c r="C1899" s="6" t="str">
        <f t="shared" si="119"/>
        <v>0205</v>
      </c>
      <c r="D1899" s="6" t="s">
        <v>25</v>
      </c>
      <c r="E1899" s="6" t="str">
        <f>"蔡似梅"</f>
        <v>蔡似梅</v>
      </c>
      <c r="F1899" s="6" t="str">
        <f t="shared" si="122"/>
        <v>女</v>
      </c>
    </row>
    <row r="1900" spans="1:6" ht="30" customHeight="1">
      <c r="A1900" s="6">
        <v>1898</v>
      </c>
      <c r="B1900" s="6" t="str">
        <f>"53002023052822303389101"</f>
        <v>53002023052822303389101</v>
      </c>
      <c r="C1900" s="6" t="str">
        <f t="shared" si="119"/>
        <v>0205</v>
      </c>
      <c r="D1900" s="6" t="s">
        <v>25</v>
      </c>
      <c r="E1900" s="6" t="str">
        <f>"孙秀英"</f>
        <v>孙秀英</v>
      </c>
      <c r="F1900" s="6" t="str">
        <f t="shared" si="122"/>
        <v>女</v>
      </c>
    </row>
    <row r="1901" spans="1:6" ht="30" customHeight="1">
      <c r="A1901" s="6">
        <v>1899</v>
      </c>
      <c r="B1901" s="6" t="str">
        <f>"53002023052817423588185"</f>
        <v>53002023052817423588185</v>
      </c>
      <c r="C1901" s="6" t="str">
        <f t="shared" si="119"/>
        <v>0205</v>
      </c>
      <c r="D1901" s="6" t="s">
        <v>25</v>
      </c>
      <c r="E1901" s="6" t="str">
        <f>"刘红晨"</f>
        <v>刘红晨</v>
      </c>
      <c r="F1901" s="6" t="str">
        <f>"男"</f>
        <v>男</v>
      </c>
    </row>
    <row r="1902" spans="1:6" ht="30" customHeight="1">
      <c r="A1902" s="6">
        <v>1900</v>
      </c>
      <c r="B1902" s="6" t="str">
        <f>"53002023052723351186574"</f>
        <v>53002023052723351186574</v>
      </c>
      <c r="C1902" s="6" t="str">
        <f t="shared" si="119"/>
        <v>0205</v>
      </c>
      <c r="D1902" s="6" t="s">
        <v>25</v>
      </c>
      <c r="E1902" s="6" t="str">
        <f>"吴月丽"</f>
        <v>吴月丽</v>
      </c>
      <c r="F1902" s="6" t="str">
        <f>"女"</f>
        <v>女</v>
      </c>
    </row>
    <row r="1903" spans="1:6" ht="30" customHeight="1">
      <c r="A1903" s="6">
        <v>1901</v>
      </c>
      <c r="B1903" s="6" t="str">
        <f>"53002023052822434289142"</f>
        <v>53002023052822434289142</v>
      </c>
      <c r="C1903" s="6" t="str">
        <f t="shared" si="119"/>
        <v>0205</v>
      </c>
      <c r="D1903" s="6" t="s">
        <v>25</v>
      </c>
      <c r="E1903" s="6" t="str">
        <f>"羊丽苹"</f>
        <v>羊丽苹</v>
      </c>
      <c r="F1903" s="6" t="str">
        <f>"女"</f>
        <v>女</v>
      </c>
    </row>
    <row r="1904" spans="1:6" ht="30" customHeight="1">
      <c r="A1904" s="6">
        <v>1902</v>
      </c>
      <c r="B1904" s="6" t="str">
        <f>"53002023052823140089233"</f>
        <v>53002023052823140089233</v>
      </c>
      <c r="C1904" s="6" t="str">
        <f t="shared" si="119"/>
        <v>0205</v>
      </c>
      <c r="D1904" s="6" t="s">
        <v>25</v>
      </c>
      <c r="E1904" s="6" t="str">
        <f>"邓德壮"</f>
        <v>邓德壮</v>
      </c>
      <c r="F1904" s="6" t="str">
        <f>"男"</f>
        <v>男</v>
      </c>
    </row>
    <row r="1905" spans="1:6" ht="30" customHeight="1">
      <c r="A1905" s="6">
        <v>1903</v>
      </c>
      <c r="B1905" s="6" t="str">
        <f>"53002023052801204586674"</f>
        <v>53002023052801204586674</v>
      </c>
      <c r="C1905" s="6" t="str">
        <f t="shared" si="119"/>
        <v>0205</v>
      </c>
      <c r="D1905" s="6" t="s">
        <v>25</v>
      </c>
      <c r="E1905" s="6" t="str">
        <f>"钟惠"</f>
        <v>钟惠</v>
      </c>
      <c r="F1905" s="6" t="str">
        <f>"女"</f>
        <v>女</v>
      </c>
    </row>
    <row r="1906" spans="1:6" ht="30" customHeight="1">
      <c r="A1906" s="6">
        <v>1904</v>
      </c>
      <c r="B1906" s="6" t="str">
        <f>"53002023052823540989315"</f>
        <v>53002023052823540989315</v>
      </c>
      <c r="C1906" s="6" t="str">
        <f t="shared" si="119"/>
        <v>0205</v>
      </c>
      <c r="D1906" s="6" t="s">
        <v>25</v>
      </c>
      <c r="E1906" s="6" t="str">
        <f>"吴秀丽"</f>
        <v>吴秀丽</v>
      </c>
      <c r="F1906" s="6" t="str">
        <f>"女"</f>
        <v>女</v>
      </c>
    </row>
    <row r="1907" spans="1:6" ht="30" customHeight="1">
      <c r="A1907" s="6">
        <v>1905</v>
      </c>
      <c r="B1907" s="6" t="str">
        <f>"53002023052900361389356"</f>
        <v>53002023052900361389356</v>
      </c>
      <c r="C1907" s="6" t="str">
        <f t="shared" si="119"/>
        <v>0205</v>
      </c>
      <c r="D1907" s="6" t="s">
        <v>25</v>
      </c>
      <c r="E1907" s="6" t="str">
        <f>"赵敏"</f>
        <v>赵敏</v>
      </c>
      <c r="F1907" s="6" t="str">
        <f>"女"</f>
        <v>女</v>
      </c>
    </row>
    <row r="1908" spans="1:6" ht="30" customHeight="1">
      <c r="A1908" s="6">
        <v>1906</v>
      </c>
      <c r="B1908" s="6" t="str">
        <f>"53002023052822304489102"</f>
        <v>53002023052822304489102</v>
      </c>
      <c r="C1908" s="6" t="str">
        <f t="shared" si="119"/>
        <v>0205</v>
      </c>
      <c r="D1908" s="6" t="s">
        <v>25</v>
      </c>
      <c r="E1908" s="6" t="str">
        <f>"曾敏琴"</f>
        <v>曾敏琴</v>
      </c>
      <c r="F1908" s="6" t="str">
        <f>"女"</f>
        <v>女</v>
      </c>
    </row>
    <row r="1909" spans="1:6" ht="30" customHeight="1">
      <c r="A1909" s="6">
        <v>1907</v>
      </c>
      <c r="B1909" s="6" t="str">
        <f>"53002023052908031389474"</f>
        <v>53002023052908031389474</v>
      </c>
      <c r="C1909" s="6" t="str">
        <f t="shared" si="119"/>
        <v>0205</v>
      </c>
      <c r="D1909" s="6" t="s">
        <v>25</v>
      </c>
      <c r="E1909" s="6" t="str">
        <f>"梁志鹏"</f>
        <v>梁志鹏</v>
      </c>
      <c r="F1909" s="6" t="str">
        <f>"男"</f>
        <v>男</v>
      </c>
    </row>
    <row r="1910" spans="1:6" ht="30" customHeight="1">
      <c r="A1910" s="6">
        <v>1908</v>
      </c>
      <c r="B1910" s="6" t="str">
        <f>"53002023052908090389492"</f>
        <v>53002023052908090389492</v>
      </c>
      <c r="C1910" s="6" t="str">
        <f t="shared" si="119"/>
        <v>0205</v>
      </c>
      <c r="D1910" s="6" t="s">
        <v>25</v>
      </c>
      <c r="E1910" s="6" t="str">
        <f>"卢海能"</f>
        <v>卢海能</v>
      </c>
      <c r="F1910" s="6" t="str">
        <f>"男"</f>
        <v>男</v>
      </c>
    </row>
    <row r="1911" spans="1:6" ht="30" customHeight="1">
      <c r="A1911" s="6">
        <v>1909</v>
      </c>
      <c r="B1911" s="6" t="str">
        <f>"53002023052908400689600"</f>
        <v>53002023052908400689600</v>
      </c>
      <c r="C1911" s="6" t="str">
        <f t="shared" si="119"/>
        <v>0205</v>
      </c>
      <c r="D1911" s="6" t="s">
        <v>25</v>
      </c>
      <c r="E1911" s="6" t="str">
        <f>"何桂玉"</f>
        <v>何桂玉</v>
      </c>
      <c r="F1911" s="6" t="str">
        <f>"女"</f>
        <v>女</v>
      </c>
    </row>
    <row r="1912" spans="1:6" ht="30" customHeight="1">
      <c r="A1912" s="6">
        <v>1910</v>
      </c>
      <c r="B1912" s="6" t="str">
        <f>"53002023052908572689667"</f>
        <v>53002023052908572689667</v>
      </c>
      <c r="C1912" s="6" t="str">
        <f t="shared" si="119"/>
        <v>0205</v>
      </c>
      <c r="D1912" s="6" t="s">
        <v>25</v>
      </c>
      <c r="E1912" s="6" t="str">
        <f>"李小婷"</f>
        <v>李小婷</v>
      </c>
      <c r="F1912" s="6" t="str">
        <f>"女"</f>
        <v>女</v>
      </c>
    </row>
    <row r="1913" spans="1:6" ht="30" customHeight="1">
      <c r="A1913" s="6">
        <v>1911</v>
      </c>
      <c r="B1913" s="6" t="str">
        <f>"53002023052908084289489"</f>
        <v>53002023052908084289489</v>
      </c>
      <c r="C1913" s="6" t="str">
        <f t="shared" si="119"/>
        <v>0205</v>
      </c>
      <c r="D1913" s="6" t="s">
        <v>25</v>
      </c>
      <c r="E1913" s="6" t="str">
        <f>"周琼香"</f>
        <v>周琼香</v>
      </c>
      <c r="F1913" s="6" t="str">
        <f>"女"</f>
        <v>女</v>
      </c>
    </row>
    <row r="1914" spans="1:6" ht="30" customHeight="1">
      <c r="A1914" s="6">
        <v>1912</v>
      </c>
      <c r="B1914" s="6" t="str">
        <f>"53002023052908510089640"</f>
        <v>53002023052908510089640</v>
      </c>
      <c r="C1914" s="6" t="str">
        <f t="shared" si="119"/>
        <v>0205</v>
      </c>
      <c r="D1914" s="6" t="s">
        <v>25</v>
      </c>
      <c r="E1914" s="6" t="str">
        <f>"李国柳"</f>
        <v>李国柳</v>
      </c>
      <c r="F1914" s="6" t="str">
        <f>"女"</f>
        <v>女</v>
      </c>
    </row>
    <row r="1915" spans="1:6" ht="30" customHeight="1">
      <c r="A1915" s="6">
        <v>1913</v>
      </c>
      <c r="B1915" s="6" t="str">
        <f>"53002023052908083389487"</f>
        <v>53002023052908083389487</v>
      </c>
      <c r="C1915" s="6" t="str">
        <f aca="true" t="shared" si="123" ref="C1915:C1978">"0205"</f>
        <v>0205</v>
      </c>
      <c r="D1915" s="6" t="s">
        <v>25</v>
      </c>
      <c r="E1915" s="6" t="str">
        <f>"王栋"</f>
        <v>王栋</v>
      </c>
      <c r="F1915" s="6" t="str">
        <f>"男"</f>
        <v>男</v>
      </c>
    </row>
    <row r="1916" spans="1:6" ht="30" customHeight="1">
      <c r="A1916" s="6">
        <v>1914</v>
      </c>
      <c r="B1916" s="6" t="str">
        <f>"53002023052909093289848"</f>
        <v>53002023052909093289848</v>
      </c>
      <c r="C1916" s="6" t="str">
        <f t="shared" si="123"/>
        <v>0205</v>
      </c>
      <c r="D1916" s="6" t="s">
        <v>25</v>
      </c>
      <c r="E1916" s="6" t="str">
        <f>"黄小叶"</f>
        <v>黄小叶</v>
      </c>
      <c r="F1916" s="6" t="str">
        <f>"女"</f>
        <v>女</v>
      </c>
    </row>
    <row r="1917" spans="1:6" ht="30" customHeight="1">
      <c r="A1917" s="6">
        <v>1915</v>
      </c>
      <c r="B1917" s="6" t="str">
        <f>"53002023052908150889518"</f>
        <v>53002023052908150889518</v>
      </c>
      <c r="C1917" s="6" t="str">
        <f t="shared" si="123"/>
        <v>0205</v>
      </c>
      <c r="D1917" s="6" t="s">
        <v>25</v>
      </c>
      <c r="E1917" s="6" t="str">
        <f>"邢丽姣"</f>
        <v>邢丽姣</v>
      </c>
      <c r="F1917" s="6" t="str">
        <f>"女"</f>
        <v>女</v>
      </c>
    </row>
    <row r="1918" spans="1:6" ht="30" customHeight="1">
      <c r="A1918" s="6">
        <v>1916</v>
      </c>
      <c r="B1918" s="6" t="str">
        <f>"53002023052909344590143"</f>
        <v>53002023052909344590143</v>
      </c>
      <c r="C1918" s="6" t="str">
        <f t="shared" si="123"/>
        <v>0205</v>
      </c>
      <c r="D1918" s="6" t="s">
        <v>25</v>
      </c>
      <c r="E1918" s="6" t="str">
        <f>"朱小颖"</f>
        <v>朱小颖</v>
      </c>
      <c r="F1918" s="6" t="str">
        <f>"女"</f>
        <v>女</v>
      </c>
    </row>
    <row r="1919" spans="1:6" ht="30" customHeight="1">
      <c r="A1919" s="6">
        <v>1917</v>
      </c>
      <c r="B1919" s="6" t="str">
        <f>"53002023052809361686872"</f>
        <v>53002023052809361686872</v>
      </c>
      <c r="C1919" s="6" t="str">
        <f t="shared" si="123"/>
        <v>0205</v>
      </c>
      <c r="D1919" s="6" t="s">
        <v>25</v>
      </c>
      <c r="E1919" s="6" t="str">
        <f>"梁祖敏"</f>
        <v>梁祖敏</v>
      </c>
      <c r="F1919" s="6" t="str">
        <f>"男"</f>
        <v>男</v>
      </c>
    </row>
    <row r="1920" spans="1:6" ht="30" customHeight="1">
      <c r="A1920" s="6">
        <v>1918</v>
      </c>
      <c r="B1920" s="6" t="str">
        <f>"53002023052909512490330"</f>
        <v>53002023052909512490330</v>
      </c>
      <c r="C1920" s="6" t="str">
        <f t="shared" si="123"/>
        <v>0205</v>
      </c>
      <c r="D1920" s="6" t="s">
        <v>25</v>
      </c>
      <c r="E1920" s="6" t="str">
        <f>"王伊蕾"</f>
        <v>王伊蕾</v>
      </c>
      <c r="F1920" s="6" t="str">
        <f>"女"</f>
        <v>女</v>
      </c>
    </row>
    <row r="1921" spans="1:6" ht="30" customHeight="1">
      <c r="A1921" s="6">
        <v>1919</v>
      </c>
      <c r="B1921" s="6" t="str">
        <f>"53002023052910050090495"</f>
        <v>53002023052910050090495</v>
      </c>
      <c r="C1921" s="6" t="str">
        <f t="shared" si="123"/>
        <v>0205</v>
      </c>
      <c r="D1921" s="6" t="s">
        <v>25</v>
      </c>
      <c r="E1921" s="6" t="str">
        <f>"符秘豪"</f>
        <v>符秘豪</v>
      </c>
      <c r="F1921" s="6" t="str">
        <f>"女"</f>
        <v>女</v>
      </c>
    </row>
    <row r="1922" spans="1:6" ht="30" customHeight="1">
      <c r="A1922" s="6">
        <v>1920</v>
      </c>
      <c r="B1922" s="6" t="str">
        <f>"53002023052909524690352"</f>
        <v>53002023052909524690352</v>
      </c>
      <c r="C1922" s="6" t="str">
        <f t="shared" si="123"/>
        <v>0205</v>
      </c>
      <c r="D1922" s="6" t="s">
        <v>25</v>
      </c>
      <c r="E1922" s="6" t="str">
        <f>"符俊优"</f>
        <v>符俊优</v>
      </c>
      <c r="F1922" s="6" t="str">
        <f>"男"</f>
        <v>男</v>
      </c>
    </row>
    <row r="1923" spans="1:6" ht="30" customHeight="1">
      <c r="A1923" s="6">
        <v>1921</v>
      </c>
      <c r="B1923" s="6" t="str">
        <f>"53002023052908311989565"</f>
        <v>53002023052908311989565</v>
      </c>
      <c r="C1923" s="6" t="str">
        <f t="shared" si="123"/>
        <v>0205</v>
      </c>
      <c r="D1923" s="6" t="s">
        <v>25</v>
      </c>
      <c r="E1923" s="6" t="str">
        <f>"符吉省"</f>
        <v>符吉省</v>
      </c>
      <c r="F1923" s="6" t="str">
        <f>"男"</f>
        <v>男</v>
      </c>
    </row>
    <row r="1924" spans="1:6" ht="30" customHeight="1">
      <c r="A1924" s="6">
        <v>1922</v>
      </c>
      <c r="B1924" s="6" t="str">
        <f>"53002023052909030889742"</f>
        <v>53002023052909030889742</v>
      </c>
      <c r="C1924" s="6" t="str">
        <f t="shared" si="123"/>
        <v>0205</v>
      </c>
      <c r="D1924" s="6" t="s">
        <v>25</v>
      </c>
      <c r="E1924" s="6" t="str">
        <f>"苏永栅"</f>
        <v>苏永栅</v>
      </c>
      <c r="F1924" s="6" t="str">
        <f aca="true" t="shared" si="124" ref="F1924:F1930">"女"</f>
        <v>女</v>
      </c>
    </row>
    <row r="1925" spans="1:6" ht="30" customHeight="1">
      <c r="A1925" s="6">
        <v>1923</v>
      </c>
      <c r="B1925" s="6" t="str">
        <f>"53002023052909265490059"</f>
        <v>53002023052909265490059</v>
      </c>
      <c r="C1925" s="6" t="str">
        <f t="shared" si="123"/>
        <v>0205</v>
      </c>
      <c r="D1925" s="6" t="s">
        <v>25</v>
      </c>
      <c r="E1925" s="6" t="str">
        <f>"李月春"</f>
        <v>李月春</v>
      </c>
      <c r="F1925" s="6" t="str">
        <f t="shared" si="124"/>
        <v>女</v>
      </c>
    </row>
    <row r="1926" spans="1:6" ht="30" customHeight="1">
      <c r="A1926" s="6">
        <v>1924</v>
      </c>
      <c r="B1926" s="6" t="str">
        <f>"53002023052910505891037"</f>
        <v>53002023052910505891037</v>
      </c>
      <c r="C1926" s="6" t="str">
        <f t="shared" si="123"/>
        <v>0205</v>
      </c>
      <c r="D1926" s="6" t="s">
        <v>25</v>
      </c>
      <c r="E1926" s="6" t="str">
        <f>"周焕妹"</f>
        <v>周焕妹</v>
      </c>
      <c r="F1926" s="6" t="str">
        <f t="shared" si="124"/>
        <v>女</v>
      </c>
    </row>
    <row r="1927" spans="1:6" ht="30" customHeight="1">
      <c r="A1927" s="6">
        <v>1925</v>
      </c>
      <c r="B1927" s="6" t="str">
        <f>"53002023052910572091095"</f>
        <v>53002023052910572091095</v>
      </c>
      <c r="C1927" s="6" t="str">
        <f t="shared" si="123"/>
        <v>0205</v>
      </c>
      <c r="D1927" s="6" t="s">
        <v>25</v>
      </c>
      <c r="E1927" s="6" t="str">
        <f>"王海瑜"</f>
        <v>王海瑜</v>
      </c>
      <c r="F1927" s="6" t="str">
        <f t="shared" si="124"/>
        <v>女</v>
      </c>
    </row>
    <row r="1928" spans="1:6" ht="30" customHeight="1">
      <c r="A1928" s="6">
        <v>1926</v>
      </c>
      <c r="B1928" s="6" t="str">
        <f>"53002023052910593191115"</f>
        <v>53002023052910593191115</v>
      </c>
      <c r="C1928" s="6" t="str">
        <f t="shared" si="123"/>
        <v>0205</v>
      </c>
      <c r="D1928" s="6" t="s">
        <v>25</v>
      </c>
      <c r="E1928" s="6" t="str">
        <f>"扈雅宁"</f>
        <v>扈雅宁</v>
      </c>
      <c r="F1928" s="6" t="str">
        <f t="shared" si="124"/>
        <v>女</v>
      </c>
    </row>
    <row r="1929" spans="1:6" ht="30" customHeight="1">
      <c r="A1929" s="6">
        <v>1927</v>
      </c>
      <c r="B1929" s="6" t="str">
        <f>"53002023052910311690794"</f>
        <v>53002023052910311690794</v>
      </c>
      <c r="C1929" s="6" t="str">
        <f t="shared" si="123"/>
        <v>0205</v>
      </c>
      <c r="D1929" s="6" t="s">
        <v>25</v>
      </c>
      <c r="E1929" s="6" t="str">
        <f>"王丹丹"</f>
        <v>王丹丹</v>
      </c>
      <c r="F1929" s="6" t="str">
        <f t="shared" si="124"/>
        <v>女</v>
      </c>
    </row>
    <row r="1930" spans="1:6" ht="30" customHeight="1">
      <c r="A1930" s="6">
        <v>1928</v>
      </c>
      <c r="B1930" s="6" t="str">
        <f>"53002023052911032091150"</f>
        <v>53002023052911032091150</v>
      </c>
      <c r="C1930" s="6" t="str">
        <f t="shared" si="123"/>
        <v>0205</v>
      </c>
      <c r="D1930" s="6" t="s">
        <v>25</v>
      </c>
      <c r="E1930" s="6" t="str">
        <f>"符鲜风"</f>
        <v>符鲜风</v>
      </c>
      <c r="F1930" s="6" t="str">
        <f t="shared" si="124"/>
        <v>女</v>
      </c>
    </row>
    <row r="1931" spans="1:6" ht="30" customHeight="1">
      <c r="A1931" s="6">
        <v>1929</v>
      </c>
      <c r="B1931" s="6" t="str">
        <f>"53002023052907461589443"</f>
        <v>53002023052907461589443</v>
      </c>
      <c r="C1931" s="6" t="str">
        <f t="shared" si="123"/>
        <v>0205</v>
      </c>
      <c r="D1931" s="6" t="s">
        <v>25</v>
      </c>
      <c r="E1931" s="6" t="str">
        <f>"孙誉"</f>
        <v>孙誉</v>
      </c>
      <c r="F1931" s="6" t="str">
        <f>"男"</f>
        <v>男</v>
      </c>
    </row>
    <row r="1932" spans="1:6" ht="30" customHeight="1">
      <c r="A1932" s="6">
        <v>1930</v>
      </c>
      <c r="B1932" s="6" t="str">
        <f>"53002023052912252991809"</f>
        <v>53002023052912252991809</v>
      </c>
      <c r="C1932" s="6" t="str">
        <f t="shared" si="123"/>
        <v>0205</v>
      </c>
      <c r="D1932" s="6" t="s">
        <v>25</v>
      </c>
      <c r="E1932" s="6" t="str">
        <f>"陈丽娇"</f>
        <v>陈丽娇</v>
      </c>
      <c r="F1932" s="6" t="str">
        <f aca="true" t="shared" si="125" ref="F1932:F1943">"女"</f>
        <v>女</v>
      </c>
    </row>
    <row r="1933" spans="1:6" ht="30" customHeight="1">
      <c r="A1933" s="6">
        <v>1931</v>
      </c>
      <c r="B1933" s="6" t="str">
        <f>"53002023052912342191865"</f>
        <v>53002023052912342191865</v>
      </c>
      <c r="C1933" s="6" t="str">
        <f t="shared" si="123"/>
        <v>0205</v>
      </c>
      <c r="D1933" s="6" t="s">
        <v>25</v>
      </c>
      <c r="E1933" s="6" t="str">
        <f>"李天碧"</f>
        <v>李天碧</v>
      </c>
      <c r="F1933" s="6" t="str">
        <f t="shared" si="125"/>
        <v>女</v>
      </c>
    </row>
    <row r="1934" spans="1:6" ht="30" customHeight="1">
      <c r="A1934" s="6">
        <v>1932</v>
      </c>
      <c r="B1934" s="6" t="str">
        <f>"53002023052912473991937"</f>
        <v>53002023052912473991937</v>
      </c>
      <c r="C1934" s="6" t="str">
        <f t="shared" si="123"/>
        <v>0205</v>
      </c>
      <c r="D1934" s="6" t="s">
        <v>25</v>
      </c>
      <c r="E1934" s="6" t="str">
        <f>"郭孟娟"</f>
        <v>郭孟娟</v>
      </c>
      <c r="F1934" s="6" t="str">
        <f t="shared" si="125"/>
        <v>女</v>
      </c>
    </row>
    <row r="1935" spans="1:6" ht="30" customHeight="1">
      <c r="A1935" s="6">
        <v>1933</v>
      </c>
      <c r="B1935" s="6" t="str">
        <f>"53002023052913484692286"</f>
        <v>53002023052913484692286</v>
      </c>
      <c r="C1935" s="6" t="str">
        <f t="shared" si="123"/>
        <v>0205</v>
      </c>
      <c r="D1935" s="6" t="s">
        <v>25</v>
      </c>
      <c r="E1935" s="6" t="str">
        <f>"陈孟紫"</f>
        <v>陈孟紫</v>
      </c>
      <c r="F1935" s="6" t="str">
        <f t="shared" si="125"/>
        <v>女</v>
      </c>
    </row>
    <row r="1936" spans="1:6" ht="30" customHeight="1">
      <c r="A1936" s="6">
        <v>1934</v>
      </c>
      <c r="B1936" s="6" t="str">
        <f>"53002023052914591292656"</f>
        <v>53002023052914591292656</v>
      </c>
      <c r="C1936" s="6" t="str">
        <f t="shared" si="123"/>
        <v>0205</v>
      </c>
      <c r="D1936" s="6" t="s">
        <v>25</v>
      </c>
      <c r="E1936" s="6" t="str">
        <f>"陆凌英"</f>
        <v>陆凌英</v>
      </c>
      <c r="F1936" s="6" t="str">
        <f t="shared" si="125"/>
        <v>女</v>
      </c>
    </row>
    <row r="1937" spans="1:6" ht="30" customHeight="1">
      <c r="A1937" s="6">
        <v>1935</v>
      </c>
      <c r="B1937" s="6" t="str">
        <f>"53002023052910110390567"</f>
        <v>53002023052910110390567</v>
      </c>
      <c r="C1937" s="6" t="str">
        <f t="shared" si="123"/>
        <v>0205</v>
      </c>
      <c r="D1937" s="6" t="s">
        <v>25</v>
      </c>
      <c r="E1937" s="6" t="str">
        <f>"王正秋"</f>
        <v>王正秋</v>
      </c>
      <c r="F1937" s="6" t="str">
        <f t="shared" si="125"/>
        <v>女</v>
      </c>
    </row>
    <row r="1938" spans="1:6" ht="30" customHeight="1">
      <c r="A1938" s="6">
        <v>1936</v>
      </c>
      <c r="B1938" s="6" t="str">
        <f>"53002023052909491090315"</f>
        <v>53002023052909491090315</v>
      </c>
      <c r="C1938" s="6" t="str">
        <f t="shared" si="123"/>
        <v>0205</v>
      </c>
      <c r="D1938" s="6" t="s">
        <v>25</v>
      </c>
      <c r="E1938" s="6" t="str">
        <f>"陈秋谷"</f>
        <v>陈秋谷</v>
      </c>
      <c r="F1938" s="6" t="str">
        <f t="shared" si="125"/>
        <v>女</v>
      </c>
    </row>
    <row r="1939" spans="1:6" ht="30" customHeight="1">
      <c r="A1939" s="6">
        <v>1937</v>
      </c>
      <c r="B1939" s="6" t="str">
        <f>"53002023052915073092709"</f>
        <v>53002023052915073092709</v>
      </c>
      <c r="C1939" s="6" t="str">
        <f t="shared" si="123"/>
        <v>0205</v>
      </c>
      <c r="D1939" s="6" t="s">
        <v>25</v>
      </c>
      <c r="E1939" s="6" t="str">
        <f>"杨秋月"</f>
        <v>杨秋月</v>
      </c>
      <c r="F1939" s="6" t="str">
        <f t="shared" si="125"/>
        <v>女</v>
      </c>
    </row>
    <row r="1940" spans="1:6" ht="30" customHeight="1">
      <c r="A1940" s="6">
        <v>1938</v>
      </c>
      <c r="B1940" s="6" t="str">
        <f>"53002023052915150392762"</f>
        <v>53002023052915150392762</v>
      </c>
      <c r="C1940" s="6" t="str">
        <f t="shared" si="123"/>
        <v>0205</v>
      </c>
      <c r="D1940" s="6" t="s">
        <v>25</v>
      </c>
      <c r="E1940" s="6" t="str">
        <f>"陈露"</f>
        <v>陈露</v>
      </c>
      <c r="F1940" s="6" t="str">
        <f t="shared" si="125"/>
        <v>女</v>
      </c>
    </row>
    <row r="1941" spans="1:6" ht="30" customHeight="1">
      <c r="A1941" s="6">
        <v>1939</v>
      </c>
      <c r="B1941" s="6" t="str">
        <f>"53002023052914382192530"</f>
        <v>53002023052914382192530</v>
      </c>
      <c r="C1941" s="6" t="str">
        <f t="shared" si="123"/>
        <v>0205</v>
      </c>
      <c r="D1941" s="6" t="s">
        <v>25</v>
      </c>
      <c r="E1941" s="6" t="str">
        <f>"黎妹女"</f>
        <v>黎妹女</v>
      </c>
      <c r="F1941" s="6" t="str">
        <f t="shared" si="125"/>
        <v>女</v>
      </c>
    </row>
    <row r="1942" spans="1:6" ht="30" customHeight="1">
      <c r="A1942" s="6">
        <v>1940</v>
      </c>
      <c r="B1942" s="6" t="str">
        <f>"53002023052916054293166"</f>
        <v>53002023052916054293166</v>
      </c>
      <c r="C1942" s="6" t="str">
        <f t="shared" si="123"/>
        <v>0205</v>
      </c>
      <c r="D1942" s="6" t="s">
        <v>25</v>
      </c>
      <c r="E1942" s="6" t="str">
        <f>"陈丽"</f>
        <v>陈丽</v>
      </c>
      <c r="F1942" s="6" t="str">
        <f t="shared" si="125"/>
        <v>女</v>
      </c>
    </row>
    <row r="1943" spans="1:6" ht="30" customHeight="1">
      <c r="A1943" s="6">
        <v>1941</v>
      </c>
      <c r="B1943" s="6" t="str">
        <f>"53002023052710361484056"</f>
        <v>53002023052710361484056</v>
      </c>
      <c r="C1943" s="6" t="str">
        <f t="shared" si="123"/>
        <v>0205</v>
      </c>
      <c r="D1943" s="6" t="s">
        <v>25</v>
      </c>
      <c r="E1943" s="6" t="str">
        <f>"魏毓"</f>
        <v>魏毓</v>
      </c>
      <c r="F1943" s="6" t="str">
        <f t="shared" si="125"/>
        <v>女</v>
      </c>
    </row>
    <row r="1944" spans="1:6" ht="30" customHeight="1">
      <c r="A1944" s="6">
        <v>1942</v>
      </c>
      <c r="B1944" s="6" t="str">
        <f>"53002023052810561487063"</f>
        <v>53002023052810561487063</v>
      </c>
      <c r="C1944" s="6" t="str">
        <f t="shared" si="123"/>
        <v>0205</v>
      </c>
      <c r="D1944" s="6" t="s">
        <v>25</v>
      </c>
      <c r="E1944" s="6" t="str">
        <f>"戴俊华"</f>
        <v>戴俊华</v>
      </c>
      <c r="F1944" s="6" t="str">
        <f>"男"</f>
        <v>男</v>
      </c>
    </row>
    <row r="1945" spans="1:6" ht="30" customHeight="1">
      <c r="A1945" s="6">
        <v>1943</v>
      </c>
      <c r="B1945" s="6" t="str">
        <f>"53002023052916300393353"</f>
        <v>53002023052916300393353</v>
      </c>
      <c r="C1945" s="6" t="str">
        <f t="shared" si="123"/>
        <v>0205</v>
      </c>
      <c r="D1945" s="6" t="s">
        <v>25</v>
      </c>
      <c r="E1945" s="6" t="str">
        <f>"王丹丹"</f>
        <v>王丹丹</v>
      </c>
      <c r="F1945" s="6" t="str">
        <f>"女"</f>
        <v>女</v>
      </c>
    </row>
    <row r="1946" spans="1:6" ht="30" customHeight="1">
      <c r="A1946" s="6">
        <v>1944</v>
      </c>
      <c r="B1946" s="6" t="str">
        <f>"53002023052916515093517"</f>
        <v>53002023052916515093517</v>
      </c>
      <c r="C1946" s="6" t="str">
        <f t="shared" si="123"/>
        <v>0205</v>
      </c>
      <c r="D1946" s="6" t="s">
        <v>25</v>
      </c>
      <c r="E1946" s="6" t="str">
        <f>"曾天婷"</f>
        <v>曾天婷</v>
      </c>
      <c r="F1946" s="6" t="str">
        <f>"女"</f>
        <v>女</v>
      </c>
    </row>
    <row r="1947" spans="1:6" ht="30" customHeight="1">
      <c r="A1947" s="6">
        <v>1945</v>
      </c>
      <c r="B1947" s="6" t="str">
        <f>"53002023052915564893095"</f>
        <v>53002023052915564893095</v>
      </c>
      <c r="C1947" s="6" t="str">
        <f t="shared" si="123"/>
        <v>0205</v>
      </c>
      <c r="D1947" s="6" t="s">
        <v>25</v>
      </c>
      <c r="E1947" s="6" t="str">
        <f>"孙小燕"</f>
        <v>孙小燕</v>
      </c>
      <c r="F1947" s="6" t="str">
        <f>"女"</f>
        <v>女</v>
      </c>
    </row>
    <row r="1948" spans="1:6" ht="30" customHeight="1">
      <c r="A1948" s="6">
        <v>1946</v>
      </c>
      <c r="B1948" s="6" t="str">
        <f>"53002023052715303985126"</f>
        <v>53002023052715303985126</v>
      </c>
      <c r="C1948" s="6" t="str">
        <f t="shared" si="123"/>
        <v>0205</v>
      </c>
      <c r="D1948" s="6" t="s">
        <v>25</v>
      </c>
      <c r="E1948" s="6" t="str">
        <f>"陈小港"</f>
        <v>陈小港</v>
      </c>
      <c r="F1948" s="6" t="str">
        <f>"女"</f>
        <v>女</v>
      </c>
    </row>
    <row r="1949" spans="1:6" ht="30" customHeight="1">
      <c r="A1949" s="6">
        <v>1947</v>
      </c>
      <c r="B1949" s="6" t="str">
        <f>"53002023052917171593673"</f>
        <v>53002023052917171593673</v>
      </c>
      <c r="C1949" s="6" t="str">
        <f t="shared" si="123"/>
        <v>0205</v>
      </c>
      <c r="D1949" s="6" t="s">
        <v>25</v>
      </c>
      <c r="E1949" s="6" t="str">
        <f>"李广芳"</f>
        <v>李广芳</v>
      </c>
      <c r="F1949" s="6" t="str">
        <f>"男"</f>
        <v>男</v>
      </c>
    </row>
    <row r="1950" spans="1:6" ht="30" customHeight="1">
      <c r="A1950" s="6">
        <v>1948</v>
      </c>
      <c r="B1950" s="6" t="str">
        <f>"53002023052918260494001"</f>
        <v>53002023052918260494001</v>
      </c>
      <c r="C1950" s="6" t="str">
        <f t="shared" si="123"/>
        <v>0205</v>
      </c>
      <c r="D1950" s="6" t="s">
        <v>25</v>
      </c>
      <c r="E1950" s="6" t="str">
        <f>"郭仁玲"</f>
        <v>郭仁玲</v>
      </c>
      <c r="F1950" s="6" t="str">
        <f aca="true" t="shared" si="126" ref="F1950:F1960">"女"</f>
        <v>女</v>
      </c>
    </row>
    <row r="1951" spans="1:6" ht="30" customHeight="1">
      <c r="A1951" s="6">
        <v>1949</v>
      </c>
      <c r="B1951" s="6" t="str">
        <f>"53002023052918172293970"</f>
        <v>53002023052918172293970</v>
      </c>
      <c r="C1951" s="6" t="str">
        <f t="shared" si="123"/>
        <v>0205</v>
      </c>
      <c r="D1951" s="6" t="s">
        <v>25</v>
      </c>
      <c r="E1951" s="6" t="str">
        <f>"何振柳"</f>
        <v>何振柳</v>
      </c>
      <c r="F1951" s="6" t="str">
        <f t="shared" si="126"/>
        <v>女</v>
      </c>
    </row>
    <row r="1952" spans="1:6" ht="30" customHeight="1">
      <c r="A1952" s="6">
        <v>1950</v>
      </c>
      <c r="B1952" s="6" t="str">
        <f>"53002023052910123490582"</f>
        <v>53002023052910123490582</v>
      </c>
      <c r="C1952" s="6" t="str">
        <f t="shared" si="123"/>
        <v>0205</v>
      </c>
      <c r="D1952" s="6" t="s">
        <v>25</v>
      </c>
      <c r="E1952" s="6" t="str">
        <f>"骆海霞"</f>
        <v>骆海霞</v>
      </c>
      <c r="F1952" s="6" t="str">
        <f t="shared" si="126"/>
        <v>女</v>
      </c>
    </row>
    <row r="1953" spans="1:6" ht="30" customHeight="1">
      <c r="A1953" s="6">
        <v>1951</v>
      </c>
      <c r="B1953" s="6" t="str">
        <f>"53002023052915434792990"</f>
        <v>53002023052915434792990</v>
      </c>
      <c r="C1953" s="6" t="str">
        <f t="shared" si="123"/>
        <v>0205</v>
      </c>
      <c r="D1953" s="6" t="s">
        <v>25</v>
      </c>
      <c r="E1953" s="6" t="str">
        <f>"孔子媚"</f>
        <v>孔子媚</v>
      </c>
      <c r="F1953" s="6" t="str">
        <f t="shared" si="126"/>
        <v>女</v>
      </c>
    </row>
    <row r="1954" spans="1:6" ht="30" customHeight="1">
      <c r="A1954" s="6">
        <v>1952</v>
      </c>
      <c r="B1954" s="6" t="str">
        <f>"53002023052918542794123"</f>
        <v>53002023052918542794123</v>
      </c>
      <c r="C1954" s="6" t="str">
        <f t="shared" si="123"/>
        <v>0205</v>
      </c>
      <c r="D1954" s="6" t="s">
        <v>25</v>
      </c>
      <c r="E1954" s="6" t="str">
        <f>"李媛"</f>
        <v>李媛</v>
      </c>
      <c r="F1954" s="6" t="str">
        <f t="shared" si="126"/>
        <v>女</v>
      </c>
    </row>
    <row r="1955" spans="1:6" ht="30" customHeight="1">
      <c r="A1955" s="6">
        <v>1953</v>
      </c>
      <c r="B1955" s="6" t="str">
        <f>"53002023052719565685908"</f>
        <v>53002023052719565685908</v>
      </c>
      <c r="C1955" s="6" t="str">
        <f t="shared" si="123"/>
        <v>0205</v>
      </c>
      <c r="D1955" s="6" t="s">
        <v>25</v>
      </c>
      <c r="E1955" s="6" t="str">
        <f>"陈菲菲"</f>
        <v>陈菲菲</v>
      </c>
      <c r="F1955" s="6" t="str">
        <f t="shared" si="126"/>
        <v>女</v>
      </c>
    </row>
    <row r="1956" spans="1:6" ht="30" customHeight="1">
      <c r="A1956" s="6">
        <v>1954</v>
      </c>
      <c r="B1956" s="6" t="str">
        <f>"53002023052908143489516"</f>
        <v>53002023052908143489516</v>
      </c>
      <c r="C1956" s="6" t="str">
        <f t="shared" si="123"/>
        <v>0205</v>
      </c>
      <c r="D1956" s="6" t="s">
        <v>25</v>
      </c>
      <c r="E1956" s="6" t="str">
        <f>"孙璐"</f>
        <v>孙璐</v>
      </c>
      <c r="F1956" s="6" t="str">
        <f t="shared" si="126"/>
        <v>女</v>
      </c>
    </row>
    <row r="1957" spans="1:6" ht="30" customHeight="1">
      <c r="A1957" s="6">
        <v>1955</v>
      </c>
      <c r="B1957" s="6" t="str">
        <f>"53002023052919020994148"</f>
        <v>53002023052919020994148</v>
      </c>
      <c r="C1957" s="6" t="str">
        <f t="shared" si="123"/>
        <v>0205</v>
      </c>
      <c r="D1957" s="6" t="s">
        <v>25</v>
      </c>
      <c r="E1957" s="6" t="str">
        <f>"王青"</f>
        <v>王青</v>
      </c>
      <c r="F1957" s="6" t="str">
        <f t="shared" si="126"/>
        <v>女</v>
      </c>
    </row>
    <row r="1958" spans="1:6" ht="30" customHeight="1">
      <c r="A1958" s="6">
        <v>1956</v>
      </c>
      <c r="B1958" s="6" t="str">
        <f>"53002023052917240093707"</f>
        <v>53002023052917240093707</v>
      </c>
      <c r="C1958" s="6" t="str">
        <f t="shared" si="123"/>
        <v>0205</v>
      </c>
      <c r="D1958" s="6" t="s">
        <v>25</v>
      </c>
      <c r="E1958" s="6" t="str">
        <f>"符杏燕"</f>
        <v>符杏燕</v>
      </c>
      <c r="F1958" s="6" t="str">
        <f t="shared" si="126"/>
        <v>女</v>
      </c>
    </row>
    <row r="1959" spans="1:6" ht="30" customHeight="1">
      <c r="A1959" s="6">
        <v>1957</v>
      </c>
      <c r="B1959" s="6" t="str">
        <f>"53002023052917040893587"</f>
        <v>53002023052917040893587</v>
      </c>
      <c r="C1959" s="6" t="str">
        <f t="shared" si="123"/>
        <v>0205</v>
      </c>
      <c r="D1959" s="6" t="s">
        <v>25</v>
      </c>
      <c r="E1959" s="6" t="str">
        <f>"李宗雅"</f>
        <v>李宗雅</v>
      </c>
      <c r="F1959" s="6" t="str">
        <f t="shared" si="126"/>
        <v>女</v>
      </c>
    </row>
    <row r="1960" spans="1:6" ht="30" customHeight="1">
      <c r="A1960" s="6">
        <v>1958</v>
      </c>
      <c r="B1960" s="6" t="str">
        <f>"53002023052919215594237"</f>
        <v>53002023052919215594237</v>
      </c>
      <c r="C1960" s="6" t="str">
        <f t="shared" si="123"/>
        <v>0205</v>
      </c>
      <c r="D1960" s="6" t="s">
        <v>25</v>
      </c>
      <c r="E1960" s="6" t="str">
        <f>"林学桥"</f>
        <v>林学桥</v>
      </c>
      <c r="F1960" s="6" t="str">
        <f t="shared" si="126"/>
        <v>女</v>
      </c>
    </row>
    <row r="1961" spans="1:6" ht="30" customHeight="1">
      <c r="A1961" s="6">
        <v>1959</v>
      </c>
      <c r="B1961" s="6" t="str">
        <f>"53002023052920000094408"</f>
        <v>53002023052920000094408</v>
      </c>
      <c r="C1961" s="6" t="str">
        <f t="shared" si="123"/>
        <v>0205</v>
      </c>
      <c r="D1961" s="6" t="s">
        <v>25</v>
      </c>
      <c r="E1961" s="6" t="str">
        <f>"欧永令"</f>
        <v>欧永令</v>
      </c>
      <c r="F1961" s="6" t="str">
        <f>"男"</f>
        <v>男</v>
      </c>
    </row>
    <row r="1962" spans="1:6" ht="30" customHeight="1">
      <c r="A1962" s="6">
        <v>1960</v>
      </c>
      <c r="B1962" s="6" t="str">
        <f>"53002023052915502593052"</f>
        <v>53002023052915502593052</v>
      </c>
      <c r="C1962" s="6" t="str">
        <f t="shared" si="123"/>
        <v>0205</v>
      </c>
      <c r="D1962" s="6" t="s">
        <v>25</v>
      </c>
      <c r="E1962" s="6" t="str">
        <f>"陈思凤"</f>
        <v>陈思凤</v>
      </c>
      <c r="F1962" s="6" t="str">
        <f aca="true" t="shared" si="127" ref="F1962:F1967">"女"</f>
        <v>女</v>
      </c>
    </row>
    <row r="1963" spans="1:6" ht="30" customHeight="1">
      <c r="A1963" s="6">
        <v>1961</v>
      </c>
      <c r="B1963" s="6" t="str">
        <f>"53002023052920564594699"</f>
        <v>53002023052920564594699</v>
      </c>
      <c r="C1963" s="6" t="str">
        <f t="shared" si="123"/>
        <v>0205</v>
      </c>
      <c r="D1963" s="6" t="s">
        <v>25</v>
      </c>
      <c r="E1963" s="6" t="str">
        <f>"李玉"</f>
        <v>李玉</v>
      </c>
      <c r="F1963" s="6" t="str">
        <f t="shared" si="127"/>
        <v>女</v>
      </c>
    </row>
    <row r="1964" spans="1:6" ht="30" customHeight="1">
      <c r="A1964" s="6">
        <v>1962</v>
      </c>
      <c r="B1964" s="6" t="str">
        <f>"53002023052920573294702"</f>
        <v>53002023052920573294702</v>
      </c>
      <c r="C1964" s="6" t="str">
        <f t="shared" si="123"/>
        <v>0205</v>
      </c>
      <c r="D1964" s="6" t="s">
        <v>25</v>
      </c>
      <c r="E1964" s="6" t="str">
        <f>"符西亮"</f>
        <v>符西亮</v>
      </c>
      <c r="F1964" s="6" t="str">
        <f t="shared" si="127"/>
        <v>女</v>
      </c>
    </row>
    <row r="1965" spans="1:6" ht="30" customHeight="1">
      <c r="A1965" s="6">
        <v>1963</v>
      </c>
      <c r="B1965" s="6" t="str">
        <f>"53002023052921114994785"</f>
        <v>53002023052921114994785</v>
      </c>
      <c r="C1965" s="6" t="str">
        <f t="shared" si="123"/>
        <v>0205</v>
      </c>
      <c r="D1965" s="6" t="s">
        <v>25</v>
      </c>
      <c r="E1965" s="6" t="str">
        <f>"陈承凤"</f>
        <v>陈承凤</v>
      </c>
      <c r="F1965" s="6" t="str">
        <f t="shared" si="127"/>
        <v>女</v>
      </c>
    </row>
    <row r="1966" spans="1:6" ht="30" customHeight="1">
      <c r="A1966" s="6">
        <v>1964</v>
      </c>
      <c r="B1966" s="6" t="str">
        <f>"53002023052921233294851"</f>
        <v>53002023052921233294851</v>
      </c>
      <c r="C1966" s="6" t="str">
        <f t="shared" si="123"/>
        <v>0205</v>
      </c>
      <c r="D1966" s="6" t="s">
        <v>25</v>
      </c>
      <c r="E1966" s="6" t="str">
        <f>"周贞廷"</f>
        <v>周贞廷</v>
      </c>
      <c r="F1966" s="6" t="str">
        <f t="shared" si="127"/>
        <v>女</v>
      </c>
    </row>
    <row r="1967" spans="1:6" ht="30" customHeight="1">
      <c r="A1967" s="6">
        <v>1965</v>
      </c>
      <c r="B1967" s="6" t="str">
        <f>"53002023052921180394821"</f>
        <v>53002023052921180394821</v>
      </c>
      <c r="C1967" s="6" t="str">
        <f t="shared" si="123"/>
        <v>0205</v>
      </c>
      <c r="D1967" s="6" t="s">
        <v>25</v>
      </c>
      <c r="E1967" s="6" t="str">
        <f>"赵学翠"</f>
        <v>赵学翠</v>
      </c>
      <c r="F1967" s="6" t="str">
        <f t="shared" si="127"/>
        <v>女</v>
      </c>
    </row>
    <row r="1968" spans="1:6" ht="30" customHeight="1">
      <c r="A1968" s="6">
        <v>1966</v>
      </c>
      <c r="B1968" s="6" t="str">
        <f>"53002023052921594995063"</f>
        <v>53002023052921594995063</v>
      </c>
      <c r="C1968" s="6" t="str">
        <f t="shared" si="123"/>
        <v>0205</v>
      </c>
      <c r="D1968" s="6" t="s">
        <v>25</v>
      </c>
      <c r="E1968" s="6" t="str">
        <f>"卢家宏"</f>
        <v>卢家宏</v>
      </c>
      <c r="F1968" s="6" t="str">
        <f>"男"</f>
        <v>男</v>
      </c>
    </row>
    <row r="1969" spans="1:6" ht="30" customHeight="1">
      <c r="A1969" s="6">
        <v>1967</v>
      </c>
      <c r="B1969" s="6" t="str">
        <f>"53002023052815550487829"</f>
        <v>53002023052815550487829</v>
      </c>
      <c r="C1969" s="6" t="str">
        <f t="shared" si="123"/>
        <v>0205</v>
      </c>
      <c r="D1969" s="6" t="s">
        <v>25</v>
      </c>
      <c r="E1969" s="6" t="str">
        <f>"庞云引"</f>
        <v>庞云引</v>
      </c>
      <c r="F1969" s="6" t="str">
        <f>"女"</f>
        <v>女</v>
      </c>
    </row>
    <row r="1970" spans="1:6" ht="30" customHeight="1">
      <c r="A1970" s="6">
        <v>1968</v>
      </c>
      <c r="B1970" s="6" t="str">
        <f>"53002023052922112495138"</f>
        <v>53002023052922112495138</v>
      </c>
      <c r="C1970" s="6" t="str">
        <f t="shared" si="123"/>
        <v>0205</v>
      </c>
      <c r="D1970" s="6" t="s">
        <v>25</v>
      </c>
      <c r="E1970" s="6" t="str">
        <f>"陈素珍"</f>
        <v>陈素珍</v>
      </c>
      <c r="F1970" s="6" t="str">
        <f>"女"</f>
        <v>女</v>
      </c>
    </row>
    <row r="1971" spans="1:6" ht="30" customHeight="1">
      <c r="A1971" s="6">
        <v>1969</v>
      </c>
      <c r="B1971" s="6" t="str">
        <f>"53002023052909570990412"</f>
        <v>53002023052909570990412</v>
      </c>
      <c r="C1971" s="6" t="str">
        <f t="shared" si="123"/>
        <v>0205</v>
      </c>
      <c r="D1971" s="6" t="s">
        <v>25</v>
      </c>
      <c r="E1971" s="6" t="str">
        <f>"谭德娥"</f>
        <v>谭德娥</v>
      </c>
      <c r="F1971" s="6" t="str">
        <f>"女"</f>
        <v>女</v>
      </c>
    </row>
    <row r="1972" spans="1:6" ht="30" customHeight="1">
      <c r="A1972" s="6">
        <v>1970</v>
      </c>
      <c r="B1972" s="6" t="str">
        <f>"53002023052917241793708"</f>
        <v>53002023052917241793708</v>
      </c>
      <c r="C1972" s="6" t="str">
        <f t="shared" si="123"/>
        <v>0205</v>
      </c>
      <c r="D1972" s="6" t="s">
        <v>25</v>
      </c>
      <c r="E1972" s="6" t="str">
        <f>"陈彩翠"</f>
        <v>陈彩翠</v>
      </c>
      <c r="F1972" s="6" t="str">
        <f>"女"</f>
        <v>女</v>
      </c>
    </row>
    <row r="1973" spans="1:6" ht="30" customHeight="1">
      <c r="A1973" s="6">
        <v>1971</v>
      </c>
      <c r="B1973" s="6" t="str">
        <f>"53002023052922583595408"</f>
        <v>53002023052922583595408</v>
      </c>
      <c r="C1973" s="6" t="str">
        <f t="shared" si="123"/>
        <v>0205</v>
      </c>
      <c r="D1973" s="6" t="s">
        <v>25</v>
      </c>
      <c r="E1973" s="6" t="str">
        <f>"符瑞羽"</f>
        <v>符瑞羽</v>
      </c>
      <c r="F1973" s="6" t="str">
        <f>"女"</f>
        <v>女</v>
      </c>
    </row>
    <row r="1974" spans="1:6" ht="30" customHeight="1">
      <c r="A1974" s="6">
        <v>1972</v>
      </c>
      <c r="B1974" s="6" t="str">
        <f>"53002023052923044395433"</f>
        <v>53002023052923044395433</v>
      </c>
      <c r="C1974" s="6" t="str">
        <f t="shared" si="123"/>
        <v>0205</v>
      </c>
      <c r="D1974" s="6" t="s">
        <v>25</v>
      </c>
      <c r="E1974" s="6" t="str">
        <f>"梁晨昊"</f>
        <v>梁晨昊</v>
      </c>
      <c r="F1974" s="6" t="str">
        <f>"男"</f>
        <v>男</v>
      </c>
    </row>
    <row r="1975" spans="1:6" ht="30" customHeight="1">
      <c r="A1975" s="6">
        <v>1973</v>
      </c>
      <c r="B1975" s="6" t="str">
        <f>"53002023052923353295555"</f>
        <v>53002023052923353295555</v>
      </c>
      <c r="C1975" s="6" t="str">
        <f t="shared" si="123"/>
        <v>0205</v>
      </c>
      <c r="D1975" s="6" t="s">
        <v>25</v>
      </c>
      <c r="E1975" s="6" t="str">
        <f>"许美姗"</f>
        <v>许美姗</v>
      </c>
      <c r="F1975" s="6" t="str">
        <f>"女"</f>
        <v>女</v>
      </c>
    </row>
    <row r="1976" spans="1:6" ht="30" customHeight="1">
      <c r="A1976" s="6">
        <v>1974</v>
      </c>
      <c r="B1976" s="6" t="str">
        <f>"53002023052809495386913"</f>
        <v>53002023052809495386913</v>
      </c>
      <c r="C1976" s="6" t="str">
        <f t="shared" si="123"/>
        <v>0205</v>
      </c>
      <c r="D1976" s="6" t="s">
        <v>25</v>
      </c>
      <c r="E1976" s="6" t="str">
        <f>"赵丽"</f>
        <v>赵丽</v>
      </c>
      <c r="F1976" s="6" t="str">
        <f>"女"</f>
        <v>女</v>
      </c>
    </row>
    <row r="1977" spans="1:6" ht="30" customHeight="1">
      <c r="A1977" s="6">
        <v>1975</v>
      </c>
      <c r="B1977" s="6" t="str">
        <f>"53002023053000240695671"</f>
        <v>53002023053000240695671</v>
      </c>
      <c r="C1977" s="6" t="str">
        <f t="shared" si="123"/>
        <v>0205</v>
      </c>
      <c r="D1977" s="6" t="s">
        <v>25</v>
      </c>
      <c r="E1977" s="6" t="str">
        <f>"符文庚"</f>
        <v>符文庚</v>
      </c>
      <c r="F1977" s="6" t="str">
        <f>"男"</f>
        <v>男</v>
      </c>
    </row>
    <row r="1978" spans="1:6" ht="30" customHeight="1">
      <c r="A1978" s="6">
        <v>1976</v>
      </c>
      <c r="B1978" s="6" t="str">
        <f>"53002023053000281795677"</f>
        <v>53002023053000281795677</v>
      </c>
      <c r="C1978" s="6" t="str">
        <f t="shared" si="123"/>
        <v>0205</v>
      </c>
      <c r="D1978" s="6" t="s">
        <v>25</v>
      </c>
      <c r="E1978" s="6" t="str">
        <f>"盘天娜"</f>
        <v>盘天娜</v>
      </c>
      <c r="F1978" s="6" t="str">
        <f aca="true" t="shared" si="128" ref="F1978:F2013">"女"</f>
        <v>女</v>
      </c>
    </row>
    <row r="1979" spans="1:6" ht="30" customHeight="1">
      <c r="A1979" s="6">
        <v>1977</v>
      </c>
      <c r="B1979" s="6" t="str">
        <f>"53002023052821254688874"</f>
        <v>53002023052821254688874</v>
      </c>
      <c r="C1979" s="6" t="str">
        <f aca="true" t="shared" si="129" ref="C1979:C2042">"0205"</f>
        <v>0205</v>
      </c>
      <c r="D1979" s="6" t="s">
        <v>25</v>
      </c>
      <c r="E1979" s="6" t="str">
        <f>"梁江丽"</f>
        <v>梁江丽</v>
      </c>
      <c r="F1979" s="6" t="str">
        <f t="shared" si="128"/>
        <v>女</v>
      </c>
    </row>
    <row r="1980" spans="1:6" ht="30" customHeight="1">
      <c r="A1980" s="6">
        <v>1978</v>
      </c>
      <c r="B1980" s="6" t="str">
        <f>"53002023053003302795748"</f>
        <v>53002023053003302795748</v>
      </c>
      <c r="C1980" s="6" t="str">
        <f t="shared" si="129"/>
        <v>0205</v>
      </c>
      <c r="D1980" s="6" t="s">
        <v>25</v>
      </c>
      <c r="E1980" s="6" t="str">
        <f>"谭金燕"</f>
        <v>谭金燕</v>
      </c>
      <c r="F1980" s="6" t="str">
        <f t="shared" si="128"/>
        <v>女</v>
      </c>
    </row>
    <row r="1981" spans="1:6" ht="30" customHeight="1">
      <c r="A1981" s="6">
        <v>1979</v>
      </c>
      <c r="B1981" s="6" t="str">
        <f>"53002023052709041683670"</f>
        <v>53002023052709041683670</v>
      </c>
      <c r="C1981" s="6" t="str">
        <f t="shared" si="129"/>
        <v>0205</v>
      </c>
      <c r="D1981" s="6" t="s">
        <v>25</v>
      </c>
      <c r="E1981" s="6" t="str">
        <f>"杨日秀"</f>
        <v>杨日秀</v>
      </c>
      <c r="F1981" s="6" t="str">
        <f t="shared" si="128"/>
        <v>女</v>
      </c>
    </row>
    <row r="1982" spans="1:6" ht="30" customHeight="1">
      <c r="A1982" s="6">
        <v>1980</v>
      </c>
      <c r="B1982" s="6" t="str">
        <f>"53002023053008365595884"</f>
        <v>53002023053008365595884</v>
      </c>
      <c r="C1982" s="6" t="str">
        <f t="shared" si="129"/>
        <v>0205</v>
      </c>
      <c r="D1982" s="6" t="s">
        <v>25</v>
      </c>
      <c r="E1982" s="6" t="str">
        <f>"郭江霞"</f>
        <v>郭江霞</v>
      </c>
      <c r="F1982" s="6" t="str">
        <f t="shared" si="128"/>
        <v>女</v>
      </c>
    </row>
    <row r="1983" spans="1:6" ht="30" customHeight="1">
      <c r="A1983" s="6">
        <v>1981</v>
      </c>
      <c r="B1983" s="6" t="str">
        <f>"53002023053008393695896"</f>
        <v>53002023053008393695896</v>
      </c>
      <c r="C1983" s="6" t="str">
        <f t="shared" si="129"/>
        <v>0205</v>
      </c>
      <c r="D1983" s="6" t="s">
        <v>25</v>
      </c>
      <c r="E1983" s="6" t="str">
        <f>"曾妙"</f>
        <v>曾妙</v>
      </c>
      <c r="F1983" s="6" t="str">
        <f t="shared" si="128"/>
        <v>女</v>
      </c>
    </row>
    <row r="1984" spans="1:6" ht="30" customHeight="1">
      <c r="A1984" s="6">
        <v>1982</v>
      </c>
      <c r="B1984" s="6" t="str">
        <f>"53002023053008211995848"</f>
        <v>53002023053008211995848</v>
      </c>
      <c r="C1984" s="6" t="str">
        <f t="shared" si="129"/>
        <v>0205</v>
      </c>
      <c r="D1984" s="6" t="s">
        <v>25</v>
      </c>
      <c r="E1984" s="6" t="str">
        <f>"杨珊"</f>
        <v>杨珊</v>
      </c>
      <c r="F1984" s="6" t="str">
        <f t="shared" si="128"/>
        <v>女</v>
      </c>
    </row>
    <row r="1985" spans="1:6" ht="30" customHeight="1">
      <c r="A1985" s="6">
        <v>1983</v>
      </c>
      <c r="B1985" s="6" t="str">
        <f>"53002023053009031196008"</f>
        <v>53002023053009031196008</v>
      </c>
      <c r="C1985" s="6" t="str">
        <f t="shared" si="129"/>
        <v>0205</v>
      </c>
      <c r="D1985" s="6" t="s">
        <v>25</v>
      </c>
      <c r="E1985" s="6" t="str">
        <f>"简秀金"</f>
        <v>简秀金</v>
      </c>
      <c r="F1985" s="6" t="str">
        <f t="shared" si="128"/>
        <v>女</v>
      </c>
    </row>
    <row r="1986" spans="1:6" ht="30" customHeight="1">
      <c r="A1986" s="6">
        <v>1984</v>
      </c>
      <c r="B1986" s="6" t="str">
        <f>"53002023053009240496176"</f>
        <v>53002023053009240496176</v>
      </c>
      <c r="C1986" s="6" t="str">
        <f t="shared" si="129"/>
        <v>0205</v>
      </c>
      <c r="D1986" s="6" t="s">
        <v>25</v>
      </c>
      <c r="E1986" s="6" t="str">
        <f>"钟小雪"</f>
        <v>钟小雪</v>
      </c>
      <c r="F1986" s="6" t="str">
        <f t="shared" si="128"/>
        <v>女</v>
      </c>
    </row>
    <row r="1987" spans="1:6" ht="30" customHeight="1">
      <c r="A1987" s="6">
        <v>1985</v>
      </c>
      <c r="B1987" s="6" t="str">
        <f>"53002023053009443596340"</f>
        <v>53002023053009443596340</v>
      </c>
      <c r="C1987" s="6" t="str">
        <f t="shared" si="129"/>
        <v>0205</v>
      </c>
      <c r="D1987" s="6" t="s">
        <v>25</v>
      </c>
      <c r="E1987" s="6" t="str">
        <f>"赵开静"</f>
        <v>赵开静</v>
      </c>
      <c r="F1987" s="6" t="str">
        <f t="shared" si="128"/>
        <v>女</v>
      </c>
    </row>
    <row r="1988" spans="1:6" ht="30" customHeight="1">
      <c r="A1988" s="6">
        <v>1986</v>
      </c>
      <c r="B1988" s="6" t="str">
        <f>"53002023052921475194992"</f>
        <v>53002023052921475194992</v>
      </c>
      <c r="C1988" s="6" t="str">
        <f t="shared" si="129"/>
        <v>0205</v>
      </c>
      <c r="D1988" s="6" t="s">
        <v>25</v>
      </c>
      <c r="E1988" s="6" t="str">
        <f>"吉如科"</f>
        <v>吉如科</v>
      </c>
      <c r="F1988" s="6" t="str">
        <f t="shared" si="128"/>
        <v>女</v>
      </c>
    </row>
    <row r="1989" spans="1:6" ht="30" customHeight="1">
      <c r="A1989" s="6">
        <v>1987</v>
      </c>
      <c r="B1989" s="6" t="str">
        <f>"53002023053009333696256"</f>
        <v>53002023053009333696256</v>
      </c>
      <c r="C1989" s="6" t="str">
        <f t="shared" si="129"/>
        <v>0205</v>
      </c>
      <c r="D1989" s="6" t="s">
        <v>25</v>
      </c>
      <c r="E1989" s="6" t="str">
        <f>"董丽涵"</f>
        <v>董丽涵</v>
      </c>
      <c r="F1989" s="6" t="str">
        <f t="shared" si="128"/>
        <v>女</v>
      </c>
    </row>
    <row r="1990" spans="1:6" ht="30" customHeight="1">
      <c r="A1990" s="6">
        <v>1988</v>
      </c>
      <c r="B1990" s="6" t="str">
        <f>"53002023053009325896249"</f>
        <v>53002023053009325896249</v>
      </c>
      <c r="C1990" s="6" t="str">
        <f t="shared" si="129"/>
        <v>0205</v>
      </c>
      <c r="D1990" s="6" t="s">
        <v>25</v>
      </c>
      <c r="E1990" s="6" t="str">
        <f>"徐雅丽"</f>
        <v>徐雅丽</v>
      </c>
      <c r="F1990" s="6" t="str">
        <f t="shared" si="128"/>
        <v>女</v>
      </c>
    </row>
    <row r="1991" spans="1:6" ht="30" customHeight="1">
      <c r="A1991" s="6">
        <v>1989</v>
      </c>
      <c r="B1991" s="6" t="str">
        <f>"53002023052811215787136"</f>
        <v>53002023052811215787136</v>
      </c>
      <c r="C1991" s="6" t="str">
        <f t="shared" si="129"/>
        <v>0205</v>
      </c>
      <c r="D1991" s="6" t="s">
        <v>25</v>
      </c>
      <c r="E1991" s="6" t="str">
        <f>"刘小英"</f>
        <v>刘小英</v>
      </c>
      <c r="F1991" s="6" t="str">
        <f t="shared" si="128"/>
        <v>女</v>
      </c>
    </row>
    <row r="1992" spans="1:6" ht="30" customHeight="1">
      <c r="A1992" s="6">
        <v>1990</v>
      </c>
      <c r="B1992" s="6" t="str">
        <f>"53002023053010435096809"</f>
        <v>53002023053010435096809</v>
      </c>
      <c r="C1992" s="6" t="str">
        <f t="shared" si="129"/>
        <v>0205</v>
      </c>
      <c r="D1992" s="6" t="s">
        <v>25</v>
      </c>
      <c r="E1992" s="6" t="str">
        <f>"文霞"</f>
        <v>文霞</v>
      </c>
      <c r="F1992" s="6" t="str">
        <f t="shared" si="128"/>
        <v>女</v>
      </c>
    </row>
    <row r="1993" spans="1:6" ht="30" customHeight="1">
      <c r="A1993" s="6">
        <v>1991</v>
      </c>
      <c r="B1993" s="6" t="str">
        <f>"53002023053010343596721"</f>
        <v>53002023053010343596721</v>
      </c>
      <c r="C1993" s="6" t="str">
        <f t="shared" si="129"/>
        <v>0205</v>
      </c>
      <c r="D1993" s="6" t="s">
        <v>25</v>
      </c>
      <c r="E1993" s="6" t="str">
        <f>"王云萍"</f>
        <v>王云萍</v>
      </c>
      <c r="F1993" s="6" t="str">
        <f t="shared" si="128"/>
        <v>女</v>
      </c>
    </row>
    <row r="1994" spans="1:6" ht="30" customHeight="1">
      <c r="A1994" s="6">
        <v>1992</v>
      </c>
      <c r="B1994" s="6" t="str">
        <f>"53002023052823121889231"</f>
        <v>53002023052823121889231</v>
      </c>
      <c r="C1994" s="6" t="str">
        <f t="shared" si="129"/>
        <v>0205</v>
      </c>
      <c r="D1994" s="6" t="s">
        <v>25</v>
      </c>
      <c r="E1994" s="6" t="str">
        <f>"张翠萍"</f>
        <v>张翠萍</v>
      </c>
      <c r="F1994" s="6" t="str">
        <f t="shared" si="128"/>
        <v>女</v>
      </c>
    </row>
    <row r="1995" spans="1:6" ht="30" customHeight="1">
      <c r="A1995" s="6">
        <v>1993</v>
      </c>
      <c r="B1995" s="6" t="str">
        <f>"53002023053009441496336"</f>
        <v>53002023053009441496336</v>
      </c>
      <c r="C1995" s="6" t="str">
        <f t="shared" si="129"/>
        <v>0205</v>
      </c>
      <c r="D1995" s="6" t="s">
        <v>25</v>
      </c>
      <c r="E1995" s="6" t="str">
        <f>"黄立娇"</f>
        <v>黄立娇</v>
      </c>
      <c r="F1995" s="6" t="str">
        <f t="shared" si="128"/>
        <v>女</v>
      </c>
    </row>
    <row r="1996" spans="1:6" ht="30" customHeight="1">
      <c r="A1996" s="6">
        <v>1994</v>
      </c>
      <c r="B1996" s="6" t="str">
        <f>"53002023052820281688675"</f>
        <v>53002023052820281688675</v>
      </c>
      <c r="C1996" s="6" t="str">
        <f t="shared" si="129"/>
        <v>0205</v>
      </c>
      <c r="D1996" s="6" t="s">
        <v>25</v>
      </c>
      <c r="E1996" s="6" t="str">
        <f>"林蓓"</f>
        <v>林蓓</v>
      </c>
      <c r="F1996" s="6" t="str">
        <f t="shared" si="128"/>
        <v>女</v>
      </c>
    </row>
    <row r="1997" spans="1:6" ht="30" customHeight="1">
      <c r="A1997" s="6">
        <v>1995</v>
      </c>
      <c r="B1997" s="6" t="str">
        <f>"53002023052914064292362"</f>
        <v>53002023052914064292362</v>
      </c>
      <c r="C1997" s="6" t="str">
        <f t="shared" si="129"/>
        <v>0205</v>
      </c>
      <c r="D1997" s="6" t="s">
        <v>25</v>
      </c>
      <c r="E1997" s="6" t="str">
        <f>"林兴梅"</f>
        <v>林兴梅</v>
      </c>
      <c r="F1997" s="6" t="str">
        <f t="shared" si="128"/>
        <v>女</v>
      </c>
    </row>
    <row r="1998" spans="1:6" ht="30" customHeight="1">
      <c r="A1998" s="6">
        <v>1996</v>
      </c>
      <c r="B1998" s="6" t="str">
        <f>"53002023052911061691183"</f>
        <v>53002023052911061691183</v>
      </c>
      <c r="C1998" s="6" t="str">
        <f t="shared" si="129"/>
        <v>0205</v>
      </c>
      <c r="D1998" s="6" t="s">
        <v>25</v>
      </c>
      <c r="E1998" s="6" t="str">
        <f>"王彩银"</f>
        <v>王彩银</v>
      </c>
      <c r="F1998" s="6" t="str">
        <f t="shared" si="128"/>
        <v>女</v>
      </c>
    </row>
    <row r="1999" spans="1:6" ht="30" customHeight="1">
      <c r="A1999" s="6">
        <v>1997</v>
      </c>
      <c r="B1999" s="6" t="str">
        <f>"53002023053011352697227"</f>
        <v>53002023053011352697227</v>
      </c>
      <c r="C1999" s="6" t="str">
        <f t="shared" si="129"/>
        <v>0205</v>
      </c>
      <c r="D1999" s="6" t="s">
        <v>25</v>
      </c>
      <c r="E1999" s="6" t="str">
        <f>"王香梅"</f>
        <v>王香梅</v>
      </c>
      <c r="F1999" s="6" t="str">
        <f t="shared" si="128"/>
        <v>女</v>
      </c>
    </row>
    <row r="2000" spans="1:6" ht="30" customHeight="1">
      <c r="A2000" s="6">
        <v>1998</v>
      </c>
      <c r="B2000" s="6" t="str">
        <f>"53002023052822442589146"</f>
        <v>53002023052822442589146</v>
      </c>
      <c r="C2000" s="6" t="str">
        <f t="shared" si="129"/>
        <v>0205</v>
      </c>
      <c r="D2000" s="6" t="s">
        <v>25</v>
      </c>
      <c r="E2000" s="6" t="str">
        <f>"王寸升"</f>
        <v>王寸升</v>
      </c>
      <c r="F2000" s="6" t="str">
        <f t="shared" si="128"/>
        <v>女</v>
      </c>
    </row>
    <row r="2001" spans="1:6" ht="30" customHeight="1">
      <c r="A2001" s="6">
        <v>1999</v>
      </c>
      <c r="B2001" s="6" t="str">
        <f>"53002023053012314197566"</f>
        <v>53002023053012314197566</v>
      </c>
      <c r="C2001" s="6" t="str">
        <f t="shared" si="129"/>
        <v>0205</v>
      </c>
      <c r="D2001" s="6" t="s">
        <v>25</v>
      </c>
      <c r="E2001" s="6" t="str">
        <f>"刘思宇"</f>
        <v>刘思宇</v>
      </c>
      <c r="F2001" s="6" t="str">
        <f t="shared" si="128"/>
        <v>女</v>
      </c>
    </row>
    <row r="2002" spans="1:6" ht="30" customHeight="1">
      <c r="A2002" s="6">
        <v>2000</v>
      </c>
      <c r="B2002" s="6" t="str">
        <f>"53002023053013101597793"</f>
        <v>53002023053013101597793</v>
      </c>
      <c r="C2002" s="6" t="str">
        <f t="shared" si="129"/>
        <v>0205</v>
      </c>
      <c r="D2002" s="6" t="s">
        <v>25</v>
      </c>
      <c r="E2002" s="6" t="str">
        <f>"刘菁颖"</f>
        <v>刘菁颖</v>
      </c>
      <c r="F2002" s="6" t="str">
        <f t="shared" si="128"/>
        <v>女</v>
      </c>
    </row>
    <row r="2003" spans="1:6" ht="30" customHeight="1">
      <c r="A2003" s="6">
        <v>2001</v>
      </c>
      <c r="B2003" s="6" t="str">
        <f>"53002023053013444197918"</f>
        <v>53002023053013444197918</v>
      </c>
      <c r="C2003" s="6" t="str">
        <f t="shared" si="129"/>
        <v>0205</v>
      </c>
      <c r="D2003" s="6" t="s">
        <v>25</v>
      </c>
      <c r="E2003" s="6" t="str">
        <f>"姚春妙"</f>
        <v>姚春妙</v>
      </c>
      <c r="F2003" s="6" t="str">
        <f t="shared" si="128"/>
        <v>女</v>
      </c>
    </row>
    <row r="2004" spans="1:6" ht="30" customHeight="1">
      <c r="A2004" s="6">
        <v>2002</v>
      </c>
      <c r="B2004" s="6" t="str">
        <f>"53002023053013045497758"</f>
        <v>53002023053013045497758</v>
      </c>
      <c r="C2004" s="6" t="str">
        <f t="shared" si="129"/>
        <v>0205</v>
      </c>
      <c r="D2004" s="6" t="s">
        <v>25</v>
      </c>
      <c r="E2004" s="6" t="str">
        <f>"陈璟"</f>
        <v>陈璟</v>
      </c>
      <c r="F2004" s="6" t="str">
        <f t="shared" si="128"/>
        <v>女</v>
      </c>
    </row>
    <row r="2005" spans="1:6" ht="30" customHeight="1">
      <c r="A2005" s="6">
        <v>2003</v>
      </c>
      <c r="B2005" s="6" t="str">
        <f>"53002023052914250992455"</f>
        <v>53002023052914250992455</v>
      </c>
      <c r="C2005" s="6" t="str">
        <f t="shared" si="129"/>
        <v>0205</v>
      </c>
      <c r="D2005" s="6" t="s">
        <v>25</v>
      </c>
      <c r="E2005" s="6" t="str">
        <f>"梁凤雨"</f>
        <v>梁凤雨</v>
      </c>
      <c r="F2005" s="6" t="str">
        <f t="shared" si="128"/>
        <v>女</v>
      </c>
    </row>
    <row r="2006" spans="1:6" ht="30" customHeight="1">
      <c r="A2006" s="6">
        <v>2004</v>
      </c>
      <c r="B2006" s="6" t="str">
        <f>"53002023052915513593059"</f>
        <v>53002023052915513593059</v>
      </c>
      <c r="C2006" s="6" t="str">
        <f t="shared" si="129"/>
        <v>0205</v>
      </c>
      <c r="D2006" s="6" t="s">
        <v>25</v>
      </c>
      <c r="E2006" s="6" t="str">
        <f>"庞小梅"</f>
        <v>庞小梅</v>
      </c>
      <c r="F2006" s="6" t="str">
        <f t="shared" si="128"/>
        <v>女</v>
      </c>
    </row>
    <row r="2007" spans="1:6" ht="30" customHeight="1">
      <c r="A2007" s="6">
        <v>2005</v>
      </c>
      <c r="B2007" s="6" t="str">
        <f>"53002023053010543196902"</f>
        <v>53002023053010543196902</v>
      </c>
      <c r="C2007" s="6" t="str">
        <f t="shared" si="129"/>
        <v>0205</v>
      </c>
      <c r="D2007" s="6" t="s">
        <v>25</v>
      </c>
      <c r="E2007" s="6" t="str">
        <f>"赵春莹"</f>
        <v>赵春莹</v>
      </c>
      <c r="F2007" s="6" t="str">
        <f t="shared" si="128"/>
        <v>女</v>
      </c>
    </row>
    <row r="2008" spans="1:6" ht="30" customHeight="1">
      <c r="A2008" s="6">
        <v>2006</v>
      </c>
      <c r="B2008" s="6" t="str">
        <f>"53002023053015523098633"</f>
        <v>53002023053015523098633</v>
      </c>
      <c r="C2008" s="6" t="str">
        <f t="shared" si="129"/>
        <v>0205</v>
      </c>
      <c r="D2008" s="6" t="s">
        <v>25</v>
      </c>
      <c r="E2008" s="6" t="str">
        <f>"王芸"</f>
        <v>王芸</v>
      </c>
      <c r="F2008" s="6" t="str">
        <f t="shared" si="128"/>
        <v>女</v>
      </c>
    </row>
    <row r="2009" spans="1:6" ht="30" customHeight="1">
      <c r="A2009" s="6">
        <v>2007</v>
      </c>
      <c r="B2009" s="6" t="str">
        <f>"53002023053015282298457"</f>
        <v>53002023053015282298457</v>
      </c>
      <c r="C2009" s="6" t="str">
        <f t="shared" si="129"/>
        <v>0205</v>
      </c>
      <c r="D2009" s="6" t="s">
        <v>25</v>
      </c>
      <c r="E2009" s="6" t="str">
        <f>"孙转"</f>
        <v>孙转</v>
      </c>
      <c r="F2009" s="6" t="str">
        <f t="shared" si="128"/>
        <v>女</v>
      </c>
    </row>
    <row r="2010" spans="1:6" ht="30" customHeight="1">
      <c r="A2010" s="6">
        <v>2008</v>
      </c>
      <c r="B2010" s="6" t="str">
        <f>"53002023053009032696012"</f>
        <v>53002023053009032696012</v>
      </c>
      <c r="C2010" s="6" t="str">
        <f t="shared" si="129"/>
        <v>0205</v>
      </c>
      <c r="D2010" s="6" t="s">
        <v>25</v>
      </c>
      <c r="E2010" s="6" t="str">
        <f>"吴丽华"</f>
        <v>吴丽华</v>
      </c>
      <c r="F2010" s="6" t="str">
        <f t="shared" si="128"/>
        <v>女</v>
      </c>
    </row>
    <row r="2011" spans="1:6" ht="30" customHeight="1">
      <c r="A2011" s="6">
        <v>2009</v>
      </c>
      <c r="B2011" s="6" t="str">
        <f>"53002023052923282895527"</f>
        <v>53002023052923282895527</v>
      </c>
      <c r="C2011" s="6" t="str">
        <f t="shared" si="129"/>
        <v>0205</v>
      </c>
      <c r="D2011" s="6" t="s">
        <v>25</v>
      </c>
      <c r="E2011" s="6" t="str">
        <f>"何燕婷"</f>
        <v>何燕婷</v>
      </c>
      <c r="F2011" s="6" t="str">
        <f t="shared" si="128"/>
        <v>女</v>
      </c>
    </row>
    <row r="2012" spans="1:6" ht="30" customHeight="1">
      <c r="A2012" s="6">
        <v>2010</v>
      </c>
      <c r="B2012" s="6" t="str">
        <f>"53002023053015585298671"</f>
        <v>53002023053015585298671</v>
      </c>
      <c r="C2012" s="6" t="str">
        <f t="shared" si="129"/>
        <v>0205</v>
      </c>
      <c r="D2012" s="6" t="s">
        <v>25</v>
      </c>
      <c r="E2012" s="6" t="str">
        <f>"王凤丹"</f>
        <v>王凤丹</v>
      </c>
      <c r="F2012" s="6" t="str">
        <f t="shared" si="128"/>
        <v>女</v>
      </c>
    </row>
    <row r="2013" spans="1:6" ht="30" customHeight="1">
      <c r="A2013" s="6">
        <v>2011</v>
      </c>
      <c r="B2013" s="6" t="str">
        <f>"53002023052822224689078"</f>
        <v>53002023052822224689078</v>
      </c>
      <c r="C2013" s="6" t="str">
        <f t="shared" si="129"/>
        <v>0205</v>
      </c>
      <c r="D2013" s="6" t="s">
        <v>25</v>
      </c>
      <c r="E2013" s="6" t="str">
        <f>"曾静姣"</f>
        <v>曾静姣</v>
      </c>
      <c r="F2013" s="6" t="str">
        <f t="shared" si="128"/>
        <v>女</v>
      </c>
    </row>
    <row r="2014" spans="1:6" ht="30" customHeight="1">
      <c r="A2014" s="6">
        <v>2012</v>
      </c>
      <c r="B2014" s="6" t="str">
        <f>"53002023053017060899095"</f>
        <v>53002023053017060899095</v>
      </c>
      <c r="C2014" s="6" t="str">
        <f t="shared" si="129"/>
        <v>0205</v>
      </c>
      <c r="D2014" s="6" t="s">
        <v>25</v>
      </c>
      <c r="E2014" s="6" t="str">
        <f>"周义燐"</f>
        <v>周义燐</v>
      </c>
      <c r="F2014" s="6" t="str">
        <f>"男"</f>
        <v>男</v>
      </c>
    </row>
    <row r="2015" spans="1:6" ht="30" customHeight="1">
      <c r="A2015" s="6">
        <v>2013</v>
      </c>
      <c r="B2015" s="6" t="str">
        <f>"53002023053017333099260"</f>
        <v>53002023053017333099260</v>
      </c>
      <c r="C2015" s="6" t="str">
        <f t="shared" si="129"/>
        <v>0205</v>
      </c>
      <c r="D2015" s="6" t="s">
        <v>25</v>
      </c>
      <c r="E2015" s="6" t="str">
        <f>"徐源"</f>
        <v>徐源</v>
      </c>
      <c r="F2015" s="6" t="str">
        <f>"女"</f>
        <v>女</v>
      </c>
    </row>
    <row r="2016" spans="1:6" ht="30" customHeight="1">
      <c r="A2016" s="6">
        <v>2014</v>
      </c>
      <c r="B2016" s="6" t="str">
        <f>"53002023053011471397326"</f>
        <v>53002023053011471397326</v>
      </c>
      <c r="C2016" s="6" t="str">
        <f t="shared" si="129"/>
        <v>0205</v>
      </c>
      <c r="D2016" s="6" t="s">
        <v>25</v>
      </c>
      <c r="E2016" s="6" t="str">
        <f>"王巧慧"</f>
        <v>王巧慧</v>
      </c>
      <c r="F2016" s="6" t="str">
        <f>"女"</f>
        <v>女</v>
      </c>
    </row>
    <row r="2017" spans="1:6" ht="30" customHeight="1">
      <c r="A2017" s="6">
        <v>2015</v>
      </c>
      <c r="B2017" s="6" t="str">
        <f>"53002023052923570395620"</f>
        <v>53002023052923570395620</v>
      </c>
      <c r="C2017" s="6" t="str">
        <f t="shared" si="129"/>
        <v>0205</v>
      </c>
      <c r="D2017" s="6" t="s">
        <v>25</v>
      </c>
      <c r="E2017" s="6" t="str">
        <f>"何玉妹"</f>
        <v>何玉妹</v>
      </c>
      <c r="F2017" s="6" t="str">
        <f>"女"</f>
        <v>女</v>
      </c>
    </row>
    <row r="2018" spans="1:6" ht="30" customHeight="1">
      <c r="A2018" s="6">
        <v>2016</v>
      </c>
      <c r="B2018" s="6" t="str">
        <f>"53002023053014491098216"</f>
        <v>53002023053014491098216</v>
      </c>
      <c r="C2018" s="6" t="str">
        <f t="shared" si="129"/>
        <v>0205</v>
      </c>
      <c r="D2018" s="6" t="s">
        <v>25</v>
      </c>
      <c r="E2018" s="6" t="str">
        <f>"陈冠娥"</f>
        <v>陈冠娥</v>
      </c>
      <c r="F2018" s="6" t="str">
        <f>"女"</f>
        <v>女</v>
      </c>
    </row>
    <row r="2019" spans="1:6" ht="30" customHeight="1">
      <c r="A2019" s="6">
        <v>2017</v>
      </c>
      <c r="B2019" s="6" t="str">
        <f>"53002023053018240299476"</f>
        <v>53002023053018240299476</v>
      </c>
      <c r="C2019" s="6" t="str">
        <f t="shared" si="129"/>
        <v>0205</v>
      </c>
      <c r="D2019" s="6" t="s">
        <v>25</v>
      </c>
      <c r="E2019" s="6" t="str">
        <f>"梁承教"</f>
        <v>梁承教</v>
      </c>
      <c r="F2019" s="6" t="str">
        <f>"女"</f>
        <v>女</v>
      </c>
    </row>
    <row r="2020" spans="1:6" ht="30" customHeight="1">
      <c r="A2020" s="6">
        <v>2018</v>
      </c>
      <c r="B2020" s="6" t="str">
        <f>"53002023053019080099653"</f>
        <v>53002023053019080099653</v>
      </c>
      <c r="C2020" s="6" t="str">
        <f t="shared" si="129"/>
        <v>0205</v>
      </c>
      <c r="D2020" s="6" t="s">
        <v>25</v>
      </c>
      <c r="E2020" s="6" t="str">
        <f>"尹再源"</f>
        <v>尹再源</v>
      </c>
      <c r="F2020" s="6" t="str">
        <f>"男"</f>
        <v>男</v>
      </c>
    </row>
    <row r="2021" spans="1:6" ht="30" customHeight="1">
      <c r="A2021" s="6">
        <v>2019</v>
      </c>
      <c r="B2021" s="6" t="str">
        <f>"53002023053019395999788"</f>
        <v>53002023053019395999788</v>
      </c>
      <c r="C2021" s="6" t="str">
        <f t="shared" si="129"/>
        <v>0205</v>
      </c>
      <c r="D2021" s="6" t="s">
        <v>25</v>
      </c>
      <c r="E2021" s="6" t="str">
        <f>"林翠平"</f>
        <v>林翠平</v>
      </c>
      <c r="F2021" s="6" t="str">
        <f aca="true" t="shared" si="130" ref="F2021:F2052">"女"</f>
        <v>女</v>
      </c>
    </row>
    <row r="2022" spans="1:6" ht="30" customHeight="1">
      <c r="A2022" s="6">
        <v>2020</v>
      </c>
      <c r="B2022" s="6" t="str">
        <f>"53002023052912161291755"</f>
        <v>53002023052912161291755</v>
      </c>
      <c r="C2022" s="6" t="str">
        <f t="shared" si="129"/>
        <v>0205</v>
      </c>
      <c r="D2022" s="6" t="s">
        <v>25</v>
      </c>
      <c r="E2022" s="6" t="str">
        <f>"羊美转"</f>
        <v>羊美转</v>
      </c>
      <c r="F2022" s="6" t="str">
        <f t="shared" si="130"/>
        <v>女</v>
      </c>
    </row>
    <row r="2023" spans="1:6" ht="30" customHeight="1">
      <c r="A2023" s="6">
        <v>2021</v>
      </c>
      <c r="B2023" s="6" t="str">
        <f>"53002023052719590585919"</f>
        <v>53002023052719590585919</v>
      </c>
      <c r="C2023" s="6" t="str">
        <f t="shared" si="129"/>
        <v>0205</v>
      </c>
      <c r="D2023" s="6" t="s">
        <v>25</v>
      </c>
      <c r="E2023" s="6" t="str">
        <f>"陈海金"</f>
        <v>陈海金</v>
      </c>
      <c r="F2023" s="6" t="str">
        <f t="shared" si="130"/>
        <v>女</v>
      </c>
    </row>
    <row r="2024" spans="1:6" ht="30" customHeight="1">
      <c r="A2024" s="6">
        <v>2022</v>
      </c>
      <c r="B2024" s="6" t="str">
        <f>"53002023052713272784713"</f>
        <v>53002023052713272784713</v>
      </c>
      <c r="C2024" s="6" t="str">
        <f t="shared" si="129"/>
        <v>0205</v>
      </c>
      <c r="D2024" s="6" t="s">
        <v>25</v>
      </c>
      <c r="E2024" s="6" t="str">
        <f>"韩晶"</f>
        <v>韩晶</v>
      </c>
      <c r="F2024" s="6" t="str">
        <f t="shared" si="130"/>
        <v>女</v>
      </c>
    </row>
    <row r="2025" spans="1:6" ht="30" customHeight="1">
      <c r="A2025" s="6">
        <v>2023</v>
      </c>
      <c r="B2025" s="6" t="str">
        <f>"53002023052800013586614"</f>
        <v>53002023052800013586614</v>
      </c>
      <c r="C2025" s="6" t="str">
        <f t="shared" si="129"/>
        <v>0205</v>
      </c>
      <c r="D2025" s="6" t="s">
        <v>25</v>
      </c>
      <c r="E2025" s="6" t="str">
        <f>"高冬香"</f>
        <v>高冬香</v>
      </c>
      <c r="F2025" s="6" t="str">
        <f t="shared" si="130"/>
        <v>女</v>
      </c>
    </row>
    <row r="2026" spans="1:6" ht="30" customHeight="1">
      <c r="A2026" s="6">
        <v>2024</v>
      </c>
      <c r="B2026" s="6" t="str">
        <f>"53002023052910444190969"</f>
        <v>53002023052910444190969</v>
      </c>
      <c r="C2026" s="6" t="str">
        <f t="shared" si="129"/>
        <v>0205</v>
      </c>
      <c r="D2026" s="6" t="s">
        <v>25</v>
      </c>
      <c r="E2026" s="6" t="str">
        <f>"郭秀春"</f>
        <v>郭秀春</v>
      </c>
      <c r="F2026" s="6" t="str">
        <f t="shared" si="130"/>
        <v>女</v>
      </c>
    </row>
    <row r="2027" spans="1:6" ht="30" customHeight="1">
      <c r="A2027" s="6">
        <v>2025</v>
      </c>
      <c r="B2027" s="6" t="str">
        <f>"530020230530210118100167"</f>
        <v>530020230530210118100167</v>
      </c>
      <c r="C2027" s="6" t="str">
        <f t="shared" si="129"/>
        <v>0205</v>
      </c>
      <c r="D2027" s="6" t="s">
        <v>25</v>
      </c>
      <c r="E2027" s="6" t="str">
        <f>"陈德楼"</f>
        <v>陈德楼</v>
      </c>
      <c r="F2027" s="6" t="str">
        <f t="shared" si="130"/>
        <v>女</v>
      </c>
    </row>
    <row r="2028" spans="1:6" ht="30" customHeight="1">
      <c r="A2028" s="6">
        <v>2026</v>
      </c>
      <c r="B2028" s="6" t="str">
        <f>"53002023053011101497042"</f>
        <v>53002023053011101497042</v>
      </c>
      <c r="C2028" s="6" t="str">
        <f t="shared" si="129"/>
        <v>0205</v>
      </c>
      <c r="D2028" s="6" t="s">
        <v>25</v>
      </c>
      <c r="E2028" s="6" t="str">
        <f>"吴玉爱"</f>
        <v>吴玉爱</v>
      </c>
      <c r="F2028" s="6" t="str">
        <f t="shared" si="130"/>
        <v>女</v>
      </c>
    </row>
    <row r="2029" spans="1:6" ht="30" customHeight="1">
      <c r="A2029" s="6">
        <v>2027</v>
      </c>
      <c r="B2029" s="6" t="str">
        <f>"530020230530211822100239"</f>
        <v>530020230530211822100239</v>
      </c>
      <c r="C2029" s="6" t="str">
        <f t="shared" si="129"/>
        <v>0205</v>
      </c>
      <c r="D2029" s="6" t="s">
        <v>25</v>
      </c>
      <c r="E2029" s="6" t="str">
        <f>"黄梦婷"</f>
        <v>黄梦婷</v>
      </c>
      <c r="F2029" s="6" t="str">
        <f t="shared" si="130"/>
        <v>女</v>
      </c>
    </row>
    <row r="2030" spans="1:6" ht="30" customHeight="1">
      <c r="A2030" s="6">
        <v>2028</v>
      </c>
      <c r="B2030" s="6" t="str">
        <f>"53002023052923195395498"</f>
        <v>53002023052923195395498</v>
      </c>
      <c r="C2030" s="6" t="str">
        <f t="shared" si="129"/>
        <v>0205</v>
      </c>
      <c r="D2030" s="6" t="s">
        <v>25</v>
      </c>
      <c r="E2030" s="6" t="str">
        <f>"唐玉霞"</f>
        <v>唐玉霞</v>
      </c>
      <c r="F2030" s="6" t="str">
        <f t="shared" si="130"/>
        <v>女</v>
      </c>
    </row>
    <row r="2031" spans="1:6" ht="30" customHeight="1">
      <c r="A2031" s="6">
        <v>2029</v>
      </c>
      <c r="B2031" s="6" t="str">
        <f>"53002023052911454191505"</f>
        <v>53002023052911454191505</v>
      </c>
      <c r="C2031" s="6" t="str">
        <f t="shared" si="129"/>
        <v>0205</v>
      </c>
      <c r="D2031" s="6" t="s">
        <v>25</v>
      </c>
      <c r="E2031" s="6" t="str">
        <f>"郑圣丹"</f>
        <v>郑圣丹</v>
      </c>
      <c r="F2031" s="6" t="str">
        <f t="shared" si="130"/>
        <v>女</v>
      </c>
    </row>
    <row r="2032" spans="1:6" ht="30" customHeight="1">
      <c r="A2032" s="6">
        <v>2030</v>
      </c>
      <c r="B2032" s="6" t="str">
        <f>"53002023052914591492657"</f>
        <v>53002023052914591492657</v>
      </c>
      <c r="C2032" s="6" t="str">
        <f t="shared" si="129"/>
        <v>0205</v>
      </c>
      <c r="D2032" s="6" t="s">
        <v>25</v>
      </c>
      <c r="E2032" s="6" t="str">
        <f>"陈五女"</f>
        <v>陈五女</v>
      </c>
      <c r="F2032" s="6" t="str">
        <f t="shared" si="130"/>
        <v>女</v>
      </c>
    </row>
    <row r="2033" spans="1:6" ht="30" customHeight="1">
      <c r="A2033" s="6">
        <v>2031</v>
      </c>
      <c r="B2033" s="6" t="str">
        <f>"530020230530220225100483"</f>
        <v>530020230530220225100483</v>
      </c>
      <c r="C2033" s="6" t="str">
        <f t="shared" si="129"/>
        <v>0205</v>
      </c>
      <c r="D2033" s="6" t="s">
        <v>25</v>
      </c>
      <c r="E2033" s="6" t="str">
        <f>"李美莹"</f>
        <v>李美莹</v>
      </c>
      <c r="F2033" s="6" t="str">
        <f t="shared" si="130"/>
        <v>女</v>
      </c>
    </row>
    <row r="2034" spans="1:6" ht="30" customHeight="1">
      <c r="A2034" s="6">
        <v>2032</v>
      </c>
      <c r="B2034" s="6" t="str">
        <f>"530020230530212226100259"</f>
        <v>530020230530212226100259</v>
      </c>
      <c r="C2034" s="6" t="str">
        <f t="shared" si="129"/>
        <v>0205</v>
      </c>
      <c r="D2034" s="6" t="s">
        <v>25</v>
      </c>
      <c r="E2034" s="6" t="str">
        <f>"邓江萍"</f>
        <v>邓江萍</v>
      </c>
      <c r="F2034" s="6" t="str">
        <f t="shared" si="130"/>
        <v>女</v>
      </c>
    </row>
    <row r="2035" spans="1:6" ht="30" customHeight="1">
      <c r="A2035" s="6">
        <v>2033</v>
      </c>
      <c r="B2035" s="6" t="str">
        <f>"53002023052712555184600"</f>
        <v>53002023052712555184600</v>
      </c>
      <c r="C2035" s="6" t="str">
        <f t="shared" si="129"/>
        <v>0205</v>
      </c>
      <c r="D2035" s="6" t="s">
        <v>25</v>
      </c>
      <c r="E2035" s="6" t="str">
        <f>"王雪曼"</f>
        <v>王雪曼</v>
      </c>
      <c r="F2035" s="6" t="str">
        <f t="shared" si="130"/>
        <v>女</v>
      </c>
    </row>
    <row r="2036" spans="1:6" ht="30" customHeight="1">
      <c r="A2036" s="6">
        <v>2034</v>
      </c>
      <c r="B2036" s="6" t="str">
        <f>"530020230530234604100911"</f>
        <v>530020230530234604100911</v>
      </c>
      <c r="C2036" s="6" t="str">
        <f t="shared" si="129"/>
        <v>0205</v>
      </c>
      <c r="D2036" s="6" t="s">
        <v>25</v>
      </c>
      <c r="E2036" s="6" t="str">
        <f>"王彩玉"</f>
        <v>王彩玉</v>
      </c>
      <c r="F2036" s="6" t="str">
        <f t="shared" si="130"/>
        <v>女</v>
      </c>
    </row>
    <row r="2037" spans="1:6" ht="30" customHeight="1">
      <c r="A2037" s="6">
        <v>2035</v>
      </c>
      <c r="B2037" s="6" t="str">
        <f>"53002023053009315196243"</f>
        <v>53002023053009315196243</v>
      </c>
      <c r="C2037" s="6" t="str">
        <f t="shared" si="129"/>
        <v>0205</v>
      </c>
      <c r="D2037" s="6" t="s">
        <v>25</v>
      </c>
      <c r="E2037" s="6" t="str">
        <f>"薛菊妹"</f>
        <v>薛菊妹</v>
      </c>
      <c r="F2037" s="6" t="str">
        <f t="shared" si="130"/>
        <v>女</v>
      </c>
    </row>
    <row r="2038" spans="1:6" ht="30" customHeight="1">
      <c r="A2038" s="6">
        <v>2036</v>
      </c>
      <c r="B2038" s="6" t="str">
        <f>"530020230531084319101250"</f>
        <v>530020230531084319101250</v>
      </c>
      <c r="C2038" s="6" t="str">
        <f t="shared" si="129"/>
        <v>0205</v>
      </c>
      <c r="D2038" s="6" t="s">
        <v>25</v>
      </c>
      <c r="E2038" s="6" t="str">
        <f>"苏小妹"</f>
        <v>苏小妹</v>
      </c>
      <c r="F2038" s="6" t="str">
        <f t="shared" si="130"/>
        <v>女</v>
      </c>
    </row>
    <row r="2039" spans="1:6" ht="30" customHeight="1">
      <c r="A2039" s="6">
        <v>2037</v>
      </c>
      <c r="B2039" s="6" t="str">
        <f>"530020230531093338101562"</f>
        <v>530020230531093338101562</v>
      </c>
      <c r="C2039" s="6" t="str">
        <f t="shared" si="129"/>
        <v>0205</v>
      </c>
      <c r="D2039" s="6" t="s">
        <v>25</v>
      </c>
      <c r="E2039" s="6" t="str">
        <f>"符柳凤"</f>
        <v>符柳凤</v>
      </c>
      <c r="F2039" s="6" t="str">
        <f t="shared" si="130"/>
        <v>女</v>
      </c>
    </row>
    <row r="2040" spans="1:6" ht="30" customHeight="1">
      <c r="A2040" s="6">
        <v>2038</v>
      </c>
      <c r="B2040" s="6" t="str">
        <f>"530020230531074420101122"</f>
        <v>530020230531074420101122</v>
      </c>
      <c r="C2040" s="6" t="str">
        <f t="shared" si="129"/>
        <v>0205</v>
      </c>
      <c r="D2040" s="6" t="s">
        <v>25</v>
      </c>
      <c r="E2040" s="6" t="str">
        <f>"麦慧霞"</f>
        <v>麦慧霞</v>
      </c>
      <c r="F2040" s="6" t="str">
        <f t="shared" si="130"/>
        <v>女</v>
      </c>
    </row>
    <row r="2041" spans="1:6" ht="30" customHeight="1">
      <c r="A2041" s="6">
        <v>2039</v>
      </c>
      <c r="B2041" s="6" t="str">
        <f>"530020230531101422101882"</f>
        <v>530020230531101422101882</v>
      </c>
      <c r="C2041" s="6" t="str">
        <f t="shared" si="129"/>
        <v>0205</v>
      </c>
      <c r="D2041" s="6" t="s">
        <v>25</v>
      </c>
      <c r="E2041" s="6" t="str">
        <f>"罗盛转"</f>
        <v>罗盛转</v>
      </c>
      <c r="F2041" s="6" t="str">
        <f t="shared" si="130"/>
        <v>女</v>
      </c>
    </row>
    <row r="2042" spans="1:6" ht="30" customHeight="1">
      <c r="A2042" s="6">
        <v>2040</v>
      </c>
      <c r="B2042" s="6" t="str">
        <f>"530020230531104855102109"</f>
        <v>530020230531104855102109</v>
      </c>
      <c r="C2042" s="6" t="str">
        <f t="shared" si="129"/>
        <v>0205</v>
      </c>
      <c r="D2042" s="6" t="s">
        <v>25</v>
      </c>
      <c r="E2042" s="6" t="str">
        <f>"陆青雯 "</f>
        <v>陆青雯 </v>
      </c>
      <c r="F2042" s="6" t="str">
        <f t="shared" si="130"/>
        <v>女</v>
      </c>
    </row>
    <row r="2043" spans="1:6" ht="30" customHeight="1">
      <c r="A2043" s="6">
        <v>2041</v>
      </c>
      <c r="B2043" s="6" t="str">
        <f>"53002023053018335799520"</f>
        <v>53002023053018335799520</v>
      </c>
      <c r="C2043" s="6" t="str">
        <f aca="true" t="shared" si="131" ref="C2043:C2106">"0205"</f>
        <v>0205</v>
      </c>
      <c r="D2043" s="6" t="s">
        <v>25</v>
      </c>
      <c r="E2043" s="6" t="str">
        <f>"许世桃"</f>
        <v>许世桃</v>
      </c>
      <c r="F2043" s="6" t="str">
        <f t="shared" si="130"/>
        <v>女</v>
      </c>
    </row>
    <row r="2044" spans="1:6" ht="30" customHeight="1">
      <c r="A2044" s="6">
        <v>2042</v>
      </c>
      <c r="B2044" s="6" t="str">
        <f>"530020230531104518102083"</f>
        <v>530020230531104518102083</v>
      </c>
      <c r="C2044" s="6" t="str">
        <f t="shared" si="131"/>
        <v>0205</v>
      </c>
      <c r="D2044" s="6" t="s">
        <v>25</v>
      </c>
      <c r="E2044" s="6" t="str">
        <f>"符爱孟"</f>
        <v>符爱孟</v>
      </c>
      <c r="F2044" s="6" t="str">
        <f t="shared" si="130"/>
        <v>女</v>
      </c>
    </row>
    <row r="2045" spans="1:6" ht="30" customHeight="1">
      <c r="A2045" s="6">
        <v>2043</v>
      </c>
      <c r="B2045" s="6" t="str">
        <f>"53002023052907481289446"</f>
        <v>53002023052907481289446</v>
      </c>
      <c r="C2045" s="6" t="str">
        <f t="shared" si="131"/>
        <v>0205</v>
      </c>
      <c r="D2045" s="6" t="s">
        <v>25</v>
      </c>
      <c r="E2045" s="6" t="str">
        <f>"王明连"</f>
        <v>王明连</v>
      </c>
      <c r="F2045" s="6" t="str">
        <f t="shared" si="130"/>
        <v>女</v>
      </c>
    </row>
    <row r="2046" spans="1:6" ht="30" customHeight="1">
      <c r="A2046" s="6">
        <v>2044</v>
      </c>
      <c r="B2046" s="6" t="str">
        <f>"530020230531090958101399"</f>
        <v>530020230531090958101399</v>
      </c>
      <c r="C2046" s="6" t="str">
        <f t="shared" si="131"/>
        <v>0205</v>
      </c>
      <c r="D2046" s="6" t="s">
        <v>25</v>
      </c>
      <c r="E2046" s="6" t="str">
        <f>"何吉花"</f>
        <v>何吉花</v>
      </c>
      <c r="F2046" s="6" t="str">
        <f t="shared" si="130"/>
        <v>女</v>
      </c>
    </row>
    <row r="2047" spans="1:6" ht="30" customHeight="1">
      <c r="A2047" s="6">
        <v>2045</v>
      </c>
      <c r="B2047" s="6" t="str">
        <f>"53002023052811194987130"</f>
        <v>53002023052811194987130</v>
      </c>
      <c r="C2047" s="6" t="str">
        <f t="shared" si="131"/>
        <v>0205</v>
      </c>
      <c r="D2047" s="6" t="s">
        <v>25</v>
      </c>
      <c r="E2047" s="6" t="str">
        <f>"邓云"</f>
        <v>邓云</v>
      </c>
      <c r="F2047" s="6" t="str">
        <f t="shared" si="130"/>
        <v>女</v>
      </c>
    </row>
    <row r="2048" spans="1:6" ht="30" customHeight="1">
      <c r="A2048" s="6">
        <v>2046</v>
      </c>
      <c r="B2048" s="6" t="str">
        <f>"53002023052910283290767"</f>
        <v>53002023052910283290767</v>
      </c>
      <c r="C2048" s="6" t="str">
        <f t="shared" si="131"/>
        <v>0205</v>
      </c>
      <c r="D2048" s="6" t="s">
        <v>25</v>
      </c>
      <c r="E2048" s="6" t="str">
        <f>"邱婵"</f>
        <v>邱婵</v>
      </c>
      <c r="F2048" s="6" t="str">
        <f t="shared" si="130"/>
        <v>女</v>
      </c>
    </row>
    <row r="2049" spans="1:6" ht="30" customHeight="1">
      <c r="A2049" s="6">
        <v>2047</v>
      </c>
      <c r="B2049" s="6" t="str">
        <f>"530020230531154006103396"</f>
        <v>530020230531154006103396</v>
      </c>
      <c r="C2049" s="6" t="str">
        <f t="shared" si="131"/>
        <v>0205</v>
      </c>
      <c r="D2049" s="6" t="s">
        <v>25</v>
      </c>
      <c r="E2049" s="6" t="str">
        <f>"周炳丹"</f>
        <v>周炳丹</v>
      </c>
      <c r="F2049" s="6" t="str">
        <f t="shared" si="130"/>
        <v>女</v>
      </c>
    </row>
    <row r="2050" spans="1:6" ht="30" customHeight="1">
      <c r="A2050" s="6">
        <v>2048</v>
      </c>
      <c r="B2050" s="6" t="str">
        <f>"530020230531160303103511"</f>
        <v>530020230531160303103511</v>
      </c>
      <c r="C2050" s="6" t="str">
        <f t="shared" si="131"/>
        <v>0205</v>
      </c>
      <c r="D2050" s="6" t="s">
        <v>25</v>
      </c>
      <c r="E2050" s="6" t="str">
        <f>"巫仙群"</f>
        <v>巫仙群</v>
      </c>
      <c r="F2050" s="6" t="str">
        <f t="shared" si="130"/>
        <v>女</v>
      </c>
    </row>
    <row r="2051" spans="1:6" ht="30" customHeight="1">
      <c r="A2051" s="6">
        <v>2049</v>
      </c>
      <c r="B2051" s="6" t="str">
        <f>"53002023052911472791524"</f>
        <v>53002023052911472791524</v>
      </c>
      <c r="C2051" s="6" t="str">
        <f t="shared" si="131"/>
        <v>0205</v>
      </c>
      <c r="D2051" s="6" t="s">
        <v>25</v>
      </c>
      <c r="E2051" s="6" t="str">
        <f>"李岩妃"</f>
        <v>李岩妃</v>
      </c>
      <c r="F2051" s="6" t="str">
        <f t="shared" si="130"/>
        <v>女</v>
      </c>
    </row>
    <row r="2052" spans="1:6" ht="30" customHeight="1">
      <c r="A2052" s="6">
        <v>2050</v>
      </c>
      <c r="B2052" s="6" t="str">
        <f>"530020230531164513103739"</f>
        <v>530020230531164513103739</v>
      </c>
      <c r="C2052" s="6" t="str">
        <f t="shared" si="131"/>
        <v>0205</v>
      </c>
      <c r="D2052" s="6" t="s">
        <v>25</v>
      </c>
      <c r="E2052" s="6" t="str">
        <f>"李华冰"</f>
        <v>李华冰</v>
      </c>
      <c r="F2052" s="6" t="str">
        <f t="shared" si="130"/>
        <v>女</v>
      </c>
    </row>
    <row r="2053" spans="1:6" ht="30" customHeight="1">
      <c r="A2053" s="6">
        <v>2051</v>
      </c>
      <c r="B2053" s="6" t="str">
        <f>"53002023052819153688478"</f>
        <v>53002023052819153688478</v>
      </c>
      <c r="C2053" s="6" t="str">
        <f t="shared" si="131"/>
        <v>0205</v>
      </c>
      <c r="D2053" s="6" t="s">
        <v>25</v>
      </c>
      <c r="E2053" s="6" t="str">
        <f>"桂芳传"</f>
        <v>桂芳传</v>
      </c>
      <c r="F2053" s="6" t="str">
        <f>"男"</f>
        <v>男</v>
      </c>
    </row>
    <row r="2054" spans="1:6" ht="30" customHeight="1">
      <c r="A2054" s="6">
        <v>2052</v>
      </c>
      <c r="B2054" s="6" t="str">
        <f>"530020230531160727103536"</f>
        <v>530020230531160727103536</v>
      </c>
      <c r="C2054" s="6" t="str">
        <f t="shared" si="131"/>
        <v>0205</v>
      </c>
      <c r="D2054" s="6" t="s">
        <v>25</v>
      </c>
      <c r="E2054" s="6" t="str">
        <f>"冼夏云"</f>
        <v>冼夏云</v>
      </c>
      <c r="F2054" s="6" t="str">
        <f>"女"</f>
        <v>女</v>
      </c>
    </row>
    <row r="2055" spans="1:6" ht="30" customHeight="1">
      <c r="A2055" s="6">
        <v>2053</v>
      </c>
      <c r="B2055" s="6" t="str">
        <f>"530020230531175003104004"</f>
        <v>530020230531175003104004</v>
      </c>
      <c r="C2055" s="6" t="str">
        <f t="shared" si="131"/>
        <v>0205</v>
      </c>
      <c r="D2055" s="6" t="s">
        <v>25</v>
      </c>
      <c r="E2055" s="6" t="str">
        <f>"陈金雪"</f>
        <v>陈金雪</v>
      </c>
      <c r="F2055" s="6" t="str">
        <f>"女"</f>
        <v>女</v>
      </c>
    </row>
    <row r="2056" spans="1:6" ht="30" customHeight="1">
      <c r="A2056" s="6">
        <v>2054</v>
      </c>
      <c r="B2056" s="6" t="str">
        <f>"530020230531175952104041"</f>
        <v>530020230531175952104041</v>
      </c>
      <c r="C2056" s="6" t="str">
        <f t="shared" si="131"/>
        <v>0205</v>
      </c>
      <c r="D2056" s="6" t="s">
        <v>25</v>
      </c>
      <c r="E2056" s="6" t="str">
        <f>"姚美珍"</f>
        <v>姚美珍</v>
      </c>
      <c r="F2056" s="6" t="str">
        <f>"女"</f>
        <v>女</v>
      </c>
    </row>
    <row r="2057" spans="1:6" ht="30" customHeight="1">
      <c r="A2057" s="6">
        <v>2055</v>
      </c>
      <c r="B2057" s="6" t="str">
        <f>"530020230531174955104003"</f>
        <v>530020230531174955104003</v>
      </c>
      <c r="C2057" s="6" t="str">
        <f t="shared" si="131"/>
        <v>0205</v>
      </c>
      <c r="D2057" s="6" t="s">
        <v>25</v>
      </c>
      <c r="E2057" s="6" t="str">
        <f>"王佳佳"</f>
        <v>王佳佳</v>
      </c>
      <c r="F2057" s="6" t="str">
        <f>"女"</f>
        <v>女</v>
      </c>
    </row>
    <row r="2058" spans="1:6" ht="30" customHeight="1">
      <c r="A2058" s="6">
        <v>2056</v>
      </c>
      <c r="B2058" s="6" t="str">
        <f>"530020230531195500104345"</f>
        <v>530020230531195500104345</v>
      </c>
      <c r="C2058" s="6" t="str">
        <f t="shared" si="131"/>
        <v>0205</v>
      </c>
      <c r="D2058" s="6" t="s">
        <v>25</v>
      </c>
      <c r="E2058" s="6" t="str">
        <f>"林远东"</f>
        <v>林远东</v>
      </c>
      <c r="F2058" s="6" t="str">
        <f>"男"</f>
        <v>男</v>
      </c>
    </row>
    <row r="2059" spans="1:6" ht="30" customHeight="1">
      <c r="A2059" s="6">
        <v>2057</v>
      </c>
      <c r="B2059" s="6" t="str">
        <f>"530020230531212034104628"</f>
        <v>530020230531212034104628</v>
      </c>
      <c r="C2059" s="6" t="str">
        <f t="shared" si="131"/>
        <v>0205</v>
      </c>
      <c r="D2059" s="6" t="s">
        <v>25</v>
      </c>
      <c r="E2059" s="6" t="str">
        <f>"文春娥"</f>
        <v>文春娥</v>
      </c>
      <c r="F2059" s="6" t="str">
        <f>"女"</f>
        <v>女</v>
      </c>
    </row>
    <row r="2060" spans="1:6" ht="30" customHeight="1">
      <c r="A2060" s="6">
        <v>2058</v>
      </c>
      <c r="B2060" s="6" t="str">
        <f>"53002023052819081088459"</f>
        <v>53002023052819081088459</v>
      </c>
      <c r="C2060" s="6" t="str">
        <f t="shared" si="131"/>
        <v>0205</v>
      </c>
      <c r="D2060" s="6" t="s">
        <v>25</v>
      </c>
      <c r="E2060" s="6" t="str">
        <f>"李凤珍"</f>
        <v>李凤珍</v>
      </c>
      <c r="F2060" s="6" t="str">
        <f>"女"</f>
        <v>女</v>
      </c>
    </row>
    <row r="2061" spans="1:6" ht="30" customHeight="1">
      <c r="A2061" s="6">
        <v>2059</v>
      </c>
      <c r="B2061" s="6" t="str">
        <f>"530020230530231251100811"</f>
        <v>530020230530231251100811</v>
      </c>
      <c r="C2061" s="6" t="str">
        <f t="shared" si="131"/>
        <v>0205</v>
      </c>
      <c r="D2061" s="6" t="s">
        <v>25</v>
      </c>
      <c r="E2061" s="6" t="str">
        <f>"陈玉妹"</f>
        <v>陈玉妹</v>
      </c>
      <c r="F2061" s="6" t="str">
        <f>"女"</f>
        <v>女</v>
      </c>
    </row>
    <row r="2062" spans="1:6" ht="30" customHeight="1">
      <c r="A2062" s="6">
        <v>2060</v>
      </c>
      <c r="B2062" s="6" t="str">
        <f>"530020230531213836104705"</f>
        <v>530020230531213836104705</v>
      </c>
      <c r="C2062" s="6" t="str">
        <f t="shared" si="131"/>
        <v>0205</v>
      </c>
      <c r="D2062" s="6" t="s">
        <v>25</v>
      </c>
      <c r="E2062" s="6" t="str">
        <f>"符华丽"</f>
        <v>符华丽</v>
      </c>
      <c r="F2062" s="6" t="str">
        <f>"女"</f>
        <v>女</v>
      </c>
    </row>
    <row r="2063" spans="1:6" ht="30" customHeight="1">
      <c r="A2063" s="6">
        <v>2061</v>
      </c>
      <c r="B2063" s="6" t="str">
        <f>"53002023052913112792096"</f>
        <v>53002023052913112792096</v>
      </c>
      <c r="C2063" s="6" t="str">
        <f t="shared" si="131"/>
        <v>0205</v>
      </c>
      <c r="D2063" s="6" t="s">
        <v>25</v>
      </c>
      <c r="E2063" s="6" t="str">
        <f>"陈星宇"</f>
        <v>陈星宇</v>
      </c>
      <c r="F2063" s="6" t="str">
        <f>"男"</f>
        <v>男</v>
      </c>
    </row>
    <row r="2064" spans="1:6" ht="30" customHeight="1">
      <c r="A2064" s="6">
        <v>2062</v>
      </c>
      <c r="B2064" s="6" t="str">
        <f>"53002023052820234888653"</f>
        <v>53002023052820234888653</v>
      </c>
      <c r="C2064" s="6" t="str">
        <f t="shared" si="131"/>
        <v>0205</v>
      </c>
      <c r="D2064" s="6" t="s">
        <v>25</v>
      </c>
      <c r="E2064" s="6" t="str">
        <f>"符美秋"</f>
        <v>符美秋</v>
      </c>
      <c r="F2064" s="6" t="str">
        <f aca="true" t="shared" si="132" ref="F2064:F2069">"女"</f>
        <v>女</v>
      </c>
    </row>
    <row r="2065" spans="1:6" ht="30" customHeight="1">
      <c r="A2065" s="6">
        <v>2063</v>
      </c>
      <c r="B2065" s="6" t="str">
        <f>"530020230531232055105033"</f>
        <v>530020230531232055105033</v>
      </c>
      <c r="C2065" s="6" t="str">
        <f t="shared" si="131"/>
        <v>0205</v>
      </c>
      <c r="D2065" s="6" t="s">
        <v>25</v>
      </c>
      <c r="E2065" s="6" t="str">
        <f>"高秋英"</f>
        <v>高秋英</v>
      </c>
      <c r="F2065" s="6" t="str">
        <f t="shared" si="132"/>
        <v>女</v>
      </c>
    </row>
    <row r="2066" spans="1:6" ht="30" customHeight="1">
      <c r="A2066" s="6">
        <v>2064</v>
      </c>
      <c r="B2066" s="6" t="str">
        <f>"53002023052722204786374"</f>
        <v>53002023052722204786374</v>
      </c>
      <c r="C2066" s="6" t="str">
        <f t="shared" si="131"/>
        <v>0205</v>
      </c>
      <c r="D2066" s="6" t="s">
        <v>25</v>
      </c>
      <c r="E2066" s="6" t="str">
        <f>"郑海芸"</f>
        <v>郑海芸</v>
      </c>
      <c r="F2066" s="6" t="str">
        <f t="shared" si="132"/>
        <v>女</v>
      </c>
    </row>
    <row r="2067" spans="1:6" ht="30" customHeight="1">
      <c r="A2067" s="6">
        <v>2065</v>
      </c>
      <c r="B2067" s="6" t="str">
        <f>"53002023052815485587813"</f>
        <v>53002023052815485587813</v>
      </c>
      <c r="C2067" s="6" t="str">
        <f t="shared" si="131"/>
        <v>0205</v>
      </c>
      <c r="D2067" s="6" t="s">
        <v>25</v>
      </c>
      <c r="E2067" s="6" t="str">
        <f>"王春妍"</f>
        <v>王春妍</v>
      </c>
      <c r="F2067" s="6" t="str">
        <f t="shared" si="132"/>
        <v>女</v>
      </c>
    </row>
    <row r="2068" spans="1:6" ht="30" customHeight="1">
      <c r="A2068" s="6">
        <v>2066</v>
      </c>
      <c r="B2068" s="6" t="str">
        <f>"530020230601003127105129"</f>
        <v>530020230601003127105129</v>
      </c>
      <c r="C2068" s="6" t="str">
        <f t="shared" si="131"/>
        <v>0205</v>
      </c>
      <c r="D2068" s="6" t="s">
        <v>25</v>
      </c>
      <c r="E2068" s="6" t="str">
        <f>"符丽荣"</f>
        <v>符丽荣</v>
      </c>
      <c r="F2068" s="6" t="str">
        <f t="shared" si="132"/>
        <v>女</v>
      </c>
    </row>
    <row r="2069" spans="1:6" ht="30" customHeight="1">
      <c r="A2069" s="6">
        <v>2067</v>
      </c>
      <c r="B2069" s="6" t="str">
        <f>"530020230530211029100210"</f>
        <v>530020230530211029100210</v>
      </c>
      <c r="C2069" s="6" t="str">
        <f t="shared" si="131"/>
        <v>0205</v>
      </c>
      <c r="D2069" s="6" t="s">
        <v>25</v>
      </c>
      <c r="E2069" s="6" t="str">
        <f>"曾海娟"</f>
        <v>曾海娟</v>
      </c>
      <c r="F2069" s="6" t="str">
        <f t="shared" si="132"/>
        <v>女</v>
      </c>
    </row>
    <row r="2070" spans="1:6" ht="30" customHeight="1">
      <c r="A2070" s="6">
        <v>2068</v>
      </c>
      <c r="B2070" s="6" t="str">
        <f>"53002023052818543088412"</f>
        <v>53002023052818543088412</v>
      </c>
      <c r="C2070" s="6" t="str">
        <f t="shared" si="131"/>
        <v>0205</v>
      </c>
      <c r="D2070" s="6" t="s">
        <v>25</v>
      </c>
      <c r="E2070" s="6" t="str">
        <f>"张伟"</f>
        <v>张伟</v>
      </c>
      <c r="F2070" s="6" t="str">
        <f>"男"</f>
        <v>男</v>
      </c>
    </row>
    <row r="2071" spans="1:6" ht="30" customHeight="1">
      <c r="A2071" s="6">
        <v>2069</v>
      </c>
      <c r="B2071" s="6" t="str">
        <f>"530020230531205404104536"</f>
        <v>530020230531205404104536</v>
      </c>
      <c r="C2071" s="6" t="str">
        <f t="shared" si="131"/>
        <v>0205</v>
      </c>
      <c r="D2071" s="6" t="s">
        <v>25</v>
      </c>
      <c r="E2071" s="6" t="str">
        <f>"何丽鸾"</f>
        <v>何丽鸾</v>
      </c>
      <c r="F2071" s="6" t="str">
        <f>"女"</f>
        <v>女</v>
      </c>
    </row>
    <row r="2072" spans="1:6" ht="30" customHeight="1">
      <c r="A2072" s="6">
        <v>2070</v>
      </c>
      <c r="B2072" s="6" t="str">
        <f>"53002023052911331391413"</f>
        <v>53002023052911331391413</v>
      </c>
      <c r="C2072" s="6" t="str">
        <f t="shared" si="131"/>
        <v>0205</v>
      </c>
      <c r="D2072" s="6" t="s">
        <v>25</v>
      </c>
      <c r="E2072" s="6" t="str">
        <f>"徐子波"</f>
        <v>徐子波</v>
      </c>
      <c r="F2072" s="6" t="str">
        <f>"男"</f>
        <v>男</v>
      </c>
    </row>
    <row r="2073" spans="1:6" ht="30" customHeight="1">
      <c r="A2073" s="6">
        <v>2071</v>
      </c>
      <c r="B2073" s="6" t="str">
        <f>"530020230601085142105349"</f>
        <v>530020230601085142105349</v>
      </c>
      <c r="C2073" s="6" t="str">
        <f t="shared" si="131"/>
        <v>0205</v>
      </c>
      <c r="D2073" s="6" t="s">
        <v>25</v>
      </c>
      <c r="E2073" s="6" t="str">
        <f>"何健礼"</f>
        <v>何健礼</v>
      </c>
      <c r="F2073" s="6" t="str">
        <f>"男"</f>
        <v>男</v>
      </c>
    </row>
    <row r="2074" spans="1:6" ht="30" customHeight="1">
      <c r="A2074" s="6">
        <v>2072</v>
      </c>
      <c r="B2074" s="6" t="str">
        <f>"53002023052810512387050"</f>
        <v>53002023052810512387050</v>
      </c>
      <c r="C2074" s="6" t="str">
        <f t="shared" si="131"/>
        <v>0205</v>
      </c>
      <c r="D2074" s="6" t="s">
        <v>25</v>
      </c>
      <c r="E2074" s="6" t="str">
        <f>"符国桃"</f>
        <v>符国桃</v>
      </c>
      <c r="F2074" s="6" t="str">
        <f aca="true" t="shared" si="133" ref="F2074:F2089">"女"</f>
        <v>女</v>
      </c>
    </row>
    <row r="2075" spans="1:6" ht="30" customHeight="1">
      <c r="A2075" s="6">
        <v>2073</v>
      </c>
      <c r="B2075" s="6" t="str">
        <f>"530020230601095624105800"</f>
        <v>530020230601095624105800</v>
      </c>
      <c r="C2075" s="6" t="str">
        <f t="shared" si="131"/>
        <v>0205</v>
      </c>
      <c r="D2075" s="6" t="s">
        <v>25</v>
      </c>
      <c r="E2075" s="6" t="str">
        <f>"李婆姑"</f>
        <v>李婆姑</v>
      </c>
      <c r="F2075" s="6" t="str">
        <f t="shared" si="133"/>
        <v>女</v>
      </c>
    </row>
    <row r="2076" spans="1:6" ht="30" customHeight="1">
      <c r="A2076" s="6">
        <v>2074</v>
      </c>
      <c r="B2076" s="6" t="str">
        <f>"530020230601094955105768"</f>
        <v>530020230601094955105768</v>
      </c>
      <c r="C2076" s="6" t="str">
        <f t="shared" si="131"/>
        <v>0205</v>
      </c>
      <c r="D2076" s="6" t="s">
        <v>25</v>
      </c>
      <c r="E2076" s="6" t="str">
        <f>"王冰"</f>
        <v>王冰</v>
      </c>
      <c r="F2076" s="6" t="str">
        <f t="shared" si="133"/>
        <v>女</v>
      </c>
    </row>
    <row r="2077" spans="1:6" ht="30" customHeight="1">
      <c r="A2077" s="6">
        <v>2075</v>
      </c>
      <c r="B2077" s="6" t="str">
        <f>"530020230601103117106064"</f>
        <v>530020230601103117106064</v>
      </c>
      <c r="C2077" s="6" t="str">
        <f t="shared" si="131"/>
        <v>0205</v>
      </c>
      <c r="D2077" s="6" t="s">
        <v>25</v>
      </c>
      <c r="E2077" s="6" t="str">
        <f>"郭秀霞"</f>
        <v>郭秀霞</v>
      </c>
      <c r="F2077" s="6" t="str">
        <f t="shared" si="133"/>
        <v>女</v>
      </c>
    </row>
    <row r="2078" spans="1:6" ht="30" customHeight="1">
      <c r="A2078" s="6">
        <v>2076</v>
      </c>
      <c r="B2078" s="6" t="str">
        <f>"530020230601104812106178"</f>
        <v>530020230601104812106178</v>
      </c>
      <c r="C2078" s="6" t="str">
        <f t="shared" si="131"/>
        <v>0205</v>
      </c>
      <c r="D2078" s="6" t="s">
        <v>25</v>
      </c>
      <c r="E2078" s="6" t="str">
        <f>"符连于"</f>
        <v>符连于</v>
      </c>
      <c r="F2078" s="6" t="str">
        <f t="shared" si="133"/>
        <v>女</v>
      </c>
    </row>
    <row r="2079" spans="1:6" ht="30" customHeight="1">
      <c r="A2079" s="6">
        <v>2077</v>
      </c>
      <c r="B2079" s="6" t="str">
        <f>"530020230531222735104861"</f>
        <v>530020230531222735104861</v>
      </c>
      <c r="C2079" s="6" t="str">
        <f t="shared" si="131"/>
        <v>0205</v>
      </c>
      <c r="D2079" s="6" t="s">
        <v>25</v>
      </c>
      <c r="E2079" s="6" t="str">
        <f>"吴芝玲"</f>
        <v>吴芝玲</v>
      </c>
      <c r="F2079" s="6" t="str">
        <f t="shared" si="133"/>
        <v>女</v>
      </c>
    </row>
    <row r="2080" spans="1:6" ht="30" customHeight="1">
      <c r="A2080" s="6">
        <v>2078</v>
      </c>
      <c r="B2080" s="6" t="str">
        <f>"530020230601105150106200"</f>
        <v>530020230601105150106200</v>
      </c>
      <c r="C2080" s="6" t="str">
        <f t="shared" si="131"/>
        <v>0205</v>
      </c>
      <c r="D2080" s="6" t="s">
        <v>25</v>
      </c>
      <c r="E2080" s="6" t="str">
        <f>"王雄丽"</f>
        <v>王雄丽</v>
      </c>
      <c r="F2080" s="6" t="str">
        <f t="shared" si="133"/>
        <v>女</v>
      </c>
    </row>
    <row r="2081" spans="1:6" ht="30" customHeight="1">
      <c r="A2081" s="6">
        <v>2079</v>
      </c>
      <c r="B2081" s="6" t="str">
        <f>"530020230531112743102375"</f>
        <v>530020230531112743102375</v>
      </c>
      <c r="C2081" s="6" t="str">
        <f t="shared" si="131"/>
        <v>0205</v>
      </c>
      <c r="D2081" s="6" t="s">
        <v>25</v>
      </c>
      <c r="E2081" s="6" t="str">
        <f>"赵秀娇"</f>
        <v>赵秀娇</v>
      </c>
      <c r="F2081" s="6" t="str">
        <f t="shared" si="133"/>
        <v>女</v>
      </c>
    </row>
    <row r="2082" spans="1:6" ht="30" customHeight="1">
      <c r="A2082" s="6">
        <v>2080</v>
      </c>
      <c r="B2082" s="6" t="str">
        <f>"530020230601120845106604"</f>
        <v>530020230601120845106604</v>
      </c>
      <c r="C2082" s="6" t="str">
        <f t="shared" si="131"/>
        <v>0205</v>
      </c>
      <c r="D2082" s="6" t="s">
        <v>25</v>
      </c>
      <c r="E2082" s="6" t="str">
        <f>"沈杨静"</f>
        <v>沈杨静</v>
      </c>
      <c r="F2082" s="6" t="str">
        <f t="shared" si="133"/>
        <v>女</v>
      </c>
    </row>
    <row r="2083" spans="1:6" ht="30" customHeight="1">
      <c r="A2083" s="6">
        <v>2081</v>
      </c>
      <c r="B2083" s="6" t="str">
        <f>"530020230601120220106573"</f>
        <v>530020230601120220106573</v>
      </c>
      <c r="C2083" s="6" t="str">
        <f t="shared" si="131"/>
        <v>0205</v>
      </c>
      <c r="D2083" s="6" t="s">
        <v>25</v>
      </c>
      <c r="E2083" s="6" t="str">
        <f>"王明婷"</f>
        <v>王明婷</v>
      </c>
      <c r="F2083" s="6" t="str">
        <f t="shared" si="133"/>
        <v>女</v>
      </c>
    </row>
    <row r="2084" spans="1:6" ht="30" customHeight="1">
      <c r="A2084" s="6">
        <v>2082</v>
      </c>
      <c r="B2084" s="6" t="str">
        <f>"530020230601124541106766"</f>
        <v>530020230601124541106766</v>
      </c>
      <c r="C2084" s="6" t="str">
        <f t="shared" si="131"/>
        <v>0205</v>
      </c>
      <c r="D2084" s="6" t="s">
        <v>25</v>
      </c>
      <c r="E2084" s="6" t="str">
        <f>"王哲娜"</f>
        <v>王哲娜</v>
      </c>
      <c r="F2084" s="6" t="str">
        <f t="shared" si="133"/>
        <v>女</v>
      </c>
    </row>
    <row r="2085" spans="1:6" ht="30" customHeight="1">
      <c r="A2085" s="6">
        <v>2083</v>
      </c>
      <c r="B2085" s="6" t="str">
        <f>"530020230601140157107018"</f>
        <v>530020230601140157107018</v>
      </c>
      <c r="C2085" s="6" t="str">
        <f t="shared" si="131"/>
        <v>0205</v>
      </c>
      <c r="D2085" s="6" t="s">
        <v>25</v>
      </c>
      <c r="E2085" s="6" t="str">
        <f>"李伟花"</f>
        <v>李伟花</v>
      </c>
      <c r="F2085" s="6" t="str">
        <f t="shared" si="133"/>
        <v>女</v>
      </c>
    </row>
    <row r="2086" spans="1:6" ht="30" customHeight="1">
      <c r="A2086" s="6">
        <v>2084</v>
      </c>
      <c r="B2086" s="6" t="str">
        <f>"530020230601131546106877"</f>
        <v>530020230601131546106877</v>
      </c>
      <c r="C2086" s="6" t="str">
        <f t="shared" si="131"/>
        <v>0205</v>
      </c>
      <c r="D2086" s="6" t="s">
        <v>25</v>
      </c>
      <c r="E2086" s="6" t="str">
        <f>"谭梦佳"</f>
        <v>谭梦佳</v>
      </c>
      <c r="F2086" s="6" t="str">
        <f t="shared" si="133"/>
        <v>女</v>
      </c>
    </row>
    <row r="2087" spans="1:6" ht="30" customHeight="1">
      <c r="A2087" s="6">
        <v>2085</v>
      </c>
      <c r="B2087" s="6" t="str">
        <f>"530020230601104310106142"</f>
        <v>530020230601104310106142</v>
      </c>
      <c r="C2087" s="6" t="str">
        <f t="shared" si="131"/>
        <v>0205</v>
      </c>
      <c r="D2087" s="6" t="s">
        <v>25</v>
      </c>
      <c r="E2087" s="6" t="str">
        <f>"李明清"</f>
        <v>李明清</v>
      </c>
      <c r="F2087" s="6" t="str">
        <f t="shared" si="133"/>
        <v>女</v>
      </c>
    </row>
    <row r="2088" spans="1:6" ht="30" customHeight="1">
      <c r="A2088" s="6">
        <v>2086</v>
      </c>
      <c r="B2088" s="6" t="str">
        <f>"530020230601135641107000"</f>
        <v>530020230601135641107000</v>
      </c>
      <c r="C2088" s="6" t="str">
        <f t="shared" si="131"/>
        <v>0205</v>
      </c>
      <c r="D2088" s="6" t="s">
        <v>25</v>
      </c>
      <c r="E2088" s="6" t="str">
        <f>"陈叶玲"</f>
        <v>陈叶玲</v>
      </c>
      <c r="F2088" s="6" t="str">
        <f t="shared" si="133"/>
        <v>女</v>
      </c>
    </row>
    <row r="2089" spans="1:6" ht="30" customHeight="1">
      <c r="A2089" s="6">
        <v>2087</v>
      </c>
      <c r="B2089" s="6" t="str">
        <f>"530020230601144543107177"</f>
        <v>530020230601144543107177</v>
      </c>
      <c r="C2089" s="6" t="str">
        <f t="shared" si="131"/>
        <v>0205</v>
      </c>
      <c r="D2089" s="6" t="s">
        <v>25</v>
      </c>
      <c r="E2089" s="6" t="str">
        <f>"符颖"</f>
        <v>符颖</v>
      </c>
      <c r="F2089" s="6" t="str">
        <f t="shared" si="133"/>
        <v>女</v>
      </c>
    </row>
    <row r="2090" spans="1:6" ht="30" customHeight="1">
      <c r="A2090" s="6">
        <v>2088</v>
      </c>
      <c r="B2090" s="6" t="str">
        <f>"530020230601000642105100"</f>
        <v>530020230601000642105100</v>
      </c>
      <c r="C2090" s="6" t="str">
        <f t="shared" si="131"/>
        <v>0205</v>
      </c>
      <c r="D2090" s="6" t="s">
        <v>25</v>
      </c>
      <c r="E2090" s="6" t="str">
        <f>"符启坚"</f>
        <v>符启坚</v>
      </c>
      <c r="F2090" s="6" t="str">
        <f>"男"</f>
        <v>男</v>
      </c>
    </row>
    <row r="2091" spans="1:6" ht="30" customHeight="1">
      <c r="A2091" s="6">
        <v>2089</v>
      </c>
      <c r="B2091" s="6" t="str">
        <f>"530020230601141712107060"</f>
        <v>530020230601141712107060</v>
      </c>
      <c r="C2091" s="6" t="str">
        <f t="shared" si="131"/>
        <v>0205</v>
      </c>
      <c r="D2091" s="6" t="s">
        <v>25</v>
      </c>
      <c r="E2091" s="6" t="str">
        <f>"杨爱婷"</f>
        <v>杨爱婷</v>
      </c>
      <c r="F2091" s="6" t="str">
        <f>"女"</f>
        <v>女</v>
      </c>
    </row>
    <row r="2092" spans="1:6" ht="30" customHeight="1">
      <c r="A2092" s="6">
        <v>2090</v>
      </c>
      <c r="B2092" s="6" t="str">
        <f>"530020230601151302107304"</f>
        <v>530020230601151302107304</v>
      </c>
      <c r="C2092" s="6" t="str">
        <f t="shared" si="131"/>
        <v>0205</v>
      </c>
      <c r="D2092" s="6" t="s">
        <v>25</v>
      </c>
      <c r="E2092" s="6" t="str">
        <f>"孙婧倩"</f>
        <v>孙婧倩</v>
      </c>
      <c r="F2092" s="6" t="str">
        <f>"女"</f>
        <v>女</v>
      </c>
    </row>
    <row r="2093" spans="1:6" ht="30" customHeight="1">
      <c r="A2093" s="6">
        <v>2091</v>
      </c>
      <c r="B2093" s="6" t="str">
        <f>"530020230531222958104868"</f>
        <v>530020230531222958104868</v>
      </c>
      <c r="C2093" s="6" t="str">
        <f t="shared" si="131"/>
        <v>0205</v>
      </c>
      <c r="D2093" s="6" t="s">
        <v>25</v>
      </c>
      <c r="E2093" s="6" t="str">
        <f>"吴仪"</f>
        <v>吴仪</v>
      </c>
      <c r="F2093" s="6" t="str">
        <f>"女"</f>
        <v>女</v>
      </c>
    </row>
    <row r="2094" spans="1:6" ht="30" customHeight="1">
      <c r="A2094" s="6">
        <v>2092</v>
      </c>
      <c r="B2094" s="6" t="str">
        <f>"530020230601154921107486"</f>
        <v>530020230601154921107486</v>
      </c>
      <c r="C2094" s="6" t="str">
        <f t="shared" si="131"/>
        <v>0205</v>
      </c>
      <c r="D2094" s="6" t="s">
        <v>25</v>
      </c>
      <c r="E2094" s="6" t="str">
        <f>"李叶梅"</f>
        <v>李叶梅</v>
      </c>
      <c r="F2094" s="6" t="str">
        <f>"女"</f>
        <v>女</v>
      </c>
    </row>
    <row r="2095" spans="1:6" ht="30" customHeight="1">
      <c r="A2095" s="6">
        <v>2093</v>
      </c>
      <c r="B2095" s="6" t="str">
        <f>"530020230601150807107269"</f>
        <v>530020230601150807107269</v>
      </c>
      <c r="C2095" s="6" t="str">
        <f t="shared" si="131"/>
        <v>0205</v>
      </c>
      <c r="D2095" s="6" t="s">
        <v>25</v>
      </c>
      <c r="E2095" s="6" t="str">
        <f>"陈玲玲"</f>
        <v>陈玲玲</v>
      </c>
      <c r="F2095" s="6" t="str">
        <f>"女"</f>
        <v>女</v>
      </c>
    </row>
    <row r="2096" spans="1:6" ht="30" customHeight="1">
      <c r="A2096" s="6">
        <v>2094</v>
      </c>
      <c r="B2096" s="6" t="str">
        <f>"530020230601160307107526"</f>
        <v>530020230601160307107526</v>
      </c>
      <c r="C2096" s="6" t="str">
        <f t="shared" si="131"/>
        <v>0205</v>
      </c>
      <c r="D2096" s="6" t="s">
        <v>25</v>
      </c>
      <c r="E2096" s="6" t="str">
        <f>"伍理权"</f>
        <v>伍理权</v>
      </c>
      <c r="F2096" s="6" t="str">
        <f>"男"</f>
        <v>男</v>
      </c>
    </row>
    <row r="2097" spans="1:6" ht="30" customHeight="1">
      <c r="A2097" s="6">
        <v>2095</v>
      </c>
      <c r="B2097" s="6" t="str">
        <f>"530020230601172228107882"</f>
        <v>530020230601172228107882</v>
      </c>
      <c r="C2097" s="6" t="str">
        <f t="shared" si="131"/>
        <v>0205</v>
      </c>
      <c r="D2097" s="6" t="s">
        <v>25</v>
      </c>
      <c r="E2097" s="6" t="str">
        <f>"冯丽萍"</f>
        <v>冯丽萍</v>
      </c>
      <c r="F2097" s="6" t="str">
        <f aca="true" t="shared" si="134" ref="F2097:F2102">"女"</f>
        <v>女</v>
      </c>
    </row>
    <row r="2098" spans="1:6" ht="30" customHeight="1">
      <c r="A2098" s="6">
        <v>2096</v>
      </c>
      <c r="B2098" s="6" t="str">
        <f>"530020230601164004107701"</f>
        <v>530020230601164004107701</v>
      </c>
      <c r="C2098" s="6" t="str">
        <f t="shared" si="131"/>
        <v>0205</v>
      </c>
      <c r="D2098" s="6" t="s">
        <v>25</v>
      </c>
      <c r="E2098" s="6" t="str">
        <f>"苏雯"</f>
        <v>苏雯</v>
      </c>
      <c r="F2098" s="6" t="str">
        <f t="shared" si="134"/>
        <v>女</v>
      </c>
    </row>
    <row r="2099" spans="1:6" ht="30" customHeight="1">
      <c r="A2099" s="6">
        <v>2097</v>
      </c>
      <c r="B2099" s="6" t="str">
        <f>"530020230601144907107194"</f>
        <v>530020230601144907107194</v>
      </c>
      <c r="C2099" s="6" t="str">
        <f t="shared" si="131"/>
        <v>0205</v>
      </c>
      <c r="D2099" s="6" t="s">
        <v>25</v>
      </c>
      <c r="E2099" s="6" t="str">
        <f>"王善妃"</f>
        <v>王善妃</v>
      </c>
      <c r="F2099" s="6" t="str">
        <f t="shared" si="134"/>
        <v>女</v>
      </c>
    </row>
    <row r="2100" spans="1:6" ht="30" customHeight="1">
      <c r="A2100" s="6">
        <v>2098</v>
      </c>
      <c r="B2100" s="6" t="str">
        <f>"530020230601191453108223"</f>
        <v>530020230601191453108223</v>
      </c>
      <c r="C2100" s="6" t="str">
        <f t="shared" si="131"/>
        <v>0205</v>
      </c>
      <c r="D2100" s="6" t="s">
        <v>25</v>
      </c>
      <c r="E2100" s="6" t="str">
        <f>"颜怡仔"</f>
        <v>颜怡仔</v>
      </c>
      <c r="F2100" s="6" t="str">
        <f t="shared" si="134"/>
        <v>女</v>
      </c>
    </row>
    <row r="2101" spans="1:6" ht="30" customHeight="1">
      <c r="A2101" s="6">
        <v>2099</v>
      </c>
      <c r="B2101" s="6" t="str">
        <f>"530020230601170427107807"</f>
        <v>530020230601170427107807</v>
      </c>
      <c r="C2101" s="6" t="str">
        <f t="shared" si="131"/>
        <v>0205</v>
      </c>
      <c r="D2101" s="6" t="s">
        <v>25</v>
      </c>
      <c r="E2101" s="6" t="str">
        <f>"刘桂美"</f>
        <v>刘桂美</v>
      </c>
      <c r="F2101" s="6" t="str">
        <f t="shared" si="134"/>
        <v>女</v>
      </c>
    </row>
    <row r="2102" spans="1:6" ht="30" customHeight="1">
      <c r="A2102" s="6">
        <v>2100</v>
      </c>
      <c r="B2102" s="6" t="str">
        <f>"53002023052917434493809"</f>
        <v>53002023052917434493809</v>
      </c>
      <c r="C2102" s="6" t="str">
        <f t="shared" si="131"/>
        <v>0205</v>
      </c>
      <c r="D2102" s="6" t="s">
        <v>25</v>
      </c>
      <c r="E2102" s="6" t="str">
        <f>"陈积恩"</f>
        <v>陈积恩</v>
      </c>
      <c r="F2102" s="6" t="str">
        <f t="shared" si="134"/>
        <v>女</v>
      </c>
    </row>
    <row r="2103" spans="1:6" ht="30" customHeight="1">
      <c r="A2103" s="6">
        <v>2101</v>
      </c>
      <c r="B2103" s="6" t="str">
        <f>"530020230601142229107082"</f>
        <v>530020230601142229107082</v>
      </c>
      <c r="C2103" s="6" t="str">
        <f t="shared" si="131"/>
        <v>0205</v>
      </c>
      <c r="D2103" s="6" t="s">
        <v>25</v>
      </c>
      <c r="E2103" s="6" t="str">
        <f>"钟金水"</f>
        <v>钟金水</v>
      </c>
      <c r="F2103" s="6" t="str">
        <f>"男"</f>
        <v>男</v>
      </c>
    </row>
    <row r="2104" spans="1:6" ht="30" customHeight="1">
      <c r="A2104" s="6">
        <v>2102</v>
      </c>
      <c r="B2104" s="6" t="str">
        <f>"53002023053020131999944"</f>
        <v>53002023053020131999944</v>
      </c>
      <c r="C2104" s="6" t="str">
        <f t="shared" si="131"/>
        <v>0205</v>
      </c>
      <c r="D2104" s="6" t="s">
        <v>25</v>
      </c>
      <c r="E2104" s="6" t="str">
        <f>"张得媛"</f>
        <v>张得媛</v>
      </c>
      <c r="F2104" s="6" t="str">
        <f>"女"</f>
        <v>女</v>
      </c>
    </row>
    <row r="2105" spans="1:6" ht="30" customHeight="1">
      <c r="A2105" s="6">
        <v>2103</v>
      </c>
      <c r="B2105" s="6" t="str">
        <f>"530020230601190745108207"</f>
        <v>530020230601190745108207</v>
      </c>
      <c r="C2105" s="6" t="str">
        <f t="shared" si="131"/>
        <v>0205</v>
      </c>
      <c r="D2105" s="6" t="s">
        <v>25</v>
      </c>
      <c r="E2105" s="6" t="str">
        <f>"陆新博"</f>
        <v>陆新博</v>
      </c>
      <c r="F2105" s="6" t="str">
        <f>"男"</f>
        <v>男</v>
      </c>
    </row>
    <row r="2106" spans="1:6" ht="30" customHeight="1">
      <c r="A2106" s="6">
        <v>2104</v>
      </c>
      <c r="B2106" s="6" t="str">
        <f>"530020230601212001108603"</f>
        <v>530020230601212001108603</v>
      </c>
      <c r="C2106" s="6" t="str">
        <f t="shared" si="131"/>
        <v>0205</v>
      </c>
      <c r="D2106" s="6" t="s">
        <v>25</v>
      </c>
      <c r="E2106" s="6" t="str">
        <f>"叶阳丽"</f>
        <v>叶阳丽</v>
      </c>
      <c r="F2106" s="6" t="str">
        <f>"女"</f>
        <v>女</v>
      </c>
    </row>
    <row r="2107" spans="1:6" ht="30" customHeight="1">
      <c r="A2107" s="6">
        <v>2105</v>
      </c>
      <c r="B2107" s="6" t="str">
        <f>"530020230601214035108688"</f>
        <v>530020230601214035108688</v>
      </c>
      <c r="C2107" s="6" t="str">
        <f aca="true" t="shared" si="135" ref="C2107:C2142">"0205"</f>
        <v>0205</v>
      </c>
      <c r="D2107" s="6" t="s">
        <v>25</v>
      </c>
      <c r="E2107" s="6" t="str">
        <f>"吴云霞"</f>
        <v>吴云霞</v>
      </c>
      <c r="F2107" s="6" t="str">
        <f>"女"</f>
        <v>女</v>
      </c>
    </row>
    <row r="2108" spans="1:6" ht="30" customHeight="1">
      <c r="A2108" s="6">
        <v>2106</v>
      </c>
      <c r="B2108" s="6" t="str">
        <f>"53002023052916030893142"</f>
        <v>53002023052916030893142</v>
      </c>
      <c r="C2108" s="6" t="str">
        <f t="shared" si="135"/>
        <v>0205</v>
      </c>
      <c r="D2108" s="6" t="s">
        <v>25</v>
      </c>
      <c r="E2108" s="6" t="str">
        <f>"左雨婷"</f>
        <v>左雨婷</v>
      </c>
      <c r="F2108" s="6" t="str">
        <f>"女"</f>
        <v>女</v>
      </c>
    </row>
    <row r="2109" spans="1:6" ht="30" customHeight="1">
      <c r="A2109" s="6">
        <v>2107</v>
      </c>
      <c r="B2109" s="6" t="str">
        <f>"53002023052921462094987"</f>
        <v>53002023052921462094987</v>
      </c>
      <c r="C2109" s="6" t="str">
        <f t="shared" si="135"/>
        <v>0205</v>
      </c>
      <c r="D2109" s="6" t="s">
        <v>25</v>
      </c>
      <c r="E2109" s="6" t="str">
        <f>"符桂妃"</f>
        <v>符桂妃</v>
      </c>
      <c r="F2109" s="6" t="str">
        <f>"女"</f>
        <v>女</v>
      </c>
    </row>
    <row r="2110" spans="1:6" ht="30" customHeight="1">
      <c r="A2110" s="6">
        <v>2108</v>
      </c>
      <c r="B2110" s="6" t="str">
        <f>"53002023053011375797250"</f>
        <v>53002023053011375797250</v>
      </c>
      <c r="C2110" s="6" t="str">
        <f t="shared" si="135"/>
        <v>0205</v>
      </c>
      <c r="D2110" s="6" t="s">
        <v>25</v>
      </c>
      <c r="E2110" s="6" t="str">
        <f>"张海帅"</f>
        <v>张海帅</v>
      </c>
      <c r="F2110" s="6" t="str">
        <f>"男"</f>
        <v>男</v>
      </c>
    </row>
    <row r="2111" spans="1:6" ht="30" customHeight="1">
      <c r="A2111" s="6">
        <v>2109</v>
      </c>
      <c r="B2111" s="6" t="str">
        <f>"530020230601101806105966"</f>
        <v>530020230601101806105966</v>
      </c>
      <c r="C2111" s="6" t="str">
        <f t="shared" si="135"/>
        <v>0205</v>
      </c>
      <c r="D2111" s="6" t="s">
        <v>25</v>
      </c>
      <c r="E2111" s="6" t="str">
        <f>"曾德康"</f>
        <v>曾德康</v>
      </c>
      <c r="F2111" s="6" t="str">
        <f>"男"</f>
        <v>男</v>
      </c>
    </row>
    <row r="2112" spans="1:6" ht="30" customHeight="1">
      <c r="A2112" s="6">
        <v>2110</v>
      </c>
      <c r="B2112" s="6" t="str">
        <f>"530020230601223857108927"</f>
        <v>530020230601223857108927</v>
      </c>
      <c r="C2112" s="6" t="str">
        <f t="shared" si="135"/>
        <v>0205</v>
      </c>
      <c r="D2112" s="6" t="s">
        <v>25</v>
      </c>
      <c r="E2112" s="6" t="str">
        <f>"蒙博珍"</f>
        <v>蒙博珍</v>
      </c>
      <c r="F2112" s="6" t="str">
        <f aca="true" t="shared" si="136" ref="F2112:F2118">"女"</f>
        <v>女</v>
      </c>
    </row>
    <row r="2113" spans="1:6" ht="30" customHeight="1">
      <c r="A2113" s="6">
        <v>2111</v>
      </c>
      <c r="B2113" s="6" t="str">
        <f>"530020230601125209106791"</f>
        <v>530020230601125209106791</v>
      </c>
      <c r="C2113" s="6" t="str">
        <f t="shared" si="135"/>
        <v>0205</v>
      </c>
      <c r="D2113" s="6" t="s">
        <v>25</v>
      </c>
      <c r="E2113" s="6" t="str">
        <f>"吴春晓"</f>
        <v>吴春晓</v>
      </c>
      <c r="F2113" s="6" t="str">
        <f t="shared" si="136"/>
        <v>女</v>
      </c>
    </row>
    <row r="2114" spans="1:6" ht="30" customHeight="1">
      <c r="A2114" s="6">
        <v>2112</v>
      </c>
      <c r="B2114" s="6" t="str">
        <f>"530020230601225741108981"</f>
        <v>530020230601225741108981</v>
      </c>
      <c r="C2114" s="6" t="str">
        <f t="shared" si="135"/>
        <v>0205</v>
      </c>
      <c r="D2114" s="6" t="s">
        <v>25</v>
      </c>
      <c r="E2114" s="6" t="str">
        <f>"曾福丽"</f>
        <v>曾福丽</v>
      </c>
      <c r="F2114" s="6" t="str">
        <f t="shared" si="136"/>
        <v>女</v>
      </c>
    </row>
    <row r="2115" spans="1:6" ht="30" customHeight="1">
      <c r="A2115" s="6">
        <v>2113</v>
      </c>
      <c r="B2115" s="6" t="str">
        <f>"530020230531235108105083"</f>
        <v>530020230531235108105083</v>
      </c>
      <c r="C2115" s="6" t="str">
        <f t="shared" si="135"/>
        <v>0205</v>
      </c>
      <c r="D2115" s="6" t="s">
        <v>25</v>
      </c>
      <c r="E2115" s="6" t="str">
        <f>"李慧燕"</f>
        <v>李慧燕</v>
      </c>
      <c r="F2115" s="6" t="str">
        <f t="shared" si="136"/>
        <v>女</v>
      </c>
    </row>
    <row r="2116" spans="1:6" ht="30" customHeight="1">
      <c r="A2116" s="6">
        <v>2114</v>
      </c>
      <c r="B2116" s="6" t="str">
        <f>"530020230601225636108976"</f>
        <v>530020230601225636108976</v>
      </c>
      <c r="C2116" s="6" t="str">
        <f t="shared" si="135"/>
        <v>0205</v>
      </c>
      <c r="D2116" s="6" t="s">
        <v>25</v>
      </c>
      <c r="E2116" s="6" t="str">
        <f>"苏春月"</f>
        <v>苏春月</v>
      </c>
      <c r="F2116" s="6" t="str">
        <f t="shared" si="136"/>
        <v>女</v>
      </c>
    </row>
    <row r="2117" spans="1:6" ht="30" customHeight="1">
      <c r="A2117" s="6">
        <v>2115</v>
      </c>
      <c r="B2117" s="6" t="str">
        <f>"530020230601220915108799"</f>
        <v>530020230601220915108799</v>
      </c>
      <c r="C2117" s="6" t="str">
        <f t="shared" si="135"/>
        <v>0205</v>
      </c>
      <c r="D2117" s="6" t="s">
        <v>25</v>
      </c>
      <c r="E2117" s="6" t="str">
        <f>"陈柏均"</f>
        <v>陈柏均</v>
      </c>
      <c r="F2117" s="6" t="str">
        <f t="shared" si="136"/>
        <v>女</v>
      </c>
    </row>
    <row r="2118" spans="1:6" ht="30" customHeight="1">
      <c r="A2118" s="6">
        <v>2116</v>
      </c>
      <c r="B2118" s="6" t="str">
        <f>"53002023052718031885612"</f>
        <v>53002023052718031885612</v>
      </c>
      <c r="C2118" s="6" t="str">
        <f t="shared" si="135"/>
        <v>0205</v>
      </c>
      <c r="D2118" s="6" t="s">
        <v>25</v>
      </c>
      <c r="E2118" s="6" t="str">
        <f>"王燕莹"</f>
        <v>王燕莹</v>
      </c>
      <c r="F2118" s="6" t="str">
        <f t="shared" si="136"/>
        <v>女</v>
      </c>
    </row>
    <row r="2119" spans="1:6" ht="30" customHeight="1">
      <c r="A2119" s="6">
        <v>2117</v>
      </c>
      <c r="B2119" s="6" t="str">
        <f>"530020230530222352100585"</f>
        <v>530020230530222352100585</v>
      </c>
      <c r="C2119" s="6" t="str">
        <f t="shared" si="135"/>
        <v>0205</v>
      </c>
      <c r="D2119" s="6" t="s">
        <v>25</v>
      </c>
      <c r="E2119" s="6" t="str">
        <f>"朱南吉"</f>
        <v>朱南吉</v>
      </c>
      <c r="F2119" s="6" t="str">
        <f>"男"</f>
        <v>男</v>
      </c>
    </row>
    <row r="2120" spans="1:6" ht="30" customHeight="1">
      <c r="A2120" s="6">
        <v>2118</v>
      </c>
      <c r="B2120" s="6" t="str">
        <f>"530020230602003049109177"</f>
        <v>530020230602003049109177</v>
      </c>
      <c r="C2120" s="6" t="str">
        <f t="shared" si="135"/>
        <v>0205</v>
      </c>
      <c r="D2120" s="6" t="s">
        <v>25</v>
      </c>
      <c r="E2120" s="6" t="str">
        <f>"苏虹"</f>
        <v>苏虹</v>
      </c>
      <c r="F2120" s="6" t="str">
        <f aca="true" t="shared" si="137" ref="F2120:F2129">"女"</f>
        <v>女</v>
      </c>
    </row>
    <row r="2121" spans="1:6" ht="30" customHeight="1">
      <c r="A2121" s="6">
        <v>2119</v>
      </c>
      <c r="B2121" s="6" t="str">
        <f>"530020230602002530109170"</f>
        <v>530020230602002530109170</v>
      </c>
      <c r="C2121" s="6" t="str">
        <f t="shared" si="135"/>
        <v>0205</v>
      </c>
      <c r="D2121" s="6" t="s">
        <v>25</v>
      </c>
      <c r="E2121" s="6" t="str">
        <f>"黄美玉"</f>
        <v>黄美玉</v>
      </c>
      <c r="F2121" s="6" t="str">
        <f t="shared" si="137"/>
        <v>女</v>
      </c>
    </row>
    <row r="2122" spans="1:6" ht="30" customHeight="1">
      <c r="A2122" s="6">
        <v>2120</v>
      </c>
      <c r="B2122" s="6" t="str">
        <f>"530020230602012322109219"</f>
        <v>530020230602012322109219</v>
      </c>
      <c r="C2122" s="6" t="str">
        <f t="shared" si="135"/>
        <v>0205</v>
      </c>
      <c r="D2122" s="6" t="s">
        <v>25</v>
      </c>
      <c r="E2122" s="6" t="str">
        <f>"黄少梅"</f>
        <v>黄少梅</v>
      </c>
      <c r="F2122" s="6" t="str">
        <f t="shared" si="137"/>
        <v>女</v>
      </c>
    </row>
    <row r="2123" spans="1:6" ht="30" customHeight="1">
      <c r="A2123" s="6">
        <v>2121</v>
      </c>
      <c r="B2123" s="6" t="str">
        <f>"530020230602015820109234"</f>
        <v>530020230602015820109234</v>
      </c>
      <c r="C2123" s="6" t="str">
        <f t="shared" si="135"/>
        <v>0205</v>
      </c>
      <c r="D2123" s="6" t="s">
        <v>25</v>
      </c>
      <c r="E2123" s="6" t="str">
        <f>"符星星"</f>
        <v>符星星</v>
      </c>
      <c r="F2123" s="6" t="str">
        <f t="shared" si="137"/>
        <v>女</v>
      </c>
    </row>
    <row r="2124" spans="1:6" ht="30" customHeight="1">
      <c r="A2124" s="6">
        <v>2122</v>
      </c>
      <c r="B2124" s="6" t="str">
        <f>"530020230602080852109323"</f>
        <v>530020230602080852109323</v>
      </c>
      <c r="C2124" s="6" t="str">
        <f t="shared" si="135"/>
        <v>0205</v>
      </c>
      <c r="D2124" s="6" t="s">
        <v>25</v>
      </c>
      <c r="E2124" s="6" t="str">
        <f>"陈兴兰"</f>
        <v>陈兴兰</v>
      </c>
      <c r="F2124" s="6" t="str">
        <f t="shared" si="137"/>
        <v>女</v>
      </c>
    </row>
    <row r="2125" spans="1:6" ht="30" customHeight="1">
      <c r="A2125" s="6">
        <v>2123</v>
      </c>
      <c r="B2125" s="6" t="str">
        <f>"530020230602083612109387"</f>
        <v>530020230602083612109387</v>
      </c>
      <c r="C2125" s="6" t="str">
        <f t="shared" si="135"/>
        <v>0205</v>
      </c>
      <c r="D2125" s="6" t="s">
        <v>25</v>
      </c>
      <c r="E2125" s="6" t="str">
        <f>"洪艳艳"</f>
        <v>洪艳艳</v>
      </c>
      <c r="F2125" s="6" t="str">
        <f t="shared" si="137"/>
        <v>女</v>
      </c>
    </row>
    <row r="2126" spans="1:6" ht="30" customHeight="1">
      <c r="A2126" s="6">
        <v>2124</v>
      </c>
      <c r="B2126" s="6" t="str">
        <f>"530020230601203531108451"</f>
        <v>530020230601203531108451</v>
      </c>
      <c r="C2126" s="6" t="str">
        <f t="shared" si="135"/>
        <v>0205</v>
      </c>
      <c r="D2126" s="6" t="s">
        <v>25</v>
      </c>
      <c r="E2126" s="6" t="str">
        <f>"张垂飞"</f>
        <v>张垂飞</v>
      </c>
      <c r="F2126" s="6" t="str">
        <f t="shared" si="137"/>
        <v>女</v>
      </c>
    </row>
    <row r="2127" spans="1:6" ht="30" customHeight="1">
      <c r="A2127" s="6">
        <v>2125</v>
      </c>
      <c r="B2127" s="6" t="str">
        <f>"53002023052817324788116"</f>
        <v>53002023052817324788116</v>
      </c>
      <c r="C2127" s="6" t="str">
        <f t="shared" si="135"/>
        <v>0205</v>
      </c>
      <c r="D2127" s="6" t="s">
        <v>25</v>
      </c>
      <c r="E2127" s="6" t="str">
        <f>"李时畅"</f>
        <v>李时畅</v>
      </c>
      <c r="F2127" s="6" t="str">
        <f t="shared" si="137"/>
        <v>女</v>
      </c>
    </row>
    <row r="2128" spans="1:6" ht="30" customHeight="1">
      <c r="A2128" s="6">
        <v>2126</v>
      </c>
      <c r="B2128" s="6" t="str">
        <f>"530020230602091750109518"</f>
        <v>530020230602091750109518</v>
      </c>
      <c r="C2128" s="6" t="str">
        <f t="shared" si="135"/>
        <v>0205</v>
      </c>
      <c r="D2128" s="6" t="s">
        <v>25</v>
      </c>
      <c r="E2128" s="6" t="str">
        <f>"卢运芳"</f>
        <v>卢运芳</v>
      </c>
      <c r="F2128" s="6" t="str">
        <f t="shared" si="137"/>
        <v>女</v>
      </c>
    </row>
    <row r="2129" spans="1:6" ht="30" customHeight="1">
      <c r="A2129" s="6">
        <v>2127</v>
      </c>
      <c r="B2129" s="6" t="str">
        <f>"53002023053018162399445"</f>
        <v>53002023053018162399445</v>
      </c>
      <c r="C2129" s="6" t="str">
        <f t="shared" si="135"/>
        <v>0205</v>
      </c>
      <c r="D2129" s="6" t="s">
        <v>25</v>
      </c>
      <c r="E2129" s="6" t="str">
        <f>"张浩瑜"</f>
        <v>张浩瑜</v>
      </c>
      <c r="F2129" s="6" t="str">
        <f t="shared" si="137"/>
        <v>女</v>
      </c>
    </row>
    <row r="2130" spans="1:6" ht="30" customHeight="1">
      <c r="A2130" s="6">
        <v>2128</v>
      </c>
      <c r="B2130" s="6" t="str">
        <f>"530020230601092907105605"</f>
        <v>530020230601092907105605</v>
      </c>
      <c r="C2130" s="6" t="str">
        <f t="shared" si="135"/>
        <v>0205</v>
      </c>
      <c r="D2130" s="6" t="s">
        <v>25</v>
      </c>
      <c r="E2130" s="6" t="str">
        <f>"李圣鸿"</f>
        <v>李圣鸿</v>
      </c>
      <c r="F2130" s="6" t="str">
        <f>"男"</f>
        <v>男</v>
      </c>
    </row>
    <row r="2131" spans="1:6" ht="30" customHeight="1">
      <c r="A2131" s="6">
        <v>2129</v>
      </c>
      <c r="B2131" s="6" t="str">
        <f>"530020230602093214109586"</f>
        <v>530020230602093214109586</v>
      </c>
      <c r="C2131" s="6" t="str">
        <f t="shared" si="135"/>
        <v>0205</v>
      </c>
      <c r="D2131" s="6" t="s">
        <v>25</v>
      </c>
      <c r="E2131" s="6" t="str">
        <f>"李深蔓"</f>
        <v>李深蔓</v>
      </c>
      <c r="F2131" s="6" t="str">
        <f aca="true" t="shared" si="138" ref="F2131:F2139">"女"</f>
        <v>女</v>
      </c>
    </row>
    <row r="2132" spans="1:6" ht="30" customHeight="1">
      <c r="A2132" s="6">
        <v>2130</v>
      </c>
      <c r="B2132" s="6" t="str">
        <f>"530020230602091242109498"</f>
        <v>530020230602091242109498</v>
      </c>
      <c r="C2132" s="6" t="str">
        <f t="shared" si="135"/>
        <v>0205</v>
      </c>
      <c r="D2132" s="6" t="s">
        <v>25</v>
      </c>
      <c r="E2132" s="6" t="str">
        <f>"谢成花"</f>
        <v>谢成花</v>
      </c>
      <c r="F2132" s="6" t="str">
        <f t="shared" si="138"/>
        <v>女</v>
      </c>
    </row>
    <row r="2133" spans="1:6" ht="30" customHeight="1">
      <c r="A2133" s="6">
        <v>2131</v>
      </c>
      <c r="B2133" s="6" t="str">
        <f>"530020230601090041105388"</f>
        <v>530020230601090041105388</v>
      </c>
      <c r="C2133" s="6" t="str">
        <f t="shared" si="135"/>
        <v>0205</v>
      </c>
      <c r="D2133" s="6" t="s">
        <v>25</v>
      </c>
      <c r="E2133" s="6" t="str">
        <f>"万娜"</f>
        <v>万娜</v>
      </c>
      <c r="F2133" s="6" t="str">
        <f t="shared" si="138"/>
        <v>女</v>
      </c>
    </row>
    <row r="2134" spans="1:6" ht="30" customHeight="1">
      <c r="A2134" s="6">
        <v>2132</v>
      </c>
      <c r="B2134" s="6" t="str">
        <f>"530020230531100542101823"</f>
        <v>530020230531100542101823</v>
      </c>
      <c r="C2134" s="6" t="str">
        <f t="shared" si="135"/>
        <v>0205</v>
      </c>
      <c r="D2134" s="6" t="s">
        <v>25</v>
      </c>
      <c r="E2134" s="6" t="str">
        <f>"潘文"</f>
        <v>潘文</v>
      </c>
      <c r="F2134" s="6" t="str">
        <f t="shared" si="138"/>
        <v>女</v>
      </c>
    </row>
    <row r="2135" spans="1:6" ht="30" customHeight="1">
      <c r="A2135" s="6">
        <v>2133</v>
      </c>
      <c r="B2135" s="6" t="str">
        <f>"530020230602103148109825"</f>
        <v>530020230602103148109825</v>
      </c>
      <c r="C2135" s="6" t="str">
        <f t="shared" si="135"/>
        <v>0205</v>
      </c>
      <c r="D2135" s="6" t="s">
        <v>25</v>
      </c>
      <c r="E2135" s="6" t="str">
        <f>"杨康凤"</f>
        <v>杨康凤</v>
      </c>
      <c r="F2135" s="6" t="str">
        <f t="shared" si="138"/>
        <v>女</v>
      </c>
    </row>
    <row r="2136" spans="1:6" ht="30" customHeight="1">
      <c r="A2136" s="6">
        <v>2134</v>
      </c>
      <c r="B2136" s="6" t="str">
        <f>"53002023052916082793194"</f>
        <v>53002023052916082793194</v>
      </c>
      <c r="C2136" s="6" t="str">
        <f t="shared" si="135"/>
        <v>0205</v>
      </c>
      <c r="D2136" s="6" t="s">
        <v>25</v>
      </c>
      <c r="E2136" s="6" t="str">
        <f>"胡吉玲"</f>
        <v>胡吉玲</v>
      </c>
      <c r="F2136" s="6" t="str">
        <f t="shared" si="138"/>
        <v>女</v>
      </c>
    </row>
    <row r="2137" spans="1:6" ht="30" customHeight="1">
      <c r="A2137" s="6">
        <v>2135</v>
      </c>
      <c r="B2137" s="6" t="str">
        <f>"530020230601113251106431"</f>
        <v>530020230601113251106431</v>
      </c>
      <c r="C2137" s="6" t="str">
        <f t="shared" si="135"/>
        <v>0205</v>
      </c>
      <c r="D2137" s="6" t="s">
        <v>25</v>
      </c>
      <c r="E2137" s="6" t="str">
        <f>"龙妮"</f>
        <v>龙妮</v>
      </c>
      <c r="F2137" s="6" t="str">
        <f t="shared" si="138"/>
        <v>女</v>
      </c>
    </row>
    <row r="2138" spans="1:6" ht="30" customHeight="1">
      <c r="A2138" s="6">
        <v>2136</v>
      </c>
      <c r="B2138" s="6" t="str">
        <f>"530020230602034358109256"</f>
        <v>530020230602034358109256</v>
      </c>
      <c r="C2138" s="6" t="str">
        <f t="shared" si="135"/>
        <v>0205</v>
      </c>
      <c r="D2138" s="6" t="s">
        <v>25</v>
      </c>
      <c r="E2138" s="6" t="str">
        <f>"张艳"</f>
        <v>张艳</v>
      </c>
      <c r="F2138" s="6" t="str">
        <f t="shared" si="138"/>
        <v>女</v>
      </c>
    </row>
    <row r="2139" spans="1:6" ht="30" customHeight="1">
      <c r="A2139" s="6">
        <v>2137</v>
      </c>
      <c r="B2139" s="6" t="str">
        <f>"530020230602072826109284"</f>
        <v>530020230602072826109284</v>
      </c>
      <c r="C2139" s="6" t="str">
        <f t="shared" si="135"/>
        <v>0205</v>
      </c>
      <c r="D2139" s="6" t="s">
        <v>25</v>
      </c>
      <c r="E2139" s="6" t="str">
        <f>"王丽"</f>
        <v>王丽</v>
      </c>
      <c r="F2139" s="6" t="str">
        <f t="shared" si="138"/>
        <v>女</v>
      </c>
    </row>
    <row r="2140" spans="1:6" ht="30" customHeight="1">
      <c r="A2140" s="6">
        <v>2138</v>
      </c>
      <c r="B2140" s="6" t="str">
        <f>"530020230602080835109322"</f>
        <v>530020230602080835109322</v>
      </c>
      <c r="C2140" s="6" t="str">
        <f t="shared" si="135"/>
        <v>0205</v>
      </c>
      <c r="D2140" s="6" t="s">
        <v>25</v>
      </c>
      <c r="E2140" s="6" t="str">
        <f>"孙苑瑞"</f>
        <v>孙苑瑞</v>
      </c>
      <c r="F2140" s="6" t="str">
        <f>"男"</f>
        <v>男</v>
      </c>
    </row>
    <row r="2141" spans="1:6" ht="30" customHeight="1">
      <c r="A2141" s="6">
        <v>2139</v>
      </c>
      <c r="B2141" s="6" t="str">
        <f>"530020230601211142108579"</f>
        <v>530020230601211142108579</v>
      </c>
      <c r="C2141" s="6" t="str">
        <f t="shared" si="135"/>
        <v>0205</v>
      </c>
      <c r="D2141" s="6" t="s">
        <v>25</v>
      </c>
      <c r="E2141" s="6" t="str">
        <f>"罗敏"</f>
        <v>罗敏</v>
      </c>
      <c r="F2141" s="6" t="str">
        <f aca="true" t="shared" si="139" ref="F2141:F2171">"女"</f>
        <v>女</v>
      </c>
    </row>
    <row r="2142" spans="1:6" ht="30" customHeight="1">
      <c r="A2142" s="6">
        <v>2140</v>
      </c>
      <c r="B2142" s="6" t="str">
        <f>"530020230602114814110167"</f>
        <v>530020230602114814110167</v>
      </c>
      <c r="C2142" s="6" t="str">
        <f t="shared" si="135"/>
        <v>0205</v>
      </c>
      <c r="D2142" s="6" t="s">
        <v>25</v>
      </c>
      <c r="E2142" s="6" t="str">
        <f>"董为丽"</f>
        <v>董为丽</v>
      </c>
      <c r="F2142" s="6" t="str">
        <f t="shared" si="139"/>
        <v>女</v>
      </c>
    </row>
    <row r="2143" spans="1:6" ht="30" customHeight="1">
      <c r="A2143" s="6">
        <v>2141</v>
      </c>
      <c r="B2143" s="6" t="str">
        <f>"53002023052709072683680"</f>
        <v>53002023052709072683680</v>
      </c>
      <c r="C2143" s="6" t="str">
        <f aca="true" t="shared" si="140" ref="C2143:C2206">"0206"</f>
        <v>0206</v>
      </c>
      <c r="D2143" s="6" t="s">
        <v>26</v>
      </c>
      <c r="E2143" s="6" t="str">
        <f>"徐有连"</f>
        <v>徐有连</v>
      </c>
      <c r="F2143" s="6" t="str">
        <f t="shared" si="139"/>
        <v>女</v>
      </c>
    </row>
    <row r="2144" spans="1:6" ht="30" customHeight="1">
      <c r="A2144" s="6">
        <v>2142</v>
      </c>
      <c r="B2144" s="6" t="str">
        <f>"53002023052709235783741"</f>
        <v>53002023052709235783741</v>
      </c>
      <c r="C2144" s="6" t="str">
        <f t="shared" si="140"/>
        <v>0206</v>
      </c>
      <c r="D2144" s="6" t="s">
        <v>26</v>
      </c>
      <c r="E2144" s="6" t="str">
        <f>"杨瑜"</f>
        <v>杨瑜</v>
      </c>
      <c r="F2144" s="6" t="str">
        <f t="shared" si="139"/>
        <v>女</v>
      </c>
    </row>
    <row r="2145" spans="1:6" ht="30" customHeight="1">
      <c r="A2145" s="6">
        <v>2143</v>
      </c>
      <c r="B2145" s="6" t="str">
        <f>"53002023052709140183707"</f>
        <v>53002023052709140183707</v>
      </c>
      <c r="C2145" s="6" t="str">
        <f t="shared" si="140"/>
        <v>0206</v>
      </c>
      <c r="D2145" s="6" t="s">
        <v>26</v>
      </c>
      <c r="E2145" s="6" t="str">
        <f>"郭雅丽"</f>
        <v>郭雅丽</v>
      </c>
      <c r="F2145" s="6" t="str">
        <f t="shared" si="139"/>
        <v>女</v>
      </c>
    </row>
    <row r="2146" spans="1:6" ht="30" customHeight="1">
      <c r="A2146" s="6">
        <v>2144</v>
      </c>
      <c r="B2146" s="6" t="str">
        <f>"53002023052709595283879"</f>
        <v>53002023052709595283879</v>
      </c>
      <c r="C2146" s="6" t="str">
        <f t="shared" si="140"/>
        <v>0206</v>
      </c>
      <c r="D2146" s="6" t="s">
        <v>26</v>
      </c>
      <c r="E2146" s="6" t="str">
        <f>"范东永"</f>
        <v>范东永</v>
      </c>
      <c r="F2146" s="6" t="str">
        <f t="shared" si="139"/>
        <v>女</v>
      </c>
    </row>
    <row r="2147" spans="1:6" ht="30" customHeight="1">
      <c r="A2147" s="6">
        <v>2145</v>
      </c>
      <c r="B2147" s="6" t="str">
        <f>"53002023052710185183978"</f>
        <v>53002023052710185183978</v>
      </c>
      <c r="C2147" s="6" t="str">
        <f t="shared" si="140"/>
        <v>0206</v>
      </c>
      <c r="D2147" s="6" t="s">
        <v>26</v>
      </c>
      <c r="E2147" s="6" t="str">
        <f>"薛姑美"</f>
        <v>薛姑美</v>
      </c>
      <c r="F2147" s="6" t="str">
        <f t="shared" si="139"/>
        <v>女</v>
      </c>
    </row>
    <row r="2148" spans="1:6" ht="30" customHeight="1">
      <c r="A2148" s="6">
        <v>2146</v>
      </c>
      <c r="B2148" s="6" t="str">
        <f>"53002023052709544883859"</f>
        <v>53002023052709544883859</v>
      </c>
      <c r="C2148" s="6" t="str">
        <f t="shared" si="140"/>
        <v>0206</v>
      </c>
      <c r="D2148" s="6" t="s">
        <v>26</v>
      </c>
      <c r="E2148" s="6" t="str">
        <f>"周海润"</f>
        <v>周海润</v>
      </c>
      <c r="F2148" s="6" t="str">
        <f t="shared" si="139"/>
        <v>女</v>
      </c>
    </row>
    <row r="2149" spans="1:6" ht="30" customHeight="1">
      <c r="A2149" s="6">
        <v>2147</v>
      </c>
      <c r="B2149" s="6" t="str">
        <f>"53002023052711152784235"</f>
        <v>53002023052711152784235</v>
      </c>
      <c r="C2149" s="6" t="str">
        <f t="shared" si="140"/>
        <v>0206</v>
      </c>
      <c r="D2149" s="6" t="s">
        <v>26</v>
      </c>
      <c r="E2149" s="6" t="str">
        <f>"陈艳"</f>
        <v>陈艳</v>
      </c>
      <c r="F2149" s="6" t="str">
        <f t="shared" si="139"/>
        <v>女</v>
      </c>
    </row>
    <row r="2150" spans="1:6" ht="30" customHeight="1">
      <c r="A2150" s="6">
        <v>2148</v>
      </c>
      <c r="B2150" s="6" t="str">
        <f>"53002023052711502384377"</f>
        <v>53002023052711502384377</v>
      </c>
      <c r="C2150" s="6" t="str">
        <f t="shared" si="140"/>
        <v>0206</v>
      </c>
      <c r="D2150" s="6" t="s">
        <v>26</v>
      </c>
      <c r="E2150" s="6" t="str">
        <f>"林芳江"</f>
        <v>林芳江</v>
      </c>
      <c r="F2150" s="6" t="str">
        <f t="shared" si="139"/>
        <v>女</v>
      </c>
    </row>
    <row r="2151" spans="1:6" ht="30" customHeight="1">
      <c r="A2151" s="6">
        <v>2149</v>
      </c>
      <c r="B2151" s="6" t="str">
        <f>"53002023052712594184612"</f>
        <v>53002023052712594184612</v>
      </c>
      <c r="C2151" s="6" t="str">
        <f t="shared" si="140"/>
        <v>0206</v>
      </c>
      <c r="D2151" s="6" t="s">
        <v>26</v>
      </c>
      <c r="E2151" s="6" t="str">
        <f>"杨小丹"</f>
        <v>杨小丹</v>
      </c>
      <c r="F2151" s="6" t="str">
        <f t="shared" si="139"/>
        <v>女</v>
      </c>
    </row>
    <row r="2152" spans="1:6" ht="30" customHeight="1">
      <c r="A2152" s="6">
        <v>2150</v>
      </c>
      <c r="B2152" s="6" t="str">
        <f>"53002023052713550484816"</f>
        <v>53002023052713550484816</v>
      </c>
      <c r="C2152" s="6" t="str">
        <f t="shared" si="140"/>
        <v>0206</v>
      </c>
      <c r="D2152" s="6" t="s">
        <v>26</v>
      </c>
      <c r="E2152" s="6" t="str">
        <f>"符冬梅"</f>
        <v>符冬梅</v>
      </c>
      <c r="F2152" s="6" t="str">
        <f t="shared" si="139"/>
        <v>女</v>
      </c>
    </row>
    <row r="2153" spans="1:6" ht="30" customHeight="1">
      <c r="A2153" s="6">
        <v>2151</v>
      </c>
      <c r="B2153" s="6" t="str">
        <f>"53002023052709142183709"</f>
        <v>53002023052709142183709</v>
      </c>
      <c r="C2153" s="6" t="str">
        <f t="shared" si="140"/>
        <v>0206</v>
      </c>
      <c r="D2153" s="6" t="s">
        <v>26</v>
      </c>
      <c r="E2153" s="6" t="str">
        <f>"陈晓霞"</f>
        <v>陈晓霞</v>
      </c>
      <c r="F2153" s="6" t="str">
        <f t="shared" si="139"/>
        <v>女</v>
      </c>
    </row>
    <row r="2154" spans="1:6" ht="30" customHeight="1">
      <c r="A2154" s="6">
        <v>2152</v>
      </c>
      <c r="B2154" s="6" t="str">
        <f>"53002023052715521885194"</f>
        <v>53002023052715521885194</v>
      </c>
      <c r="C2154" s="6" t="str">
        <f t="shared" si="140"/>
        <v>0206</v>
      </c>
      <c r="D2154" s="6" t="s">
        <v>26</v>
      </c>
      <c r="E2154" s="6" t="str">
        <f>"张斯沁"</f>
        <v>张斯沁</v>
      </c>
      <c r="F2154" s="6" t="str">
        <f t="shared" si="139"/>
        <v>女</v>
      </c>
    </row>
    <row r="2155" spans="1:6" ht="30" customHeight="1">
      <c r="A2155" s="6">
        <v>2153</v>
      </c>
      <c r="B2155" s="6" t="str">
        <f>"53002023052718272885662"</f>
        <v>53002023052718272885662</v>
      </c>
      <c r="C2155" s="6" t="str">
        <f t="shared" si="140"/>
        <v>0206</v>
      </c>
      <c r="D2155" s="6" t="s">
        <v>26</v>
      </c>
      <c r="E2155" s="6" t="str">
        <f>" 孙秀乾"</f>
        <v> 孙秀乾</v>
      </c>
      <c r="F2155" s="6" t="str">
        <f t="shared" si="139"/>
        <v>女</v>
      </c>
    </row>
    <row r="2156" spans="1:6" ht="30" customHeight="1">
      <c r="A2156" s="6">
        <v>2154</v>
      </c>
      <c r="B2156" s="6" t="str">
        <f>"53002023052720283086005"</f>
        <v>53002023052720283086005</v>
      </c>
      <c r="C2156" s="6" t="str">
        <f t="shared" si="140"/>
        <v>0206</v>
      </c>
      <c r="D2156" s="6" t="s">
        <v>26</v>
      </c>
      <c r="E2156" s="6" t="str">
        <f>"陈秀香"</f>
        <v>陈秀香</v>
      </c>
      <c r="F2156" s="6" t="str">
        <f t="shared" si="139"/>
        <v>女</v>
      </c>
    </row>
    <row r="2157" spans="1:6" ht="30" customHeight="1">
      <c r="A2157" s="6">
        <v>2155</v>
      </c>
      <c r="B2157" s="6" t="str">
        <f>"53002023052720232785989"</f>
        <v>53002023052720232785989</v>
      </c>
      <c r="C2157" s="6" t="str">
        <f t="shared" si="140"/>
        <v>0206</v>
      </c>
      <c r="D2157" s="6" t="s">
        <v>26</v>
      </c>
      <c r="E2157" s="6" t="str">
        <f>"符兰吟 "</f>
        <v>符兰吟 </v>
      </c>
      <c r="F2157" s="6" t="str">
        <f t="shared" si="139"/>
        <v>女</v>
      </c>
    </row>
    <row r="2158" spans="1:6" ht="30" customHeight="1">
      <c r="A2158" s="6">
        <v>2156</v>
      </c>
      <c r="B2158" s="6" t="str">
        <f>"53002023052723002086489"</f>
        <v>53002023052723002086489</v>
      </c>
      <c r="C2158" s="6" t="str">
        <f t="shared" si="140"/>
        <v>0206</v>
      </c>
      <c r="D2158" s="6" t="s">
        <v>26</v>
      </c>
      <c r="E2158" s="6" t="str">
        <f>"李英莲"</f>
        <v>李英莲</v>
      </c>
      <c r="F2158" s="6" t="str">
        <f t="shared" si="139"/>
        <v>女</v>
      </c>
    </row>
    <row r="2159" spans="1:6" ht="30" customHeight="1">
      <c r="A2159" s="6">
        <v>2157</v>
      </c>
      <c r="B2159" s="6" t="str">
        <f>"53002023052809580286932"</f>
        <v>53002023052809580286932</v>
      </c>
      <c r="C2159" s="6" t="str">
        <f t="shared" si="140"/>
        <v>0206</v>
      </c>
      <c r="D2159" s="6" t="s">
        <v>26</v>
      </c>
      <c r="E2159" s="6" t="str">
        <f>"温思铭"</f>
        <v>温思铭</v>
      </c>
      <c r="F2159" s="6" t="str">
        <f t="shared" si="139"/>
        <v>女</v>
      </c>
    </row>
    <row r="2160" spans="1:6" ht="30" customHeight="1">
      <c r="A2160" s="6">
        <v>2158</v>
      </c>
      <c r="B2160" s="6" t="str">
        <f>"53002023052721411086260"</f>
        <v>53002023052721411086260</v>
      </c>
      <c r="C2160" s="6" t="str">
        <f t="shared" si="140"/>
        <v>0206</v>
      </c>
      <c r="D2160" s="6" t="s">
        <v>26</v>
      </c>
      <c r="E2160" s="6" t="str">
        <f>"吴仕娟"</f>
        <v>吴仕娟</v>
      </c>
      <c r="F2160" s="6" t="str">
        <f t="shared" si="139"/>
        <v>女</v>
      </c>
    </row>
    <row r="2161" spans="1:6" ht="30" customHeight="1">
      <c r="A2161" s="6">
        <v>2159</v>
      </c>
      <c r="B2161" s="6" t="str">
        <f>"53002023052815165687733"</f>
        <v>53002023052815165687733</v>
      </c>
      <c r="C2161" s="6" t="str">
        <f t="shared" si="140"/>
        <v>0206</v>
      </c>
      <c r="D2161" s="6" t="s">
        <v>26</v>
      </c>
      <c r="E2161" s="6" t="str">
        <f>"麦娱"</f>
        <v>麦娱</v>
      </c>
      <c r="F2161" s="6" t="str">
        <f t="shared" si="139"/>
        <v>女</v>
      </c>
    </row>
    <row r="2162" spans="1:6" ht="30" customHeight="1">
      <c r="A2162" s="6">
        <v>2160</v>
      </c>
      <c r="B2162" s="6" t="str">
        <f>"53002023052816014287849"</f>
        <v>53002023052816014287849</v>
      </c>
      <c r="C2162" s="6" t="str">
        <f t="shared" si="140"/>
        <v>0206</v>
      </c>
      <c r="D2162" s="6" t="s">
        <v>26</v>
      </c>
      <c r="E2162" s="6" t="str">
        <f>"陈英"</f>
        <v>陈英</v>
      </c>
      <c r="F2162" s="6" t="str">
        <f t="shared" si="139"/>
        <v>女</v>
      </c>
    </row>
    <row r="2163" spans="1:6" ht="30" customHeight="1">
      <c r="A2163" s="6">
        <v>2161</v>
      </c>
      <c r="B2163" s="6" t="str">
        <f>"53002023052816251187923"</f>
        <v>53002023052816251187923</v>
      </c>
      <c r="C2163" s="6" t="str">
        <f t="shared" si="140"/>
        <v>0206</v>
      </c>
      <c r="D2163" s="6" t="s">
        <v>26</v>
      </c>
      <c r="E2163" s="6" t="str">
        <f>"林能玲"</f>
        <v>林能玲</v>
      </c>
      <c r="F2163" s="6" t="str">
        <f t="shared" si="139"/>
        <v>女</v>
      </c>
    </row>
    <row r="2164" spans="1:6" ht="30" customHeight="1">
      <c r="A2164" s="6">
        <v>2162</v>
      </c>
      <c r="B2164" s="6" t="str">
        <f>"53002023052817404388181"</f>
        <v>53002023052817404388181</v>
      </c>
      <c r="C2164" s="6" t="str">
        <f t="shared" si="140"/>
        <v>0206</v>
      </c>
      <c r="D2164" s="6" t="s">
        <v>26</v>
      </c>
      <c r="E2164" s="6" t="str">
        <f>"黄乙玲"</f>
        <v>黄乙玲</v>
      </c>
      <c r="F2164" s="6" t="str">
        <f t="shared" si="139"/>
        <v>女</v>
      </c>
    </row>
    <row r="2165" spans="1:6" ht="30" customHeight="1">
      <c r="A2165" s="6">
        <v>2163</v>
      </c>
      <c r="B2165" s="6" t="str">
        <f>"53002023052819073688458"</f>
        <v>53002023052819073688458</v>
      </c>
      <c r="C2165" s="6" t="str">
        <f t="shared" si="140"/>
        <v>0206</v>
      </c>
      <c r="D2165" s="6" t="s">
        <v>26</v>
      </c>
      <c r="E2165" s="6" t="str">
        <f>"洪水兰"</f>
        <v>洪水兰</v>
      </c>
      <c r="F2165" s="6" t="str">
        <f t="shared" si="139"/>
        <v>女</v>
      </c>
    </row>
    <row r="2166" spans="1:6" ht="30" customHeight="1">
      <c r="A2166" s="6">
        <v>2164</v>
      </c>
      <c r="B2166" s="6" t="str">
        <f>"53002023052819413688535"</f>
        <v>53002023052819413688535</v>
      </c>
      <c r="C2166" s="6" t="str">
        <f t="shared" si="140"/>
        <v>0206</v>
      </c>
      <c r="D2166" s="6" t="s">
        <v>26</v>
      </c>
      <c r="E2166" s="6" t="str">
        <f>"张名娟"</f>
        <v>张名娟</v>
      </c>
      <c r="F2166" s="6" t="str">
        <f t="shared" si="139"/>
        <v>女</v>
      </c>
    </row>
    <row r="2167" spans="1:6" ht="30" customHeight="1">
      <c r="A2167" s="6">
        <v>2165</v>
      </c>
      <c r="B2167" s="6" t="str">
        <f>"53002023052820213288641"</f>
        <v>53002023052820213288641</v>
      </c>
      <c r="C2167" s="6" t="str">
        <f t="shared" si="140"/>
        <v>0206</v>
      </c>
      <c r="D2167" s="6" t="s">
        <v>26</v>
      </c>
      <c r="E2167" s="6" t="str">
        <f>"胡兰"</f>
        <v>胡兰</v>
      </c>
      <c r="F2167" s="6" t="str">
        <f t="shared" si="139"/>
        <v>女</v>
      </c>
    </row>
    <row r="2168" spans="1:6" ht="30" customHeight="1">
      <c r="A2168" s="6">
        <v>2166</v>
      </c>
      <c r="B2168" s="6" t="str">
        <f>"53002023052820544488767"</f>
        <v>53002023052820544488767</v>
      </c>
      <c r="C2168" s="6" t="str">
        <f t="shared" si="140"/>
        <v>0206</v>
      </c>
      <c r="D2168" s="6" t="s">
        <v>26</v>
      </c>
      <c r="E2168" s="6" t="str">
        <f>"黄杏丁"</f>
        <v>黄杏丁</v>
      </c>
      <c r="F2168" s="6" t="str">
        <f t="shared" si="139"/>
        <v>女</v>
      </c>
    </row>
    <row r="2169" spans="1:6" ht="30" customHeight="1">
      <c r="A2169" s="6">
        <v>2167</v>
      </c>
      <c r="B2169" s="6" t="str">
        <f>"53002023052821051788802"</f>
        <v>53002023052821051788802</v>
      </c>
      <c r="C2169" s="6" t="str">
        <f t="shared" si="140"/>
        <v>0206</v>
      </c>
      <c r="D2169" s="6" t="s">
        <v>26</v>
      </c>
      <c r="E2169" s="6" t="str">
        <f>"陈石蕾"</f>
        <v>陈石蕾</v>
      </c>
      <c r="F2169" s="6" t="str">
        <f t="shared" si="139"/>
        <v>女</v>
      </c>
    </row>
    <row r="2170" spans="1:6" ht="30" customHeight="1">
      <c r="A2170" s="6">
        <v>2168</v>
      </c>
      <c r="B2170" s="6" t="str">
        <f>"53002023052821164688841"</f>
        <v>53002023052821164688841</v>
      </c>
      <c r="C2170" s="6" t="str">
        <f t="shared" si="140"/>
        <v>0206</v>
      </c>
      <c r="D2170" s="6" t="s">
        <v>26</v>
      </c>
      <c r="E2170" s="6" t="str">
        <f>"谢克振"</f>
        <v>谢克振</v>
      </c>
      <c r="F2170" s="6" t="str">
        <f t="shared" si="139"/>
        <v>女</v>
      </c>
    </row>
    <row r="2171" spans="1:6" ht="30" customHeight="1">
      <c r="A2171" s="6">
        <v>2169</v>
      </c>
      <c r="B2171" s="6" t="str">
        <f>"53002023052820111588607"</f>
        <v>53002023052820111588607</v>
      </c>
      <c r="C2171" s="6" t="str">
        <f t="shared" si="140"/>
        <v>0206</v>
      </c>
      <c r="D2171" s="6" t="s">
        <v>26</v>
      </c>
      <c r="E2171" s="6" t="str">
        <f>"王艳丽"</f>
        <v>王艳丽</v>
      </c>
      <c r="F2171" s="6" t="str">
        <f t="shared" si="139"/>
        <v>女</v>
      </c>
    </row>
    <row r="2172" spans="1:6" ht="30" customHeight="1">
      <c r="A2172" s="6">
        <v>2170</v>
      </c>
      <c r="B2172" s="6" t="str">
        <f>"53002023052821021888793"</f>
        <v>53002023052821021888793</v>
      </c>
      <c r="C2172" s="6" t="str">
        <f t="shared" si="140"/>
        <v>0206</v>
      </c>
      <c r="D2172" s="6" t="s">
        <v>26</v>
      </c>
      <c r="E2172" s="6" t="str">
        <f>"朱师华"</f>
        <v>朱师华</v>
      </c>
      <c r="F2172" s="6" t="str">
        <f>"男"</f>
        <v>男</v>
      </c>
    </row>
    <row r="2173" spans="1:6" ht="30" customHeight="1">
      <c r="A2173" s="6">
        <v>2171</v>
      </c>
      <c r="B2173" s="6" t="str">
        <f>"53002023052822071189016"</f>
        <v>53002023052822071189016</v>
      </c>
      <c r="C2173" s="6" t="str">
        <f t="shared" si="140"/>
        <v>0206</v>
      </c>
      <c r="D2173" s="6" t="s">
        <v>26</v>
      </c>
      <c r="E2173" s="6" t="str">
        <f>"郑庆玲"</f>
        <v>郑庆玲</v>
      </c>
      <c r="F2173" s="6" t="str">
        <f>"女"</f>
        <v>女</v>
      </c>
    </row>
    <row r="2174" spans="1:6" ht="30" customHeight="1">
      <c r="A2174" s="6">
        <v>2172</v>
      </c>
      <c r="B2174" s="6" t="str">
        <f>"53002023052821434288934"</f>
        <v>53002023052821434288934</v>
      </c>
      <c r="C2174" s="6" t="str">
        <f t="shared" si="140"/>
        <v>0206</v>
      </c>
      <c r="D2174" s="6" t="s">
        <v>26</v>
      </c>
      <c r="E2174" s="6" t="str">
        <f>"蔡元女"</f>
        <v>蔡元女</v>
      </c>
      <c r="F2174" s="6" t="str">
        <f>"女"</f>
        <v>女</v>
      </c>
    </row>
    <row r="2175" spans="1:6" ht="30" customHeight="1">
      <c r="A2175" s="6">
        <v>2173</v>
      </c>
      <c r="B2175" s="6" t="str">
        <f>"53002023052900022889326"</f>
        <v>53002023052900022889326</v>
      </c>
      <c r="C2175" s="6" t="str">
        <f t="shared" si="140"/>
        <v>0206</v>
      </c>
      <c r="D2175" s="6" t="s">
        <v>26</v>
      </c>
      <c r="E2175" s="6" t="str">
        <f>"蒲英尾"</f>
        <v>蒲英尾</v>
      </c>
      <c r="F2175" s="6" t="str">
        <f>"女"</f>
        <v>女</v>
      </c>
    </row>
    <row r="2176" spans="1:6" ht="30" customHeight="1">
      <c r="A2176" s="6">
        <v>2174</v>
      </c>
      <c r="B2176" s="6" t="str">
        <f>"53002023052908061689480"</f>
        <v>53002023052908061689480</v>
      </c>
      <c r="C2176" s="6" t="str">
        <f t="shared" si="140"/>
        <v>0206</v>
      </c>
      <c r="D2176" s="6" t="s">
        <v>26</v>
      </c>
      <c r="E2176" s="6" t="str">
        <f>"吴贵美"</f>
        <v>吴贵美</v>
      </c>
      <c r="F2176" s="6" t="str">
        <f>"女"</f>
        <v>女</v>
      </c>
    </row>
    <row r="2177" spans="1:6" ht="30" customHeight="1">
      <c r="A2177" s="6">
        <v>2175</v>
      </c>
      <c r="B2177" s="6" t="str">
        <f>"53002023052908385589595"</f>
        <v>53002023052908385589595</v>
      </c>
      <c r="C2177" s="6" t="str">
        <f t="shared" si="140"/>
        <v>0206</v>
      </c>
      <c r="D2177" s="6" t="s">
        <v>26</v>
      </c>
      <c r="E2177" s="6" t="str">
        <f>"徐发吉"</f>
        <v>徐发吉</v>
      </c>
      <c r="F2177" s="6" t="str">
        <f>"男"</f>
        <v>男</v>
      </c>
    </row>
    <row r="2178" spans="1:6" ht="30" customHeight="1">
      <c r="A2178" s="6">
        <v>2176</v>
      </c>
      <c r="B2178" s="6" t="str">
        <f>"53002023052908231389540"</f>
        <v>53002023052908231389540</v>
      </c>
      <c r="C2178" s="6" t="str">
        <f t="shared" si="140"/>
        <v>0206</v>
      </c>
      <c r="D2178" s="6" t="s">
        <v>26</v>
      </c>
      <c r="E2178" s="6" t="str">
        <f>"黎正花"</f>
        <v>黎正花</v>
      </c>
      <c r="F2178" s="6" t="str">
        <f aca="true" t="shared" si="141" ref="F2178:F2183">"女"</f>
        <v>女</v>
      </c>
    </row>
    <row r="2179" spans="1:6" ht="30" customHeight="1">
      <c r="A2179" s="6">
        <v>2177</v>
      </c>
      <c r="B2179" s="6" t="str">
        <f>"53002023052908523789648"</f>
        <v>53002023052908523789648</v>
      </c>
      <c r="C2179" s="6" t="str">
        <f t="shared" si="140"/>
        <v>0206</v>
      </c>
      <c r="D2179" s="6" t="s">
        <v>26</v>
      </c>
      <c r="E2179" s="6" t="str">
        <f>"高菁"</f>
        <v>高菁</v>
      </c>
      <c r="F2179" s="6" t="str">
        <f t="shared" si="141"/>
        <v>女</v>
      </c>
    </row>
    <row r="2180" spans="1:6" ht="30" customHeight="1">
      <c r="A2180" s="6">
        <v>2178</v>
      </c>
      <c r="B2180" s="6" t="str">
        <f>"53002023052909221290005"</f>
        <v>53002023052909221290005</v>
      </c>
      <c r="C2180" s="6" t="str">
        <f t="shared" si="140"/>
        <v>0206</v>
      </c>
      <c r="D2180" s="6" t="s">
        <v>26</v>
      </c>
      <c r="E2180" s="6" t="str">
        <f>"吴小燕"</f>
        <v>吴小燕</v>
      </c>
      <c r="F2180" s="6" t="str">
        <f t="shared" si="141"/>
        <v>女</v>
      </c>
    </row>
    <row r="2181" spans="1:6" ht="30" customHeight="1">
      <c r="A2181" s="6">
        <v>2179</v>
      </c>
      <c r="B2181" s="6" t="str">
        <f>"53002023052908325189570"</f>
        <v>53002023052908325189570</v>
      </c>
      <c r="C2181" s="6" t="str">
        <f t="shared" si="140"/>
        <v>0206</v>
      </c>
      <c r="D2181" s="6" t="s">
        <v>26</v>
      </c>
      <c r="E2181" s="6" t="str">
        <f>"何芬"</f>
        <v>何芬</v>
      </c>
      <c r="F2181" s="6" t="str">
        <f t="shared" si="141"/>
        <v>女</v>
      </c>
    </row>
    <row r="2182" spans="1:6" ht="30" customHeight="1">
      <c r="A2182" s="6">
        <v>2180</v>
      </c>
      <c r="B2182" s="6" t="str">
        <f>"53002023052910574491097"</f>
        <v>53002023052910574491097</v>
      </c>
      <c r="C2182" s="6" t="str">
        <f t="shared" si="140"/>
        <v>0206</v>
      </c>
      <c r="D2182" s="6" t="s">
        <v>26</v>
      </c>
      <c r="E2182" s="6" t="str">
        <f>"王晓娜"</f>
        <v>王晓娜</v>
      </c>
      <c r="F2182" s="6" t="str">
        <f t="shared" si="141"/>
        <v>女</v>
      </c>
    </row>
    <row r="2183" spans="1:6" ht="30" customHeight="1">
      <c r="A2183" s="6">
        <v>2181</v>
      </c>
      <c r="B2183" s="6" t="str">
        <f>"53002023052911105991228"</f>
        <v>53002023052911105991228</v>
      </c>
      <c r="C2183" s="6" t="str">
        <f t="shared" si="140"/>
        <v>0206</v>
      </c>
      <c r="D2183" s="6" t="s">
        <v>26</v>
      </c>
      <c r="E2183" s="6" t="str">
        <f>"郑少玉"</f>
        <v>郑少玉</v>
      </c>
      <c r="F2183" s="6" t="str">
        <f t="shared" si="141"/>
        <v>女</v>
      </c>
    </row>
    <row r="2184" spans="1:6" ht="30" customHeight="1">
      <c r="A2184" s="6">
        <v>2182</v>
      </c>
      <c r="B2184" s="6" t="str">
        <f>"53002023052908441389614"</f>
        <v>53002023052908441389614</v>
      </c>
      <c r="C2184" s="6" t="str">
        <f t="shared" si="140"/>
        <v>0206</v>
      </c>
      <c r="D2184" s="6" t="s">
        <v>26</v>
      </c>
      <c r="E2184" s="6" t="str">
        <f>"李锦"</f>
        <v>李锦</v>
      </c>
      <c r="F2184" s="6" t="str">
        <f>"男"</f>
        <v>男</v>
      </c>
    </row>
    <row r="2185" spans="1:6" ht="30" customHeight="1">
      <c r="A2185" s="6">
        <v>2183</v>
      </c>
      <c r="B2185" s="6" t="str">
        <f>"53002023052911092691211"</f>
        <v>53002023052911092691211</v>
      </c>
      <c r="C2185" s="6" t="str">
        <f t="shared" si="140"/>
        <v>0206</v>
      </c>
      <c r="D2185" s="6" t="s">
        <v>26</v>
      </c>
      <c r="E2185" s="6" t="str">
        <f>"何小花"</f>
        <v>何小花</v>
      </c>
      <c r="F2185" s="6" t="str">
        <f aca="true" t="shared" si="142" ref="F2185:F2203">"女"</f>
        <v>女</v>
      </c>
    </row>
    <row r="2186" spans="1:6" ht="30" customHeight="1">
      <c r="A2186" s="6">
        <v>2184</v>
      </c>
      <c r="B2186" s="6" t="str">
        <f>"53002023052911330591411"</f>
        <v>53002023052911330591411</v>
      </c>
      <c r="C2186" s="6" t="str">
        <f t="shared" si="140"/>
        <v>0206</v>
      </c>
      <c r="D2186" s="6" t="s">
        <v>26</v>
      </c>
      <c r="E2186" s="6" t="str">
        <f>"谢小芸"</f>
        <v>谢小芸</v>
      </c>
      <c r="F2186" s="6" t="str">
        <f t="shared" si="142"/>
        <v>女</v>
      </c>
    </row>
    <row r="2187" spans="1:6" ht="30" customHeight="1">
      <c r="A2187" s="6">
        <v>2185</v>
      </c>
      <c r="B2187" s="6" t="str">
        <f>"53002023052909050889786"</f>
        <v>53002023052909050889786</v>
      </c>
      <c r="C2187" s="6" t="str">
        <f t="shared" si="140"/>
        <v>0206</v>
      </c>
      <c r="D2187" s="6" t="s">
        <v>26</v>
      </c>
      <c r="E2187" s="6" t="str">
        <f>"刘夏雨"</f>
        <v>刘夏雨</v>
      </c>
      <c r="F2187" s="6" t="str">
        <f t="shared" si="142"/>
        <v>女</v>
      </c>
    </row>
    <row r="2188" spans="1:6" ht="30" customHeight="1">
      <c r="A2188" s="6">
        <v>2186</v>
      </c>
      <c r="B2188" s="6" t="str">
        <f>"53002023052822402889133"</f>
        <v>53002023052822402889133</v>
      </c>
      <c r="C2188" s="6" t="str">
        <f t="shared" si="140"/>
        <v>0206</v>
      </c>
      <c r="D2188" s="6" t="s">
        <v>26</v>
      </c>
      <c r="E2188" s="6" t="str">
        <f>"黄心莉"</f>
        <v>黄心莉</v>
      </c>
      <c r="F2188" s="6" t="str">
        <f t="shared" si="142"/>
        <v>女</v>
      </c>
    </row>
    <row r="2189" spans="1:6" ht="30" customHeight="1">
      <c r="A2189" s="6">
        <v>2187</v>
      </c>
      <c r="B2189" s="6" t="str">
        <f>"53002023052812163687271"</f>
        <v>53002023052812163687271</v>
      </c>
      <c r="C2189" s="6" t="str">
        <f t="shared" si="140"/>
        <v>0206</v>
      </c>
      <c r="D2189" s="6" t="s">
        <v>26</v>
      </c>
      <c r="E2189" s="6" t="str">
        <f>"王材升"</f>
        <v>王材升</v>
      </c>
      <c r="F2189" s="6" t="str">
        <f t="shared" si="142"/>
        <v>女</v>
      </c>
    </row>
    <row r="2190" spans="1:6" ht="30" customHeight="1">
      <c r="A2190" s="6">
        <v>2188</v>
      </c>
      <c r="B2190" s="6" t="str">
        <f>"53002023052912343691868"</f>
        <v>53002023052912343691868</v>
      </c>
      <c r="C2190" s="6" t="str">
        <f t="shared" si="140"/>
        <v>0206</v>
      </c>
      <c r="D2190" s="6" t="s">
        <v>26</v>
      </c>
      <c r="E2190" s="6" t="str">
        <f>"王春晓"</f>
        <v>王春晓</v>
      </c>
      <c r="F2190" s="6" t="str">
        <f t="shared" si="142"/>
        <v>女</v>
      </c>
    </row>
    <row r="2191" spans="1:6" ht="30" customHeight="1">
      <c r="A2191" s="6">
        <v>2189</v>
      </c>
      <c r="B2191" s="6" t="str">
        <f>"53002023052912361791875"</f>
        <v>53002023052912361791875</v>
      </c>
      <c r="C2191" s="6" t="str">
        <f t="shared" si="140"/>
        <v>0206</v>
      </c>
      <c r="D2191" s="6" t="s">
        <v>26</v>
      </c>
      <c r="E2191" s="6" t="str">
        <f>"陈金丹"</f>
        <v>陈金丹</v>
      </c>
      <c r="F2191" s="6" t="str">
        <f t="shared" si="142"/>
        <v>女</v>
      </c>
    </row>
    <row r="2192" spans="1:6" ht="30" customHeight="1">
      <c r="A2192" s="6">
        <v>2190</v>
      </c>
      <c r="B2192" s="6" t="str">
        <f>"53002023052913211892161"</f>
        <v>53002023052913211892161</v>
      </c>
      <c r="C2192" s="6" t="str">
        <f t="shared" si="140"/>
        <v>0206</v>
      </c>
      <c r="D2192" s="6" t="s">
        <v>26</v>
      </c>
      <c r="E2192" s="6" t="str">
        <f>"王芳"</f>
        <v>王芳</v>
      </c>
      <c r="F2192" s="6" t="str">
        <f t="shared" si="142"/>
        <v>女</v>
      </c>
    </row>
    <row r="2193" spans="1:6" ht="30" customHeight="1">
      <c r="A2193" s="6">
        <v>2191</v>
      </c>
      <c r="B2193" s="6" t="str">
        <f>"53002023052818514588404"</f>
        <v>53002023052818514588404</v>
      </c>
      <c r="C2193" s="6" t="str">
        <f t="shared" si="140"/>
        <v>0206</v>
      </c>
      <c r="D2193" s="6" t="s">
        <v>26</v>
      </c>
      <c r="E2193" s="6" t="str">
        <f>"王玉"</f>
        <v>王玉</v>
      </c>
      <c r="F2193" s="6" t="str">
        <f t="shared" si="142"/>
        <v>女</v>
      </c>
    </row>
    <row r="2194" spans="1:6" ht="30" customHeight="1">
      <c r="A2194" s="6">
        <v>2192</v>
      </c>
      <c r="B2194" s="6" t="str">
        <f>"53002023052915303792879"</f>
        <v>53002023052915303792879</v>
      </c>
      <c r="C2194" s="6" t="str">
        <f t="shared" si="140"/>
        <v>0206</v>
      </c>
      <c r="D2194" s="6" t="s">
        <v>26</v>
      </c>
      <c r="E2194" s="6" t="str">
        <f>"何海来"</f>
        <v>何海来</v>
      </c>
      <c r="F2194" s="6" t="str">
        <f t="shared" si="142"/>
        <v>女</v>
      </c>
    </row>
    <row r="2195" spans="1:6" ht="30" customHeight="1">
      <c r="A2195" s="6">
        <v>2193</v>
      </c>
      <c r="B2195" s="6" t="str">
        <f>"53002023052911010591131"</f>
        <v>53002023052911010591131</v>
      </c>
      <c r="C2195" s="6" t="str">
        <f t="shared" si="140"/>
        <v>0206</v>
      </c>
      <c r="D2195" s="6" t="s">
        <v>26</v>
      </c>
      <c r="E2195" s="6" t="str">
        <f>"石秀慧"</f>
        <v>石秀慧</v>
      </c>
      <c r="F2195" s="6" t="str">
        <f t="shared" si="142"/>
        <v>女</v>
      </c>
    </row>
    <row r="2196" spans="1:6" ht="30" customHeight="1">
      <c r="A2196" s="6">
        <v>2194</v>
      </c>
      <c r="B2196" s="6" t="str">
        <f>"53002023052911123991239"</f>
        <v>53002023052911123991239</v>
      </c>
      <c r="C2196" s="6" t="str">
        <f t="shared" si="140"/>
        <v>0206</v>
      </c>
      <c r="D2196" s="6" t="s">
        <v>26</v>
      </c>
      <c r="E2196" s="6" t="str">
        <f>"李华姑"</f>
        <v>李华姑</v>
      </c>
      <c r="F2196" s="6" t="str">
        <f t="shared" si="142"/>
        <v>女</v>
      </c>
    </row>
    <row r="2197" spans="1:6" ht="30" customHeight="1">
      <c r="A2197" s="6">
        <v>2195</v>
      </c>
      <c r="B2197" s="6" t="str">
        <f>"53002023052917023393581"</f>
        <v>53002023052917023393581</v>
      </c>
      <c r="C2197" s="6" t="str">
        <f t="shared" si="140"/>
        <v>0206</v>
      </c>
      <c r="D2197" s="6" t="s">
        <v>26</v>
      </c>
      <c r="E2197" s="6" t="str">
        <f>"王芷萱"</f>
        <v>王芷萱</v>
      </c>
      <c r="F2197" s="6" t="str">
        <f t="shared" si="142"/>
        <v>女</v>
      </c>
    </row>
    <row r="2198" spans="1:6" ht="30" customHeight="1">
      <c r="A2198" s="6">
        <v>2196</v>
      </c>
      <c r="B2198" s="6" t="str">
        <f>"53002023052917131593649"</f>
        <v>53002023052917131593649</v>
      </c>
      <c r="C2198" s="6" t="str">
        <f t="shared" si="140"/>
        <v>0206</v>
      </c>
      <c r="D2198" s="6" t="s">
        <v>26</v>
      </c>
      <c r="E2198" s="6" t="str">
        <f>"陈明爱"</f>
        <v>陈明爱</v>
      </c>
      <c r="F2198" s="6" t="str">
        <f t="shared" si="142"/>
        <v>女</v>
      </c>
    </row>
    <row r="2199" spans="1:6" ht="30" customHeight="1">
      <c r="A2199" s="6">
        <v>2197</v>
      </c>
      <c r="B2199" s="6" t="str">
        <f>"53002023052812350987317"</f>
        <v>53002023052812350987317</v>
      </c>
      <c r="C2199" s="6" t="str">
        <f t="shared" si="140"/>
        <v>0206</v>
      </c>
      <c r="D2199" s="6" t="s">
        <v>26</v>
      </c>
      <c r="E2199" s="6" t="str">
        <f>"梁春兰"</f>
        <v>梁春兰</v>
      </c>
      <c r="F2199" s="6" t="str">
        <f t="shared" si="142"/>
        <v>女</v>
      </c>
    </row>
    <row r="2200" spans="1:6" ht="30" customHeight="1">
      <c r="A2200" s="6">
        <v>2198</v>
      </c>
      <c r="B2200" s="6" t="str">
        <f>"53002023052909544590375"</f>
        <v>53002023052909544590375</v>
      </c>
      <c r="C2200" s="6" t="str">
        <f t="shared" si="140"/>
        <v>0206</v>
      </c>
      <c r="D2200" s="6" t="s">
        <v>26</v>
      </c>
      <c r="E2200" s="6" t="str">
        <f>"曾露"</f>
        <v>曾露</v>
      </c>
      <c r="F2200" s="6" t="str">
        <f t="shared" si="142"/>
        <v>女</v>
      </c>
    </row>
    <row r="2201" spans="1:6" ht="30" customHeight="1">
      <c r="A2201" s="6">
        <v>2199</v>
      </c>
      <c r="B2201" s="6" t="str">
        <f>"53002023052917083593619"</f>
        <v>53002023052917083593619</v>
      </c>
      <c r="C2201" s="6" t="str">
        <f t="shared" si="140"/>
        <v>0206</v>
      </c>
      <c r="D2201" s="6" t="s">
        <v>26</v>
      </c>
      <c r="E2201" s="6" t="str">
        <f>"包莹莹"</f>
        <v>包莹莹</v>
      </c>
      <c r="F2201" s="6" t="str">
        <f t="shared" si="142"/>
        <v>女</v>
      </c>
    </row>
    <row r="2202" spans="1:6" ht="30" customHeight="1">
      <c r="A2202" s="6">
        <v>2200</v>
      </c>
      <c r="B2202" s="6" t="str">
        <f>"53002023052918224293991"</f>
        <v>53002023052918224293991</v>
      </c>
      <c r="C2202" s="6" t="str">
        <f t="shared" si="140"/>
        <v>0206</v>
      </c>
      <c r="D2202" s="6" t="s">
        <v>26</v>
      </c>
      <c r="E2202" s="6" t="str">
        <f>"黎秋霞"</f>
        <v>黎秋霞</v>
      </c>
      <c r="F2202" s="6" t="str">
        <f t="shared" si="142"/>
        <v>女</v>
      </c>
    </row>
    <row r="2203" spans="1:6" ht="30" customHeight="1">
      <c r="A2203" s="6">
        <v>2201</v>
      </c>
      <c r="B2203" s="6" t="str">
        <f>"53002023052919211794233"</f>
        <v>53002023052919211794233</v>
      </c>
      <c r="C2203" s="6" t="str">
        <f t="shared" si="140"/>
        <v>0206</v>
      </c>
      <c r="D2203" s="6" t="s">
        <v>26</v>
      </c>
      <c r="E2203" s="6" t="str">
        <f>"陈少曼"</f>
        <v>陈少曼</v>
      </c>
      <c r="F2203" s="6" t="str">
        <f t="shared" si="142"/>
        <v>女</v>
      </c>
    </row>
    <row r="2204" spans="1:6" ht="30" customHeight="1">
      <c r="A2204" s="6">
        <v>2202</v>
      </c>
      <c r="B2204" s="6" t="str">
        <f>"53002023052919451294335"</f>
        <v>53002023052919451294335</v>
      </c>
      <c r="C2204" s="6" t="str">
        <f t="shared" si="140"/>
        <v>0206</v>
      </c>
      <c r="D2204" s="6" t="s">
        <v>26</v>
      </c>
      <c r="E2204" s="6" t="str">
        <f>"曾麟"</f>
        <v>曾麟</v>
      </c>
      <c r="F2204" s="6" t="str">
        <f>"男"</f>
        <v>男</v>
      </c>
    </row>
    <row r="2205" spans="1:6" ht="30" customHeight="1">
      <c r="A2205" s="6">
        <v>2203</v>
      </c>
      <c r="B2205" s="6" t="str">
        <f>"53002023052918324294032"</f>
        <v>53002023052918324294032</v>
      </c>
      <c r="C2205" s="6" t="str">
        <f t="shared" si="140"/>
        <v>0206</v>
      </c>
      <c r="D2205" s="6" t="s">
        <v>26</v>
      </c>
      <c r="E2205" s="6" t="str">
        <f>"吴丽玲"</f>
        <v>吴丽玲</v>
      </c>
      <c r="F2205" s="6" t="str">
        <f aca="true" t="shared" si="143" ref="F2205:F2214">"女"</f>
        <v>女</v>
      </c>
    </row>
    <row r="2206" spans="1:6" ht="30" customHeight="1">
      <c r="A2206" s="6">
        <v>2204</v>
      </c>
      <c r="B2206" s="6" t="str">
        <f>"53002023052919145694198"</f>
        <v>53002023052919145694198</v>
      </c>
      <c r="C2206" s="6" t="str">
        <f t="shared" si="140"/>
        <v>0206</v>
      </c>
      <c r="D2206" s="6" t="s">
        <v>26</v>
      </c>
      <c r="E2206" s="6" t="str">
        <f>"陈菊"</f>
        <v>陈菊</v>
      </c>
      <c r="F2206" s="6" t="str">
        <f t="shared" si="143"/>
        <v>女</v>
      </c>
    </row>
    <row r="2207" spans="1:6" ht="30" customHeight="1">
      <c r="A2207" s="6">
        <v>2205</v>
      </c>
      <c r="B2207" s="6" t="str">
        <f>"53002023052920222894508"</f>
        <v>53002023052920222894508</v>
      </c>
      <c r="C2207" s="6" t="str">
        <f aca="true" t="shared" si="144" ref="C2207:C2268">"0206"</f>
        <v>0206</v>
      </c>
      <c r="D2207" s="6" t="s">
        <v>26</v>
      </c>
      <c r="E2207" s="6" t="str">
        <f>"符翠向"</f>
        <v>符翠向</v>
      </c>
      <c r="F2207" s="6" t="str">
        <f t="shared" si="143"/>
        <v>女</v>
      </c>
    </row>
    <row r="2208" spans="1:6" ht="30" customHeight="1">
      <c r="A2208" s="6">
        <v>2206</v>
      </c>
      <c r="B2208" s="6" t="str">
        <f>"53002023052912483891946"</f>
        <v>53002023052912483891946</v>
      </c>
      <c r="C2208" s="6" t="str">
        <f t="shared" si="144"/>
        <v>0206</v>
      </c>
      <c r="D2208" s="6" t="s">
        <v>26</v>
      </c>
      <c r="E2208" s="6" t="str">
        <f>"罗丹"</f>
        <v>罗丹</v>
      </c>
      <c r="F2208" s="6" t="str">
        <f t="shared" si="143"/>
        <v>女</v>
      </c>
    </row>
    <row r="2209" spans="1:6" ht="30" customHeight="1">
      <c r="A2209" s="6">
        <v>2207</v>
      </c>
      <c r="B2209" s="6" t="str">
        <f>"53002023052921171494814"</f>
        <v>53002023052921171494814</v>
      </c>
      <c r="C2209" s="6" t="str">
        <f t="shared" si="144"/>
        <v>0206</v>
      </c>
      <c r="D2209" s="6" t="s">
        <v>26</v>
      </c>
      <c r="E2209" s="6" t="str">
        <f>"黄玉"</f>
        <v>黄玉</v>
      </c>
      <c r="F2209" s="6" t="str">
        <f t="shared" si="143"/>
        <v>女</v>
      </c>
    </row>
    <row r="2210" spans="1:6" ht="30" customHeight="1">
      <c r="A2210" s="6">
        <v>2208</v>
      </c>
      <c r="B2210" s="6" t="str">
        <f>"53002023052921103394775"</f>
        <v>53002023052921103394775</v>
      </c>
      <c r="C2210" s="6" t="str">
        <f t="shared" si="144"/>
        <v>0206</v>
      </c>
      <c r="D2210" s="6" t="s">
        <v>26</v>
      </c>
      <c r="E2210" s="6" t="str">
        <f>"吴亚琴"</f>
        <v>吴亚琴</v>
      </c>
      <c r="F2210" s="6" t="str">
        <f t="shared" si="143"/>
        <v>女</v>
      </c>
    </row>
    <row r="2211" spans="1:6" ht="30" customHeight="1">
      <c r="A2211" s="6">
        <v>2209</v>
      </c>
      <c r="B2211" s="6" t="str">
        <f>"53002023052921110594780"</f>
        <v>53002023052921110594780</v>
      </c>
      <c r="C2211" s="6" t="str">
        <f t="shared" si="144"/>
        <v>0206</v>
      </c>
      <c r="D2211" s="6" t="s">
        <v>26</v>
      </c>
      <c r="E2211" s="6" t="str">
        <f>"胡威威"</f>
        <v>胡威威</v>
      </c>
      <c r="F2211" s="6" t="str">
        <f t="shared" si="143"/>
        <v>女</v>
      </c>
    </row>
    <row r="2212" spans="1:6" ht="30" customHeight="1">
      <c r="A2212" s="6">
        <v>2210</v>
      </c>
      <c r="B2212" s="6" t="str">
        <f>"53002023052922352795273"</f>
        <v>53002023052922352795273</v>
      </c>
      <c r="C2212" s="6" t="str">
        <f t="shared" si="144"/>
        <v>0206</v>
      </c>
      <c r="D2212" s="6" t="s">
        <v>26</v>
      </c>
      <c r="E2212" s="6" t="str">
        <f>"朱奕烹"</f>
        <v>朱奕烹</v>
      </c>
      <c r="F2212" s="6" t="str">
        <f t="shared" si="143"/>
        <v>女</v>
      </c>
    </row>
    <row r="2213" spans="1:6" ht="30" customHeight="1">
      <c r="A2213" s="6">
        <v>2211</v>
      </c>
      <c r="B2213" s="6" t="str">
        <f>"53002023052923141195477"</f>
        <v>53002023052923141195477</v>
      </c>
      <c r="C2213" s="6" t="str">
        <f t="shared" si="144"/>
        <v>0206</v>
      </c>
      <c r="D2213" s="6" t="s">
        <v>26</v>
      </c>
      <c r="E2213" s="6" t="str">
        <f>"张惠曼"</f>
        <v>张惠曼</v>
      </c>
      <c r="F2213" s="6" t="str">
        <f t="shared" si="143"/>
        <v>女</v>
      </c>
    </row>
    <row r="2214" spans="1:6" ht="30" customHeight="1">
      <c r="A2214" s="6">
        <v>2212</v>
      </c>
      <c r="B2214" s="6" t="str">
        <f>"53002023053007371695784"</f>
        <v>53002023053007371695784</v>
      </c>
      <c r="C2214" s="6" t="str">
        <f t="shared" si="144"/>
        <v>0206</v>
      </c>
      <c r="D2214" s="6" t="s">
        <v>26</v>
      </c>
      <c r="E2214" s="6" t="str">
        <f>"周彩今"</f>
        <v>周彩今</v>
      </c>
      <c r="F2214" s="6" t="str">
        <f t="shared" si="143"/>
        <v>女</v>
      </c>
    </row>
    <row r="2215" spans="1:6" ht="30" customHeight="1">
      <c r="A2215" s="6">
        <v>2213</v>
      </c>
      <c r="B2215" s="6" t="str">
        <f>"53002023052916345293392"</f>
        <v>53002023052916345293392</v>
      </c>
      <c r="C2215" s="6" t="str">
        <f t="shared" si="144"/>
        <v>0206</v>
      </c>
      <c r="D2215" s="6" t="s">
        <v>26</v>
      </c>
      <c r="E2215" s="6" t="str">
        <f>"吴承忠"</f>
        <v>吴承忠</v>
      </c>
      <c r="F2215" s="6" t="str">
        <f>"男"</f>
        <v>男</v>
      </c>
    </row>
    <row r="2216" spans="1:6" ht="30" customHeight="1">
      <c r="A2216" s="6">
        <v>2214</v>
      </c>
      <c r="B2216" s="6" t="str">
        <f>"53002023053008473095930"</f>
        <v>53002023053008473095930</v>
      </c>
      <c r="C2216" s="6" t="str">
        <f t="shared" si="144"/>
        <v>0206</v>
      </c>
      <c r="D2216" s="6" t="s">
        <v>26</v>
      </c>
      <c r="E2216" s="6" t="str">
        <f>"邢高高"</f>
        <v>邢高高</v>
      </c>
      <c r="F2216" s="6" t="str">
        <f>"男"</f>
        <v>男</v>
      </c>
    </row>
    <row r="2217" spans="1:6" ht="30" customHeight="1">
      <c r="A2217" s="6">
        <v>2215</v>
      </c>
      <c r="B2217" s="6" t="str">
        <f>"53002023053009073196043"</f>
        <v>53002023053009073196043</v>
      </c>
      <c r="C2217" s="6" t="str">
        <f t="shared" si="144"/>
        <v>0206</v>
      </c>
      <c r="D2217" s="6" t="s">
        <v>26</v>
      </c>
      <c r="E2217" s="6" t="str">
        <f>"王玉珠"</f>
        <v>王玉珠</v>
      </c>
      <c r="F2217" s="6" t="str">
        <f aca="true" t="shared" si="145" ref="F2217:F2234">"女"</f>
        <v>女</v>
      </c>
    </row>
    <row r="2218" spans="1:6" ht="30" customHeight="1">
      <c r="A2218" s="6">
        <v>2216</v>
      </c>
      <c r="B2218" s="6" t="str">
        <f>"53002023053009004995980"</f>
        <v>53002023053009004995980</v>
      </c>
      <c r="C2218" s="6" t="str">
        <f t="shared" si="144"/>
        <v>0206</v>
      </c>
      <c r="D2218" s="6" t="s">
        <v>26</v>
      </c>
      <c r="E2218" s="6" t="str">
        <f>"羊昆妮"</f>
        <v>羊昆妮</v>
      </c>
      <c r="F2218" s="6" t="str">
        <f t="shared" si="145"/>
        <v>女</v>
      </c>
    </row>
    <row r="2219" spans="1:6" ht="30" customHeight="1">
      <c r="A2219" s="6">
        <v>2217</v>
      </c>
      <c r="B2219" s="6" t="str">
        <f>"53002023053009255896197"</f>
        <v>53002023053009255896197</v>
      </c>
      <c r="C2219" s="6" t="str">
        <f t="shared" si="144"/>
        <v>0206</v>
      </c>
      <c r="D2219" s="6" t="s">
        <v>26</v>
      </c>
      <c r="E2219" s="6" t="str">
        <f>"陈银"</f>
        <v>陈银</v>
      </c>
      <c r="F2219" s="6" t="str">
        <f t="shared" si="145"/>
        <v>女</v>
      </c>
    </row>
    <row r="2220" spans="1:6" ht="30" customHeight="1">
      <c r="A2220" s="6">
        <v>2218</v>
      </c>
      <c r="B2220" s="6" t="str">
        <f>"53002023053009393796295"</f>
        <v>53002023053009393796295</v>
      </c>
      <c r="C2220" s="6" t="str">
        <f t="shared" si="144"/>
        <v>0206</v>
      </c>
      <c r="D2220" s="6" t="s">
        <v>26</v>
      </c>
      <c r="E2220" s="6" t="str">
        <f>"王小美"</f>
        <v>王小美</v>
      </c>
      <c r="F2220" s="6" t="str">
        <f t="shared" si="145"/>
        <v>女</v>
      </c>
    </row>
    <row r="2221" spans="1:6" ht="30" customHeight="1">
      <c r="A2221" s="6">
        <v>2219</v>
      </c>
      <c r="B2221" s="6" t="str">
        <f>"53002023052919455694337"</f>
        <v>53002023052919455694337</v>
      </c>
      <c r="C2221" s="6" t="str">
        <f t="shared" si="144"/>
        <v>0206</v>
      </c>
      <c r="D2221" s="6" t="s">
        <v>26</v>
      </c>
      <c r="E2221" s="6" t="str">
        <f>"谢爱女"</f>
        <v>谢爱女</v>
      </c>
      <c r="F2221" s="6" t="str">
        <f t="shared" si="145"/>
        <v>女</v>
      </c>
    </row>
    <row r="2222" spans="1:6" ht="30" customHeight="1">
      <c r="A2222" s="6">
        <v>2220</v>
      </c>
      <c r="B2222" s="6" t="str">
        <f>"53002023052903331589404"</f>
        <v>53002023052903331589404</v>
      </c>
      <c r="C2222" s="6" t="str">
        <f t="shared" si="144"/>
        <v>0206</v>
      </c>
      <c r="D2222" s="6" t="s">
        <v>26</v>
      </c>
      <c r="E2222" s="6" t="str">
        <f>"林石妹"</f>
        <v>林石妹</v>
      </c>
      <c r="F2222" s="6" t="str">
        <f t="shared" si="145"/>
        <v>女</v>
      </c>
    </row>
    <row r="2223" spans="1:6" ht="30" customHeight="1">
      <c r="A2223" s="6">
        <v>2221</v>
      </c>
      <c r="B2223" s="6" t="str">
        <f>"53002023053009584796446"</f>
        <v>53002023053009584796446</v>
      </c>
      <c r="C2223" s="6" t="str">
        <f t="shared" si="144"/>
        <v>0206</v>
      </c>
      <c r="D2223" s="6" t="s">
        <v>26</v>
      </c>
      <c r="E2223" s="6" t="str">
        <f>"朱巽凤"</f>
        <v>朱巽凤</v>
      </c>
      <c r="F2223" s="6" t="str">
        <f t="shared" si="145"/>
        <v>女</v>
      </c>
    </row>
    <row r="2224" spans="1:6" ht="30" customHeight="1">
      <c r="A2224" s="6">
        <v>2222</v>
      </c>
      <c r="B2224" s="6" t="str">
        <f>"53002023053010382696764"</f>
        <v>53002023053010382696764</v>
      </c>
      <c r="C2224" s="6" t="str">
        <f t="shared" si="144"/>
        <v>0206</v>
      </c>
      <c r="D2224" s="6" t="s">
        <v>26</v>
      </c>
      <c r="E2224" s="6" t="str">
        <f>"羊英荣"</f>
        <v>羊英荣</v>
      </c>
      <c r="F2224" s="6" t="str">
        <f t="shared" si="145"/>
        <v>女</v>
      </c>
    </row>
    <row r="2225" spans="1:6" ht="30" customHeight="1">
      <c r="A2225" s="6">
        <v>2223</v>
      </c>
      <c r="B2225" s="6" t="str">
        <f>"53002023053011073697016"</f>
        <v>53002023053011073697016</v>
      </c>
      <c r="C2225" s="6" t="str">
        <f t="shared" si="144"/>
        <v>0206</v>
      </c>
      <c r="D2225" s="6" t="s">
        <v>26</v>
      </c>
      <c r="E2225" s="6" t="str">
        <f>"符玉芬"</f>
        <v>符玉芬</v>
      </c>
      <c r="F2225" s="6" t="str">
        <f t="shared" si="145"/>
        <v>女</v>
      </c>
    </row>
    <row r="2226" spans="1:6" ht="30" customHeight="1">
      <c r="A2226" s="6">
        <v>2224</v>
      </c>
      <c r="B2226" s="6" t="str">
        <f>"53002023053012290497546"</f>
        <v>53002023053012290497546</v>
      </c>
      <c r="C2226" s="6" t="str">
        <f t="shared" si="144"/>
        <v>0206</v>
      </c>
      <c r="D2226" s="6" t="s">
        <v>26</v>
      </c>
      <c r="E2226" s="6" t="str">
        <f>"吉春列"</f>
        <v>吉春列</v>
      </c>
      <c r="F2226" s="6" t="str">
        <f t="shared" si="145"/>
        <v>女</v>
      </c>
    </row>
    <row r="2227" spans="1:6" ht="30" customHeight="1">
      <c r="A2227" s="6">
        <v>2225</v>
      </c>
      <c r="B2227" s="6" t="str">
        <f>"53002023053014473198209"</f>
        <v>53002023053014473198209</v>
      </c>
      <c r="C2227" s="6" t="str">
        <f t="shared" si="144"/>
        <v>0206</v>
      </c>
      <c r="D2227" s="6" t="s">
        <v>26</v>
      </c>
      <c r="E2227" s="6" t="str">
        <f>"李雅慧"</f>
        <v>李雅慧</v>
      </c>
      <c r="F2227" s="6" t="str">
        <f t="shared" si="145"/>
        <v>女</v>
      </c>
    </row>
    <row r="2228" spans="1:6" ht="30" customHeight="1">
      <c r="A2228" s="6">
        <v>2226</v>
      </c>
      <c r="B2228" s="6" t="str">
        <f>"53002023053000215195667"</f>
        <v>53002023053000215195667</v>
      </c>
      <c r="C2228" s="6" t="str">
        <f t="shared" si="144"/>
        <v>0206</v>
      </c>
      <c r="D2228" s="6" t="s">
        <v>26</v>
      </c>
      <c r="E2228" s="6" t="str">
        <f>"林发坤"</f>
        <v>林发坤</v>
      </c>
      <c r="F2228" s="6" t="str">
        <f t="shared" si="145"/>
        <v>女</v>
      </c>
    </row>
    <row r="2229" spans="1:6" ht="30" customHeight="1">
      <c r="A2229" s="6">
        <v>2227</v>
      </c>
      <c r="B2229" s="6" t="str">
        <f>"53002023053015422598568"</f>
        <v>53002023053015422598568</v>
      </c>
      <c r="C2229" s="6" t="str">
        <f t="shared" si="144"/>
        <v>0206</v>
      </c>
      <c r="D2229" s="6" t="s">
        <v>26</v>
      </c>
      <c r="E2229" s="6" t="str">
        <f>"曾芬"</f>
        <v>曾芬</v>
      </c>
      <c r="F2229" s="6" t="str">
        <f t="shared" si="145"/>
        <v>女</v>
      </c>
    </row>
    <row r="2230" spans="1:6" ht="30" customHeight="1">
      <c r="A2230" s="6">
        <v>2228</v>
      </c>
      <c r="B2230" s="6" t="str">
        <f>"53002023053015412998560"</f>
        <v>53002023053015412998560</v>
      </c>
      <c r="C2230" s="6" t="str">
        <f t="shared" si="144"/>
        <v>0206</v>
      </c>
      <c r="D2230" s="6" t="s">
        <v>26</v>
      </c>
      <c r="E2230" s="6" t="str">
        <f>"何天晶"</f>
        <v>何天晶</v>
      </c>
      <c r="F2230" s="6" t="str">
        <f t="shared" si="145"/>
        <v>女</v>
      </c>
    </row>
    <row r="2231" spans="1:6" ht="30" customHeight="1">
      <c r="A2231" s="6">
        <v>2229</v>
      </c>
      <c r="B2231" s="6" t="str">
        <f>"53002023053015041098306"</f>
        <v>53002023053015041098306</v>
      </c>
      <c r="C2231" s="6" t="str">
        <f t="shared" si="144"/>
        <v>0206</v>
      </c>
      <c r="D2231" s="6" t="s">
        <v>26</v>
      </c>
      <c r="E2231" s="6" t="str">
        <f>"杜思思"</f>
        <v>杜思思</v>
      </c>
      <c r="F2231" s="6" t="str">
        <f t="shared" si="145"/>
        <v>女</v>
      </c>
    </row>
    <row r="2232" spans="1:6" ht="30" customHeight="1">
      <c r="A2232" s="6">
        <v>2230</v>
      </c>
      <c r="B2232" s="6" t="str">
        <f>"53002023053016095198737"</f>
        <v>53002023053016095198737</v>
      </c>
      <c r="C2232" s="6" t="str">
        <f t="shared" si="144"/>
        <v>0206</v>
      </c>
      <c r="D2232" s="6" t="s">
        <v>26</v>
      </c>
      <c r="E2232" s="6" t="str">
        <f>"符小娜"</f>
        <v>符小娜</v>
      </c>
      <c r="F2232" s="6" t="str">
        <f t="shared" si="145"/>
        <v>女</v>
      </c>
    </row>
    <row r="2233" spans="1:6" ht="30" customHeight="1">
      <c r="A2233" s="6">
        <v>2231</v>
      </c>
      <c r="B2233" s="6" t="str">
        <f>"53002023053016390898926"</f>
        <v>53002023053016390898926</v>
      </c>
      <c r="C2233" s="6" t="str">
        <f t="shared" si="144"/>
        <v>0206</v>
      </c>
      <c r="D2233" s="6" t="s">
        <v>26</v>
      </c>
      <c r="E2233" s="6" t="str">
        <f>"蒲子佳"</f>
        <v>蒲子佳</v>
      </c>
      <c r="F2233" s="6" t="str">
        <f t="shared" si="145"/>
        <v>女</v>
      </c>
    </row>
    <row r="2234" spans="1:6" ht="30" customHeight="1">
      <c r="A2234" s="6">
        <v>2232</v>
      </c>
      <c r="B2234" s="6" t="str">
        <f>"53002023052716342985333"</f>
        <v>53002023052716342985333</v>
      </c>
      <c r="C2234" s="6" t="str">
        <f t="shared" si="144"/>
        <v>0206</v>
      </c>
      <c r="D2234" s="6" t="s">
        <v>26</v>
      </c>
      <c r="E2234" s="6" t="str">
        <f>"吴姨美"</f>
        <v>吴姨美</v>
      </c>
      <c r="F2234" s="6" t="str">
        <f t="shared" si="145"/>
        <v>女</v>
      </c>
    </row>
    <row r="2235" spans="1:6" ht="30" customHeight="1">
      <c r="A2235" s="6">
        <v>2233</v>
      </c>
      <c r="B2235" s="6" t="str">
        <f>"53002023052823173189244"</f>
        <v>53002023052823173189244</v>
      </c>
      <c r="C2235" s="6" t="str">
        <f t="shared" si="144"/>
        <v>0206</v>
      </c>
      <c r="D2235" s="6" t="s">
        <v>26</v>
      </c>
      <c r="E2235" s="6" t="str">
        <f>"钟学帆"</f>
        <v>钟学帆</v>
      </c>
      <c r="F2235" s="6" t="str">
        <f>"男"</f>
        <v>男</v>
      </c>
    </row>
    <row r="2236" spans="1:6" ht="30" customHeight="1">
      <c r="A2236" s="6">
        <v>2234</v>
      </c>
      <c r="B2236" s="6" t="str">
        <f>"53002023053017213099184"</f>
        <v>53002023053017213099184</v>
      </c>
      <c r="C2236" s="6" t="str">
        <f t="shared" si="144"/>
        <v>0206</v>
      </c>
      <c r="D2236" s="6" t="s">
        <v>26</v>
      </c>
      <c r="E2236" s="6" t="str">
        <f>"苏丽"</f>
        <v>苏丽</v>
      </c>
      <c r="F2236" s="6" t="str">
        <f aca="true" t="shared" si="146" ref="F2236:F2257">"女"</f>
        <v>女</v>
      </c>
    </row>
    <row r="2237" spans="1:6" ht="30" customHeight="1">
      <c r="A2237" s="6">
        <v>2235</v>
      </c>
      <c r="B2237" s="6" t="str">
        <f>"53002023052911111291229"</f>
        <v>53002023052911111291229</v>
      </c>
      <c r="C2237" s="6" t="str">
        <f t="shared" si="144"/>
        <v>0206</v>
      </c>
      <c r="D2237" s="6" t="s">
        <v>26</v>
      </c>
      <c r="E2237" s="6" t="str">
        <f>"梁银"</f>
        <v>梁银</v>
      </c>
      <c r="F2237" s="6" t="str">
        <f t="shared" si="146"/>
        <v>女</v>
      </c>
    </row>
    <row r="2238" spans="1:6" ht="30" customHeight="1">
      <c r="A2238" s="6">
        <v>2236</v>
      </c>
      <c r="B2238" s="6" t="str">
        <f>"53002023053016124798759"</f>
        <v>53002023053016124798759</v>
      </c>
      <c r="C2238" s="6" t="str">
        <f t="shared" si="144"/>
        <v>0206</v>
      </c>
      <c r="D2238" s="6" t="s">
        <v>26</v>
      </c>
      <c r="E2238" s="6" t="str">
        <f>"吴莹莹"</f>
        <v>吴莹莹</v>
      </c>
      <c r="F2238" s="6" t="str">
        <f t="shared" si="146"/>
        <v>女</v>
      </c>
    </row>
    <row r="2239" spans="1:6" ht="30" customHeight="1">
      <c r="A2239" s="6">
        <v>2237</v>
      </c>
      <c r="B2239" s="6" t="str">
        <f>"53002023052711030084183"</f>
        <v>53002023052711030084183</v>
      </c>
      <c r="C2239" s="6" t="str">
        <f t="shared" si="144"/>
        <v>0206</v>
      </c>
      <c r="D2239" s="6" t="s">
        <v>26</v>
      </c>
      <c r="E2239" s="6" t="str">
        <f>"周慧"</f>
        <v>周慧</v>
      </c>
      <c r="F2239" s="6" t="str">
        <f t="shared" si="146"/>
        <v>女</v>
      </c>
    </row>
    <row r="2240" spans="1:6" ht="30" customHeight="1">
      <c r="A2240" s="6">
        <v>2238</v>
      </c>
      <c r="B2240" s="6" t="str">
        <f>"53002023053017292499234"</f>
        <v>53002023053017292499234</v>
      </c>
      <c r="C2240" s="6" t="str">
        <f t="shared" si="144"/>
        <v>0206</v>
      </c>
      <c r="D2240" s="6" t="s">
        <v>26</v>
      </c>
      <c r="E2240" s="6" t="str">
        <f>"李珏桦"</f>
        <v>李珏桦</v>
      </c>
      <c r="F2240" s="6" t="str">
        <f t="shared" si="146"/>
        <v>女</v>
      </c>
    </row>
    <row r="2241" spans="1:6" ht="30" customHeight="1">
      <c r="A2241" s="6">
        <v>2239</v>
      </c>
      <c r="B2241" s="6" t="str">
        <f>"53002023052711235984281"</f>
        <v>53002023052711235984281</v>
      </c>
      <c r="C2241" s="6" t="str">
        <f t="shared" si="144"/>
        <v>0206</v>
      </c>
      <c r="D2241" s="6" t="s">
        <v>26</v>
      </c>
      <c r="E2241" s="6" t="str">
        <f>"邱紫欣"</f>
        <v>邱紫欣</v>
      </c>
      <c r="F2241" s="6" t="str">
        <f t="shared" si="146"/>
        <v>女</v>
      </c>
    </row>
    <row r="2242" spans="1:6" ht="30" customHeight="1">
      <c r="A2242" s="6">
        <v>2240</v>
      </c>
      <c r="B2242" s="6" t="str">
        <f>"53002023053020034299900"</f>
        <v>53002023053020034299900</v>
      </c>
      <c r="C2242" s="6" t="str">
        <f t="shared" si="144"/>
        <v>0206</v>
      </c>
      <c r="D2242" s="6" t="s">
        <v>26</v>
      </c>
      <c r="E2242" s="6" t="str">
        <f>"吉才红"</f>
        <v>吉才红</v>
      </c>
      <c r="F2242" s="6" t="str">
        <f t="shared" si="146"/>
        <v>女</v>
      </c>
    </row>
    <row r="2243" spans="1:6" ht="30" customHeight="1">
      <c r="A2243" s="6">
        <v>2241</v>
      </c>
      <c r="B2243" s="6" t="str">
        <f>"53002023053019585799873"</f>
        <v>53002023053019585799873</v>
      </c>
      <c r="C2243" s="6" t="str">
        <f t="shared" si="144"/>
        <v>0206</v>
      </c>
      <c r="D2243" s="6" t="s">
        <v>26</v>
      </c>
      <c r="E2243" s="6" t="str">
        <f>"周艳"</f>
        <v>周艳</v>
      </c>
      <c r="F2243" s="6" t="str">
        <f t="shared" si="146"/>
        <v>女</v>
      </c>
    </row>
    <row r="2244" spans="1:6" ht="30" customHeight="1">
      <c r="A2244" s="6">
        <v>2242</v>
      </c>
      <c r="B2244" s="6" t="str">
        <f>"53002023053008121495827"</f>
        <v>53002023053008121495827</v>
      </c>
      <c r="C2244" s="6" t="str">
        <f t="shared" si="144"/>
        <v>0206</v>
      </c>
      <c r="D2244" s="6" t="s">
        <v>26</v>
      </c>
      <c r="E2244" s="6" t="str">
        <f>"高朝玲"</f>
        <v>高朝玲</v>
      </c>
      <c r="F2244" s="6" t="str">
        <f t="shared" si="146"/>
        <v>女</v>
      </c>
    </row>
    <row r="2245" spans="1:6" ht="30" customHeight="1">
      <c r="A2245" s="6">
        <v>2243</v>
      </c>
      <c r="B2245" s="6" t="str">
        <f>"53002023052812490087357"</f>
        <v>53002023052812490087357</v>
      </c>
      <c r="C2245" s="6" t="str">
        <f t="shared" si="144"/>
        <v>0206</v>
      </c>
      <c r="D2245" s="6" t="s">
        <v>26</v>
      </c>
      <c r="E2245" s="6" t="str">
        <f>"刘萍"</f>
        <v>刘萍</v>
      </c>
      <c r="F2245" s="6" t="str">
        <f t="shared" si="146"/>
        <v>女</v>
      </c>
    </row>
    <row r="2246" spans="1:6" ht="30" customHeight="1">
      <c r="A2246" s="6">
        <v>2244</v>
      </c>
      <c r="B2246" s="6" t="str">
        <f>"530020230530220943100525"</f>
        <v>530020230530220943100525</v>
      </c>
      <c r="C2246" s="6" t="str">
        <f t="shared" si="144"/>
        <v>0206</v>
      </c>
      <c r="D2246" s="6" t="s">
        <v>26</v>
      </c>
      <c r="E2246" s="6" t="str">
        <f>"陈红霞"</f>
        <v>陈红霞</v>
      </c>
      <c r="F2246" s="6" t="str">
        <f t="shared" si="146"/>
        <v>女</v>
      </c>
    </row>
    <row r="2247" spans="1:6" ht="30" customHeight="1">
      <c r="A2247" s="6">
        <v>2245</v>
      </c>
      <c r="B2247" s="6" t="str">
        <f>"53002023053018042799394"</f>
        <v>53002023053018042799394</v>
      </c>
      <c r="C2247" s="6" t="str">
        <f t="shared" si="144"/>
        <v>0206</v>
      </c>
      <c r="D2247" s="6" t="s">
        <v>26</v>
      </c>
      <c r="E2247" s="6" t="str">
        <f>"何蕾"</f>
        <v>何蕾</v>
      </c>
      <c r="F2247" s="6" t="str">
        <f t="shared" si="146"/>
        <v>女</v>
      </c>
    </row>
    <row r="2248" spans="1:6" ht="30" customHeight="1">
      <c r="A2248" s="6">
        <v>2246</v>
      </c>
      <c r="B2248" s="6" t="str">
        <f>"53002023052822545589177"</f>
        <v>53002023052822545589177</v>
      </c>
      <c r="C2248" s="6" t="str">
        <f t="shared" si="144"/>
        <v>0206</v>
      </c>
      <c r="D2248" s="6" t="s">
        <v>26</v>
      </c>
      <c r="E2248" s="6" t="str">
        <f>"王淑娜"</f>
        <v>王淑娜</v>
      </c>
      <c r="F2248" s="6" t="str">
        <f t="shared" si="146"/>
        <v>女</v>
      </c>
    </row>
    <row r="2249" spans="1:6" ht="30" customHeight="1">
      <c r="A2249" s="6">
        <v>2247</v>
      </c>
      <c r="B2249" s="6" t="str">
        <f>"53002023052808333486782"</f>
        <v>53002023052808333486782</v>
      </c>
      <c r="C2249" s="6" t="str">
        <f t="shared" si="144"/>
        <v>0206</v>
      </c>
      <c r="D2249" s="6" t="s">
        <v>26</v>
      </c>
      <c r="E2249" s="6" t="str">
        <f>"朱智美"</f>
        <v>朱智美</v>
      </c>
      <c r="F2249" s="6" t="str">
        <f t="shared" si="146"/>
        <v>女</v>
      </c>
    </row>
    <row r="2250" spans="1:6" ht="30" customHeight="1">
      <c r="A2250" s="6">
        <v>2248</v>
      </c>
      <c r="B2250" s="6" t="str">
        <f>"530020230530230447100778"</f>
        <v>530020230530230447100778</v>
      </c>
      <c r="C2250" s="6" t="str">
        <f t="shared" si="144"/>
        <v>0206</v>
      </c>
      <c r="D2250" s="6" t="s">
        <v>26</v>
      </c>
      <c r="E2250" s="6" t="str">
        <f>"陈惠丽"</f>
        <v>陈惠丽</v>
      </c>
      <c r="F2250" s="6" t="str">
        <f t="shared" si="146"/>
        <v>女</v>
      </c>
    </row>
    <row r="2251" spans="1:6" ht="30" customHeight="1">
      <c r="A2251" s="6">
        <v>2249</v>
      </c>
      <c r="B2251" s="6" t="str">
        <f>"530020230530234908100916"</f>
        <v>530020230530234908100916</v>
      </c>
      <c r="C2251" s="6" t="str">
        <f t="shared" si="144"/>
        <v>0206</v>
      </c>
      <c r="D2251" s="6" t="s">
        <v>26</v>
      </c>
      <c r="E2251" s="6" t="str">
        <f>"孙婧莹"</f>
        <v>孙婧莹</v>
      </c>
      <c r="F2251" s="6" t="str">
        <f t="shared" si="146"/>
        <v>女</v>
      </c>
    </row>
    <row r="2252" spans="1:6" ht="30" customHeight="1">
      <c r="A2252" s="6">
        <v>2250</v>
      </c>
      <c r="B2252" s="6" t="str">
        <f>"530020230531002823100984"</f>
        <v>530020230531002823100984</v>
      </c>
      <c r="C2252" s="6" t="str">
        <f t="shared" si="144"/>
        <v>0206</v>
      </c>
      <c r="D2252" s="6" t="s">
        <v>26</v>
      </c>
      <c r="E2252" s="6" t="str">
        <f>"郑青见"</f>
        <v>郑青见</v>
      </c>
      <c r="F2252" s="6" t="str">
        <f t="shared" si="146"/>
        <v>女</v>
      </c>
    </row>
    <row r="2253" spans="1:6" ht="30" customHeight="1">
      <c r="A2253" s="6">
        <v>2251</v>
      </c>
      <c r="B2253" s="6" t="str">
        <f>"530020230531093956101619"</f>
        <v>530020230531093956101619</v>
      </c>
      <c r="C2253" s="6" t="str">
        <f t="shared" si="144"/>
        <v>0206</v>
      </c>
      <c r="D2253" s="6" t="s">
        <v>26</v>
      </c>
      <c r="E2253" s="6" t="str">
        <f>"吴小英"</f>
        <v>吴小英</v>
      </c>
      <c r="F2253" s="6" t="str">
        <f t="shared" si="146"/>
        <v>女</v>
      </c>
    </row>
    <row r="2254" spans="1:6" ht="30" customHeight="1">
      <c r="A2254" s="6">
        <v>2252</v>
      </c>
      <c r="B2254" s="6" t="str">
        <f>"53002023052909213289998"</f>
        <v>53002023052909213289998</v>
      </c>
      <c r="C2254" s="6" t="str">
        <f t="shared" si="144"/>
        <v>0206</v>
      </c>
      <c r="D2254" s="6" t="s">
        <v>26</v>
      </c>
      <c r="E2254" s="6" t="str">
        <f>"孙丽香"</f>
        <v>孙丽香</v>
      </c>
      <c r="F2254" s="6" t="str">
        <f t="shared" si="146"/>
        <v>女</v>
      </c>
    </row>
    <row r="2255" spans="1:6" ht="30" customHeight="1">
      <c r="A2255" s="6">
        <v>2253</v>
      </c>
      <c r="B2255" s="6" t="str">
        <f>"530020230531093558101586"</f>
        <v>530020230531093558101586</v>
      </c>
      <c r="C2255" s="6" t="str">
        <f t="shared" si="144"/>
        <v>0206</v>
      </c>
      <c r="D2255" s="6" t="s">
        <v>26</v>
      </c>
      <c r="E2255" s="6" t="str">
        <f>"王琦"</f>
        <v>王琦</v>
      </c>
      <c r="F2255" s="6" t="str">
        <f t="shared" si="146"/>
        <v>女</v>
      </c>
    </row>
    <row r="2256" spans="1:6" ht="30" customHeight="1">
      <c r="A2256" s="6">
        <v>2254</v>
      </c>
      <c r="B2256" s="6" t="str">
        <f>"530020230531113841102431"</f>
        <v>530020230531113841102431</v>
      </c>
      <c r="C2256" s="6" t="str">
        <f t="shared" si="144"/>
        <v>0206</v>
      </c>
      <c r="D2256" s="6" t="s">
        <v>26</v>
      </c>
      <c r="E2256" s="6" t="str">
        <f>"林丽"</f>
        <v>林丽</v>
      </c>
      <c r="F2256" s="6" t="str">
        <f t="shared" si="146"/>
        <v>女</v>
      </c>
    </row>
    <row r="2257" spans="1:6" ht="30" customHeight="1">
      <c r="A2257" s="6">
        <v>2255</v>
      </c>
      <c r="B2257" s="6" t="str">
        <f>"530020230531095305101712"</f>
        <v>530020230531095305101712</v>
      </c>
      <c r="C2257" s="6" t="str">
        <f t="shared" si="144"/>
        <v>0206</v>
      </c>
      <c r="D2257" s="6" t="s">
        <v>26</v>
      </c>
      <c r="E2257" s="6" t="str">
        <f>"黎基敏"</f>
        <v>黎基敏</v>
      </c>
      <c r="F2257" s="6" t="str">
        <f t="shared" si="146"/>
        <v>女</v>
      </c>
    </row>
    <row r="2258" spans="1:6" ht="30" customHeight="1">
      <c r="A2258" s="6">
        <v>2256</v>
      </c>
      <c r="B2258" s="6" t="str">
        <f>"53002023052909355290154"</f>
        <v>53002023052909355290154</v>
      </c>
      <c r="C2258" s="6" t="str">
        <f t="shared" si="144"/>
        <v>0206</v>
      </c>
      <c r="D2258" s="6" t="s">
        <v>26</v>
      </c>
      <c r="E2258" s="6" t="str">
        <f>"唐全"</f>
        <v>唐全</v>
      </c>
      <c r="F2258" s="6" t="str">
        <f>"男"</f>
        <v>男</v>
      </c>
    </row>
    <row r="2259" spans="1:6" ht="30" customHeight="1">
      <c r="A2259" s="6">
        <v>2257</v>
      </c>
      <c r="B2259" s="6" t="str">
        <f>"530020230531131205102849"</f>
        <v>530020230531131205102849</v>
      </c>
      <c r="C2259" s="6" t="str">
        <f t="shared" si="144"/>
        <v>0206</v>
      </c>
      <c r="D2259" s="6" t="s">
        <v>26</v>
      </c>
      <c r="E2259" s="6" t="str">
        <f>"梁寿桃"</f>
        <v>梁寿桃</v>
      </c>
      <c r="F2259" s="6" t="str">
        <f>"女"</f>
        <v>女</v>
      </c>
    </row>
    <row r="2260" spans="1:6" ht="30" customHeight="1">
      <c r="A2260" s="6">
        <v>2258</v>
      </c>
      <c r="B2260" s="6" t="str">
        <f>"530020230531144134103134"</f>
        <v>530020230531144134103134</v>
      </c>
      <c r="C2260" s="6" t="str">
        <f t="shared" si="144"/>
        <v>0206</v>
      </c>
      <c r="D2260" s="6" t="s">
        <v>26</v>
      </c>
      <c r="E2260" s="6" t="str">
        <f>"杨媛媛"</f>
        <v>杨媛媛</v>
      </c>
      <c r="F2260" s="6" t="str">
        <f>"女"</f>
        <v>女</v>
      </c>
    </row>
    <row r="2261" spans="1:6" ht="30" customHeight="1">
      <c r="A2261" s="6">
        <v>2259</v>
      </c>
      <c r="B2261" s="6" t="str">
        <f>"530020230531092501101503"</f>
        <v>530020230531092501101503</v>
      </c>
      <c r="C2261" s="6" t="str">
        <f t="shared" si="144"/>
        <v>0206</v>
      </c>
      <c r="D2261" s="6" t="s">
        <v>26</v>
      </c>
      <c r="E2261" s="6" t="str">
        <f>"杨其德"</f>
        <v>杨其德</v>
      </c>
      <c r="F2261" s="6" t="str">
        <f>"男"</f>
        <v>男</v>
      </c>
    </row>
    <row r="2262" spans="1:6" ht="30" customHeight="1">
      <c r="A2262" s="6">
        <v>2260</v>
      </c>
      <c r="B2262" s="6" t="str">
        <f>"530020230531160511103521"</f>
        <v>530020230531160511103521</v>
      </c>
      <c r="C2262" s="6" t="str">
        <f t="shared" si="144"/>
        <v>0206</v>
      </c>
      <c r="D2262" s="6" t="s">
        <v>26</v>
      </c>
      <c r="E2262" s="6" t="str">
        <f>"邓冠香"</f>
        <v>邓冠香</v>
      </c>
      <c r="F2262" s="6" t="str">
        <f aca="true" t="shared" si="147" ref="F2262:F2274">"女"</f>
        <v>女</v>
      </c>
    </row>
    <row r="2263" spans="1:6" ht="30" customHeight="1">
      <c r="A2263" s="6">
        <v>2261</v>
      </c>
      <c r="B2263" s="6" t="str">
        <f>"530020230531200439104376"</f>
        <v>530020230531200439104376</v>
      </c>
      <c r="C2263" s="6" t="str">
        <f t="shared" si="144"/>
        <v>0206</v>
      </c>
      <c r="D2263" s="6" t="s">
        <v>26</v>
      </c>
      <c r="E2263" s="6" t="str">
        <f>"薛婆保"</f>
        <v>薛婆保</v>
      </c>
      <c r="F2263" s="6" t="str">
        <f t="shared" si="147"/>
        <v>女</v>
      </c>
    </row>
    <row r="2264" spans="1:6" ht="30" customHeight="1">
      <c r="A2264" s="6">
        <v>2262</v>
      </c>
      <c r="B2264" s="6" t="str">
        <f>"530020230531201745104413"</f>
        <v>530020230531201745104413</v>
      </c>
      <c r="C2264" s="6" t="str">
        <f t="shared" si="144"/>
        <v>0206</v>
      </c>
      <c r="D2264" s="6" t="s">
        <v>26</v>
      </c>
      <c r="E2264" s="6" t="str">
        <f>"王丽芳"</f>
        <v>王丽芳</v>
      </c>
      <c r="F2264" s="6" t="str">
        <f t="shared" si="147"/>
        <v>女</v>
      </c>
    </row>
    <row r="2265" spans="1:6" ht="30" customHeight="1">
      <c r="A2265" s="6">
        <v>2263</v>
      </c>
      <c r="B2265" s="6" t="str">
        <f>"530020230531211442104611"</f>
        <v>530020230531211442104611</v>
      </c>
      <c r="C2265" s="6" t="str">
        <f t="shared" si="144"/>
        <v>0206</v>
      </c>
      <c r="D2265" s="6" t="s">
        <v>26</v>
      </c>
      <c r="E2265" s="6" t="str">
        <f>"符荣珍"</f>
        <v>符荣珍</v>
      </c>
      <c r="F2265" s="6" t="str">
        <f t="shared" si="147"/>
        <v>女</v>
      </c>
    </row>
    <row r="2266" spans="1:6" ht="30" customHeight="1">
      <c r="A2266" s="6">
        <v>2264</v>
      </c>
      <c r="B2266" s="6" t="str">
        <f>"530020230531213909104707"</f>
        <v>530020230531213909104707</v>
      </c>
      <c r="C2266" s="6" t="str">
        <f t="shared" si="144"/>
        <v>0206</v>
      </c>
      <c r="D2266" s="6" t="s">
        <v>26</v>
      </c>
      <c r="E2266" s="6" t="str">
        <f>"陈微"</f>
        <v>陈微</v>
      </c>
      <c r="F2266" s="6" t="str">
        <f t="shared" si="147"/>
        <v>女</v>
      </c>
    </row>
    <row r="2267" spans="1:6" ht="30" customHeight="1">
      <c r="A2267" s="6">
        <v>2265</v>
      </c>
      <c r="B2267" s="6" t="str">
        <f>"53002023052709094383692"</f>
        <v>53002023052709094383692</v>
      </c>
      <c r="C2267" s="6" t="str">
        <f t="shared" si="144"/>
        <v>0206</v>
      </c>
      <c r="D2267" s="6" t="s">
        <v>26</v>
      </c>
      <c r="E2267" s="6" t="str">
        <f>"李翼桃"</f>
        <v>李翼桃</v>
      </c>
      <c r="F2267" s="6" t="str">
        <f t="shared" si="147"/>
        <v>女</v>
      </c>
    </row>
    <row r="2268" spans="1:6" ht="30" customHeight="1">
      <c r="A2268" s="6">
        <v>2266</v>
      </c>
      <c r="B2268" s="6" t="str">
        <f>"530020230531215057104753"</f>
        <v>530020230531215057104753</v>
      </c>
      <c r="C2268" s="6" t="str">
        <f t="shared" si="144"/>
        <v>0206</v>
      </c>
      <c r="D2268" s="6" t="s">
        <v>26</v>
      </c>
      <c r="E2268" s="6" t="str">
        <f>"唐杨柳"</f>
        <v>唐杨柳</v>
      </c>
      <c r="F2268" s="6" t="str">
        <f t="shared" si="147"/>
        <v>女</v>
      </c>
    </row>
    <row r="2269" spans="1:6" ht="30" customHeight="1">
      <c r="A2269" s="6">
        <v>2267</v>
      </c>
      <c r="B2269" s="6" t="str">
        <f>"530020230531180829104070"</f>
        <v>530020230531180829104070</v>
      </c>
      <c r="C2269" s="6" t="str">
        <f aca="true" t="shared" si="148" ref="C2269:C2318">"0206"</f>
        <v>0206</v>
      </c>
      <c r="D2269" s="6" t="s">
        <v>26</v>
      </c>
      <c r="E2269" s="6" t="str">
        <f>"谢瑞雪"</f>
        <v>谢瑞雪</v>
      </c>
      <c r="F2269" s="6" t="str">
        <f t="shared" si="147"/>
        <v>女</v>
      </c>
    </row>
    <row r="2270" spans="1:6" ht="30" customHeight="1">
      <c r="A2270" s="6">
        <v>2268</v>
      </c>
      <c r="B2270" s="6" t="str">
        <f>"530020230531215136104755"</f>
        <v>530020230531215136104755</v>
      </c>
      <c r="C2270" s="6" t="str">
        <f t="shared" si="148"/>
        <v>0206</v>
      </c>
      <c r="D2270" s="6" t="s">
        <v>26</v>
      </c>
      <c r="E2270" s="6" t="str">
        <f>"杨雨顺"</f>
        <v>杨雨顺</v>
      </c>
      <c r="F2270" s="6" t="str">
        <f t="shared" si="147"/>
        <v>女</v>
      </c>
    </row>
    <row r="2271" spans="1:6" ht="30" customHeight="1">
      <c r="A2271" s="6">
        <v>2269</v>
      </c>
      <c r="B2271" s="6" t="str">
        <f>"53002023052916464293476"</f>
        <v>53002023052916464293476</v>
      </c>
      <c r="C2271" s="6" t="str">
        <f t="shared" si="148"/>
        <v>0206</v>
      </c>
      <c r="D2271" s="6" t="s">
        <v>26</v>
      </c>
      <c r="E2271" s="6" t="str">
        <f>"吴小颖"</f>
        <v>吴小颖</v>
      </c>
      <c r="F2271" s="6" t="str">
        <f t="shared" si="147"/>
        <v>女</v>
      </c>
    </row>
    <row r="2272" spans="1:6" ht="30" customHeight="1">
      <c r="A2272" s="6">
        <v>2270</v>
      </c>
      <c r="B2272" s="6" t="str">
        <f>"530020230531221549104823"</f>
        <v>530020230531221549104823</v>
      </c>
      <c r="C2272" s="6" t="str">
        <f t="shared" si="148"/>
        <v>0206</v>
      </c>
      <c r="D2272" s="6" t="s">
        <v>26</v>
      </c>
      <c r="E2272" s="6" t="str">
        <f>"叶小玉"</f>
        <v>叶小玉</v>
      </c>
      <c r="F2272" s="6" t="str">
        <f t="shared" si="147"/>
        <v>女</v>
      </c>
    </row>
    <row r="2273" spans="1:6" ht="30" customHeight="1">
      <c r="A2273" s="6">
        <v>2271</v>
      </c>
      <c r="B2273" s="6" t="str">
        <f>"530020230531230500105001"</f>
        <v>530020230531230500105001</v>
      </c>
      <c r="C2273" s="6" t="str">
        <f t="shared" si="148"/>
        <v>0206</v>
      </c>
      <c r="D2273" s="6" t="s">
        <v>26</v>
      </c>
      <c r="E2273" s="6" t="str">
        <f>"符含萍"</f>
        <v>符含萍</v>
      </c>
      <c r="F2273" s="6" t="str">
        <f t="shared" si="147"/>
        <v>女</v>
      </c>
    </row>
    <row r="2274" spans="1:6" ht="30" customHeight="1">
      <c r="A2274" s="6">
        <v>2272</v>
      </c>
      <c r="B2274" s="6" t="str">
        <f>"53002023052709173083719"</f>
        <v>53002023052709173083719</v>
      </c>
      <c r="C2274" s="6" t="str">
        <f t="shared" si="148"/>
        <v>0206</v>
      </c>
      <c r="D2274" s="6" t="s">
        <v>26</v>
      </c>
      <c r="E2274" s="6" t="str">
        <f>"符荣芝"</f>
        <v>符荣芝</v>
      </c>
      <c r="F2274" s="6" t="str">
        <f t="shared" si="147"/>
        <v>女</v>
      </c>
    </row>
    <row r="2275" spans="1:6" ht="30" customHeight="1">
      <c r="A2275" s="6">
        <v>2273</v>
      </c>
      <c r="B2275" s="6" t="str">
        <f>"530020230601085219105352"</f>
        <v>530020230601085219105352</v>
      </c>
      <c r="C2275" s="6" t="str">
        <f t="shared" si="148"/>
        <v>0206</v>
      </c>
      <c r="D2275" s="6" t="s">
        <v>26</v>
      </c>
      <c r="E2275" s="6" t="str">
        <f>"李俊杰"</f>
        <v>李俊杰</v>
      </c>
      <c r="F2275" s="6" t="str">
        <f>"男"</f>
        <v>男</v>
      </c>
    </row>
    <row r="2276" spans="1:6" ht="30" customHeight="1">
      <c r="A2276" s="6">
        <v>2274</v>
      </c>
      <c r="B2276" s="6" t="str">
        <f>"530020230531134643102965"</f>
        <v>530020230531134643102965</v>
      </c>
      <c r="C2276" s="6" t="str">
        <f t="shared" si="148"/>
        <v>0206</v>
      </c>
      <c r="D2276" s="6" t="s">
        <v>26</v>
      </c>
      <c r="E2276" s="6" t="str">
        <f>"周妹果"</f>
        <v>周妹果</v>
      </c>
      <c r="F2276" s="6" t="str">
        <f aca="true" t="shared" si="149" ref="F2276:F2300">"女"</f>
        <v>女</v>
      </c>
    </row>
    <row r="2277" spans="1:6" ht="30" customHeight="1">
      <c r="A2277" s="6">
        <v>2275</v>
      </c>
      <c r="B2277" s="6" t="str">
        <f>"53002023052911491491547"</f>
        <v>53002023052911491491547</v>
      </c>
      <c r="C2277" s="6" t="str">
        <f t="shared" si="148"/>
        <v>0206</v>
      </c>
      <c r="D2277" s="6" t="s">
        <v>26</v>
      </c>
      <c r="E2277" s="6" t="str">
        <f>"蔡微微"</f>
        <v>蔡微微</v>
      </c>
      <c r="F2277" s="6" t="str">
        <f t="shared" si="149"/>
        <v>女</v>
      </c>
    </row>
    <row r="2278" spans="1:6" ht="30" customHeight="1">
      <c r="A2278" s="6">
        <v>2276</v>
      </c>
      <c r="B2278" s="6" t="str">
        <f>"53002023052719144885789"</f>
        <v>53002023052719144885789</v>
      </c>
      <c r="C2278" s="6" t="str">
        <f t="shared" si="148"/>
        <v>0206</v>
      </c>
      <c r="D2278" s="6" t="s">
        <v>26</v>
      </c>
      <c r="E2278" s="6" t="str">
        <f>"林敏"</f>
        <v>林敏</v>
      </c>
      <c r="F2278" s="6" t="str">
        <f t="shared" si="149"/>
        <v>女</v>
      </c>
    </row>
    <row r="2279" spans="1:6" ht="30" customHeight="1">
      <c r="A2279" s="6">
        <v>2277</v>
      </c>
      <c r="B2279" s="6" t="str">
        <f>"530020230601083807105326"</f>
        <v>530020230601083807105326</v>
      </c>
      <c r="C2279" s="6" t="str">
        <f t="shared" si="148"/>
        <v>0206</v>
      </c>
      <c r="D2279" s="6" t="s">
        <v>26</v>
      </c>
      <c r="E2279" s="6" t="str">
        <f>"卓秋霞"</f>
        <v>卓秋霞</v>
      </c>
      <c r="F2279" s="6" t="str">
        <f t="shared" si="149"/>
        <v>女</v>
      </c>
    </row>
    <row r="2280" spans="1:6" ht="30" customHeight="1">
      <c r="A2280" s="6">
        <v>2278</v>
      </c>
      <c r="B2280" s="6" t="str">
        <f>"53002023052716475885378"</f>
        <v>53002023052716475885378</v>
      </c>
      <c r="C2280" s="6" t="str">
        <f t="shared" si="148"/>
        <v>0206</v>
      </c>
      <c r="D2280" s="6" t="s">
        <v>26</v>
      </c>
      <c r="E2280" s="6" t="str">
        <f>"朱梅静"</f>
        <v>朱梅静</v>
      </c>
      <c r="F2280" s="6" t="str">
        <f t="shared" si="149"/>
        <v>女</v>
      </c>
    </row>
    <row r="2281" spans="1:6" ht="30" customHeight="1">
      <c r="A2281" s="6">
        <v>2279</v>
      </c>
      <c r="B2281" s="6" t="str">
        <f>"530020230601105552106229"</f>
        <v>530020230601105552106229</v>
      </c>
      <c r="C2281" s="6" t="str">
        <f t="shared" si="148"/>
        <v>0206</v>
      </c>
      <c r="D2281" s="6" t="s">
        <v>26</v>
      </c>
      <c r="E2281" s="6" t="str">
        <f>"苏真"</f>
        <v>苏真</v>
      </c>
      <c r="F2281" s="6" t="str">
        <f t="shared" si="149"/>
        <v>女</v>
      </c>
    </row>
    <row r="2282" spans="1:6" ht="30" customHeight="1">
      <c r="A2282" s="6">
        <v>2280</v>
      </c>
      <c r="B2282" s="6" t="str">
        <f>"530020230531094550101660"</f>
        <v>530020230531094550101660</v>
      </c>
      <c r="C2282" s="6" t="str">
        <f t="shared" si="148"/>
        <v>0206</v>
      </c>
      <c r="D2282" s="6" t="s">
        <v>26</v>
      </c>
      <c r="E2282" s="6" t="str">
        <f>"陈文丹"</f>
        <v>陈文丹</v>
      </c>
      <c r="F2282" s="6" t="str">
        <f t="shared" si="149"/>
        <v>女</v>
      </c>
    </row>
    <row r="2283" spans="1:6" ht="30" customHeight="1">
      <c r="A2283" s="6">
        <v>2281</v>
      </c>
      <c r="B2283" s="6" t="str">
        <f>"530020230601125602106814"</f>
        <v>530020230601125602106814</v>
      </c>
      <c r="C2283" s="6" t="str">
        <f t="shared" si="148"/>
        <v>0206</v>
      </c>
      <c r="D2283" s="6" t="s">
        <v>26</v>
      </c>
      <c r="E2283" s="6" t="str">
        <f>"唐琳玲"</f>
        <v>唐琳玲</v>
      </c>
      <c r="F2283" s="6" t="str">
        <f t="shared" si="149"/>
        <v>女</v>
      </c>
    </row>
    <row r="2284" spans="1:6" ht="30" customHeight="1">
      <c r="A2284" s="6">
        <v>2282</v>
      </c>
      <c r="B2284" s="6" t="str">
        <f>"530020230601133956106964"</f>
        <v>530020230601133956106964</v>
      </c>
      <c r="C2284" s="6" t="str">
        <f t="shared" si="148"/>
        <v>0206</v>
      </c>
      <c r="D2284" s="6" t="s">
        <v>26</v>
      </c>
      <c r="E2284" s="6" t="str">
        <f>"许露娜"</f>
        <v>许露娜</v>
      </c>
      <c r="F2284" s="6" t="str">
        <f t="shared" si="149"/>
        <v>女</v>
      </c>
    </row>
    <row r="2285" spans="1:6" ht="30" customHeight="1">
      <c r="A2285" s="6">
        <v>2283</v>
      </c>
      <c r="B2285" s="6" t="str">
        <f>"530020230601072659105206"</f>
        <v>530020230601072659105206</v>
      </c>
      <c r="C2285" s="6" t="str">
        <f t="shared" si="148"/>
        <v>0206</v>
      </c>
      <c r="D2285" s="6" t="s">
        <v>26</v>
      </c>
      <c r="E2285" s="6" t="str">
        <f>"符丽纳"</f>
        <v>符丽纳</v>
      </c>
      <c r="F2285" s="6" t="str">
        <f t="shared" si="149"/>
        <v>女</v>
      </c>
    </row>
    <row r="2286" spans="1:6" ht="30" customHeight="1">
      <c r="A2286" s="6">
        <v>2284</v>
      </c>
      <c r="B2286" s="6" t="str">
        <f>"53002023052915410992972"</f>
        <v>53002023052915410992972</v>
      </c>
      <c r="C2286" s="6" t="str">
        <f t="shared" si="148"/>
        <v>0206</v>
      </c>
      <c r="D2286" s="6" t="s">
        <v>26</v>
      </c>
      <c r="E2286" s="6" t="str">
        <f>"王小琼"</f>
        <v>王小琼</v>
      </c>
      <c r="F2286" s="6" t="str">
        <f t="shared" si="149"/>
        <v>女</v>
      </c>
    </row>
    <row r="2287" spans="1:6" ht="30" customHeight="1">
      <c r="A2287" s="6">
        <v>2285</v>
      </c>
      <c r="B2287" s="6" t="str">
        <f>"530020230601165237107753"</f>
        <v>530020230601165237107753</v>
      </c>
      <c r="C2287" s="6" t="str">
        <f t="shared" si="148"/>
        <v>0206</v>
      </c>
      <c r="D2287" s="6" t="s">
        <v>26</v>
      </c>
      <c r="E2287" s="6" t="str">
        <f>"符丽莹"</f>
        <v>符丽莹</v>
      </c>
      <c r="F2287" s="6" t="str">
        <f t="shared" si="149"/>
        <v>女</v>
      </c>
    </row>
    <row r="2288" spans="1:6" ht="30" customHeight="1">
      <c r="A2288" s="6">
        <v>2286</v>
      </c>
      <c r="B2288" s="6" t="str">
        <f>"530020230601171507107855"</f>
        <v>530020230601171507107855</v>
      </c>
      <c r="C2288" s="6" t="str">
        <f t="shared" si="148"/>
        <v>0206</v>
      </c>
      <c r="D2288" s="6" t="s">
        <v>26</v>
      </c>
      <c r="E2288" s="6" t="str">
        <f>"王琛"</f>
        <v>王琛</v>
      </c>
      <c r="F2288" s="6" t="str">
        <f t="shared" si="149"/>
        <v>女</v>
      </c>
    </row>
    <row r="2289" spans="1:6" ht="30" customHeight="1">
      <c r="A2289" s="6">
        <v>2287</v>
      </c>
      <c r="B2289" s="6" t="str">
        <f>"530020230601174826107969"</f>
        <v>530020230601174826107969</v>
      </c>
      <c r="C2289" s="6" t="str">
        <f t="shared" si="148"/>
        <v>0206</v>
      </c>
      <c r="D2289" s="6" t="s">
        <v>26</v>
      </c>
      <c r="E2289" s="6" t="str">
        <f>"吴有花"</f>
        <v>吴有花</v>
      </c>
      <c r="F2289" s="6" t="str">
        <f t="shared" si="149"/>
        <v>女</v>
      </c>
    </row>
    <row r="2290" spans="1:6" ht="30" customHeight="1">
      <c r="A2290" s="6">
        <v>2288</v>
      </c>
      <c r="B2290" s="6" t="str">
        <f>"530020230601182019108064"</f>
        <v>530020230601182019108064</v>
      </c>
      <c r="C2290" s="6" t="str">
        <f t="shared" si="148"/>
        <v>0206</v>
      </c>
      <c r="D2290" s="6" t="s">
        <v>26</v>
      </c>
      <c r="E2290" s="6" t="str">
        <f>"郭艳凤"</f>
        <v>郭艳凤</v>
      </c>
      <c r="F2290" s="6" t="str">
        <f t="shared" si="149"/>
        <v>女</v>
      </c>
    </row>
    <row r="2291" spans="1:6" ht="30" customHeight="1">
      <c r="A2291" s="6">
        <v>2289</v>
      </c>
      <c r="B2291" s="6" t="str">
        <f>"530020230601203647108454"</f>
        <v>530020230601203647108454</v>
      </c>
      <c r="C2291" s="6" t="str">
        <f t="shared" si="148"/>
        <v>0206</v>
      </c>
      <c r="D2291" s="6" t="s">
        <v>26</v>
      </c>
      <c r="E2291" s="6" t="str">
        <f>"邢贞莹"</f>
        <v>邢贞莹</v>
      </c>
      <c r="F2291" s="6" t="str">
        <f t="shared" si="149"/>
        <v>女</v>
      </c>
    </row>
    <row r="2292" spans="1:6" ht="30" customHeight="1">
      <c r="A2292" s="6">
        <v>2290</v>
      </c>
      <c r="B2292" s="6" t="str">
        <f>"53002023052922040895099"</f>
        <v>53002023052922040895099</v>
      </c>
      <c r="C2292" s="6" t="str">
        <f t="shared" si="148"/>
        <v>0206</v>
      </c>
      <c r="D2292" s="6" t="s">
        <v>26</v>
      </c>
      <c r="E2292" s="6" t="str">
        <f>"王丽"</f>
        <v>王丽</v>
      </c>
      <c r="F2292" s="6" t="str">
        <f t="shared" si="149"/>
        <v>女</v>
      </c>
    </row>
    <row r="2293" spans="1:6" ht="30" customHeight="1">
      <c r="A2293" s="6">
        <v>2291</v>
      </c>
      <c r="B2293" s="6" t="str">
        <f>"530020230601220708108792"</f>
        <v>530020230601220708108792</v>
      </c>
      <c r="C2293" s="6" t="str">
        <f t="shared" si="148"/>
        <v>0206</v>
      </c>
      <c r="D2293" s="6" t="s">
        <v>26</v>
      </c>
      <c r="E2293" s="6" t="str">
        <f>"董佳佳"</f>
        <v>董佳佳</v>
      </c>
      <c r="F2293" s="6" t="str">
        <f t="shared" si="149"/>
        <v>女</v>
      </c>
    </row>
    <row r="2294" spans="1:6" ht="30" customHeight="1">
      <c r="A2294" s="6">
        <v>2292</v>
      </c>
      <c r="B2294" s="6" t="str">
        <f>"530020230531083125101216"</f>
        <v>530020230531083125101216</v>
      </c>
      <c r="C2294" s="6" t="str">
        <f t="shared" si="148"/>
        <v>0206</v>
      </c>
      <c r="D2294" s="6" t="s">
        <v>26</v>
      </c>
      <c r="E2294" s="6" t="str">
        <f>"陈木萍"</f>
        <v>陈木萍</v>
      </c>
      <c r="F2294" s="6" t="str">
        <f t="shared" si="149"/>
        <v>女</v>
      </c>
    </row>
    <row r="2295" spans="1:6" ht="30" customHeight="1">
      <c r="A2295" s="6">
        <v>2293</v>
      </c>
      <c r="B2295" s="6" t="str">
        <f>"530020230601224601108946"</f>
        <v>530020230601224601108946</v>
      </c>
      <c r="C2295" s="6" t="str">
        <f t="shared" si="148"/>
        <v>0206</v>
      </c>
      <c r="D2295" s="6" t="s">
        <v>26</v>
      </c>
      <c r="E2295" s="6" t="str">
        <f>"吴文希"</f>
        <v>吴文希</v>
      </c>
      <c r="F2295" s="6" t="str">
        <f t="shared" si="149"/>
        <v>女</v>
      </c>
    </row>
    <row r="2296" spans="1:6" ht="30" customHeight="1">
      <c r="A2296" s="6">
        <v>2294</v>
      </c>
      <c r="B2296" s="6" t="str">
        <f>"530020230531091838101461"</f>
        <v>530020230531091838101461</v>
      </c>
      <c r="C2296" s="6" t="str">
        <f t="shared" si="148"/>
        <v>0206</v>
      </c>
      <c r="D2296" s="6" t="s">
        <v>26</v>
      </c>
      <c r="E2296" s="6" t="str">
        <f>"姜闻"</f>
        <v>姜闻</v>
      </c>
      <c r="F2296" s="6" t="str">
        <f t="shared" si="149"/>
        <v>女</v>
      </c>
    </row>
    <row r="2297" spans="1:6" ht="30" customHeight="1">
      <c r="A2297" s="6">
        <v>2295</v>
      </c>
      <c r="B2297" s="6" t="str">
        <f>"530020230601233049109071"</f>
        <v>530020230601233049109071</v>
      </c>
      <c r="C2297" s="6" t="str">
        <f t="shared" si="148"/>
        <v>0206</v>
      </c>
      <c r="D2297" s="6" t="s">
        <v>26</v>
      </c>
      <c r="E2297" s="6" t="str">
        <f>"赵玉丹"</f>
        <v>赵玉丹</v>
      </c>
      <c r="F2297" s="6" t="str">
        <f t="shared" si="149"/>
        <v>女</v>
      </c>
    </row>
    <row r="2298" spans="1:6" ht="30" customHeight="1">
      <c r="A2298" s="6">
        <v>2296</v>
      </c>
      <c r="B2298" s="6" t="str">
        <f>"530020230601233105109072"</f>
        <v>530020230601233105109072</v>
      </c>
      <c r="C2298" s="6" t="str">
        <f t="shared" si="148"/>
        <v>0206</v>
      </c>
      <c r="D2298" s="6" t="s">
        <v>26</v>
      </c>
      <c r="E2298" s="6" t="str">
        <f>"林道萍"</f>
        <v>林道萍</v>
      </c>
      <c r="F2298" s="6" t="str">
        <f t="shared" si="149"/>
        <v>女</v>
      </c>
    </row>
    <row r="2299" spans="1:6" ht="30" customHeight="1">
      <c r="A2299" s="6">
        <v>2297</v>
      </c>
      <c r="B2299" s="6" t="str">
        <f>"530020230531154242103408"</f>
        <v>530020230531154242103408</v>
      </c>
      <c r="C2299" s="6" t="str">
        <f t="shared" si="148"/>
        <v>0206</v>
      </c>
      <c r="D2299" s="6" t="s">
        <v>26</v>
      </c>
      <c r="E2299" s="6" t="str">
        <f>"王明珠"</f>
        <v>王明珠</v>
      </c>
      <c r="F2299" s="6" t="str">
        <f t="shared" si="149"/>
        <v>女</v>
      </c>
    </row>
    <row r="2300" spans="1:6" ht="30" customHeight="1">
      <c r="A2300" s="6">
        <v>2298</v>
      </c>
      <c r="B2300" s="6" t="str">
        <f>"530020230602064832109272"</f>
        <v>530020230602064832109272</v>
      </c>
      <c r="C2300" s="6" t="str">
        <f t="shared" si="148"/>
        <v>0206</v>
      </c>
      <c r="D2300" s="6" t="s">
        <v>26</v>
      </c>
      <c r="E2300" s="6" t="str">
        <f>"谢爱娜"</f>
        <v>谢爱娜</v>
      </c>
      <c r="F2300" s="6" t="str">
        <f t="shared" si="149"/>
        <v>女</v>
      </c>
    </row>
    <row r="2301" spans="1:6" ht="30" customHeight="1">
      <c r="A2301" s="6">
        <v>2299</v>
      </c>
      <c r="B2301" s="6" t="str">
        <f>"53002023053016292998870"</f>
        <v>53002023053016292998870</v>
      </c>
      <c r="C2301" s="6" t="str">
        <f t="shared" si="148"/>
        <v>0206</v>
      </c>
      <c r="D2301" s="6" t="s">
        <v>26</v>
      </c>
      <c r="E2301" s="6" t="str">
        <f>"王朝孟"</f>
        <v>王朝孟</v>
      </c>
      <c r="F2301" s="6" t="str">
        <f>"男"</f>
        <v>男</v>
      </c>
    </row>
    <row r="2302" spans="1:6" ht="30" customHeight="1">
      <c r="A2302" s="6">
        <v>2300</v>
      </c>
      <c r="B2302" s="6" t="str">
        <f>"530020230602082530109357"</f>
        <v>530020230602082530109357</v>
      </c>
      <c r="C2302" s="6" t="str">
        <f t="shared" si="148"/>
        <v>0206</v>
      </c>
      <c r="D2302" s="6" t="s">
        <v>26</v>
      </c>
      <c r="E2302" s="6" t="str">
        <f>"李鸿"</f>
        <v>李鸿</v>
      </c>
      <c r="F2302" s="6" t="str">
        <f aca="true" t="shared" si="150" ref="F2302:F2312">"女"</f>
        <v>女</v>
      </c>
    </row>
    <row r="2303" spans="1:6" ht="30" customHeight="1">
      <c r="A2303" s="6">
        <v>2301</v>
      </c>
      <c r="B2303" s="6" t="str">
        <f>"530020230602082743109363"</f>
        <v>530020230602082743109363</v>
      </c>
      <c r="C2303" s="6" t="str">
        <f t="shared" si="148"/>
        <v>0206</v>
      </c>
      <c r="D2303" s="6" t="s">
        <v>26</v>
      </c>
      <c r="E2303" s="6" t="str">
        <f>"唐梦菊"</f>
        <v>唐梦菊</v>
      </c>
      <c r="F2303" s="6" t="str">
        <f t="shared" si="150"/>
        <v>女</v>
      </c>
    </row>
    <row r="2304" spans="1:6" ht="30" customHeight="1">
      <c r="A2304" s="6">
        <v>2302</v>
      </c>
      <c r="B2304" s="6" t="str">
        <f>"530020230602063720109269"</f>
        <v>530020230602063720109269</v>
      </c>
      <c r="C2304" s="6" t="str">
        <f t="shared" si="148"/>
        <v>0206</v>
      </c>
      <c r="D2304" s="6" t="s">
        <v>26</v>
      </c>
      <c r="E2304" s="6" t="str">
        <f>"黎慧芳"</f>
        <v>黎慧芳</v>
      </c>
      <c r="F2304" s="6" t="str">
        <f t="shared" si="150"/>
        <v>女</v>
      </c>
    </row>
    <row r="2305" spans="1:6" ht="30" customHeight="1">
      <c r="A2305" s="6">
        <v>2303</v>
      </c>
      <c r="B2305" s="6" t="str">
        <f>"530020230601215435108736"</f>
        <v>530020230601215435108736</v>
      </c>
      <c r="C2305" s="6" t="str">
        <f t="shared" si="148"/>
        <v>0206</v>
      </c>
      <c r="D2305" s="6" t="s">
        <v>26</v>
      </c>
      <c r="E2305" s="6" t="str">
        <f>"李万蕊"</f>
        <v>李万蕊</v>
      </c>
      <c r="F2305" s="6" t="str">
        <f t="shared" si="150"/>
        <v>女</v>
      </c>
    </row>
    <row r="2306" spans="1:6" ht="30" customHeight="1">
      <c r="A2306" s="6">
        <v>2304</v>
      </c>
      <c r="B2306" s="6" t="str">
        <f>"530020230602092023109529"</f>
        <v>530020230602092023109529</v>
      </c>
      <c r="C2306" s="6" t="str">
        <f t="shared" si="148"/>
        <v>0206</v>
      </c>
      <c r="D2306" s="6" t="s">
        <v>26</v>
      </c>
      <c r="E2306" s="6" t="str">
        <f>"李兰琼"</f>
        <v>李兰琼</v>
      </c>
      <c r="F2306" s="6" t="str">
        <f t="shared" si="150"/>
        <v>女</v>
      </c>
    </row>
    <row r="2307" spans="1:6" ht="30" customHeight="1">
      <c r="A2307" s="6">
        <v>2305</v>
      </c>
      <c r="B2307" s="6" t="str">
        <f>"530020230602094526109641"</f>
        <v>530020230602094526109641</v>
      </c>
      <c r="C2307" s="6" t="str">
        <f t="shared" si="148"/>
        <v>0206</v>
      </c>
      <c r="D2307" s="6" t="s">
        <v>26</v>
      </c>
      <c r="E2307" s="6" t="str">
        <f>"谭彩玲"</f>
        <v>谭彩玲</v>
      </c>
      <c r="F2307" s="6" t="str">
        <f t="shared" si="150"/>
        <v>女</v>
      </c>
    </row>
    <row r="2308" spans="1:6" ht="30" customHeight="1">
      <c r="A2308" s="6">
        <v>2306</v>
      </c>
      <c r="B2308" s="6" t="str">
        <f>"530020230531170510103836"</f>
        <v>530020230531170510103836</v>
      </c>
      <c r="C2308" s="6" t="str">
        <f t="shared" si="148"/>
        <v>0206</v>
      </c>
      <c r="D2308" s="6" t="s">
        <v>26</v>
      </c>
      <c r="E2308" s="6" t="str">
        <f>"莫青云"</f>
        <v>莫青云</v>
      </c>
      <c r="F2308" s="6" t="str">
        <f t="shared" si="150"/>
        <v>女</v>
      </c>
    </row>
    <row r="2309" spans="1:6" ht="30" customHeight="1">
      <c r="A2309" s="6">
        <v>2307</v>
      </c>
      <c r="B2309" s="6" t="str">
        <f>"530020230602095455109672"</f>
        <v>530020230602095455109672</v>
      </c>
      <c r="C2309" s="6" t="str">
        <f t="shared" si="148"/>
        <v>0206</v>
      </c>
      <c r="D2309" s="6" t="s">
        <v>26</v>
      </c>
      <c r="E2309" s="6" t="str">
        <f>"何秋兰"</f>
        <v>何秋兰</v>
      </c>
      <c r="F2309" s="6" t="str">
        <f t="shared" si="150"/>
        <v>女</v>
      </c>
    </row>
    <row r="2310" spans="1:6" ht="30" customHeight="1">
      <c r="A2310" s="6">
        <v>2308</v>
      </c>
      <c r="B2310" s="6" t="str">
        <f>"530020230601171514107856"</f>
        <v>530020230601171514107856</v>
      </c>
      <c r="C2310" s="6" t="str">
        <f t="shared" si="148"/>
        <v>0206</v>
      </c>
      <c r="D2310" s="6" t="s">
        <v>26</v>
      </c>
      <c r="E2310" s="6" t="str">
        <f>"林婧娇"</f>
        <v>林婧娇</v>
      </c>
      <c r="F2310" s="6" t="str">
        <f t="shared" si="150"/>
        <v>女</v>
      </c>
    </row>
    <row r="2311" spans="1:6" ht="30" customHeight="1">
      <c r="A2311" s="6">
        <v>2309</v>
      </c>
      <c r="B2311" s="6" t="str">
        <f>"530020230602092401109546"</f>
        <v>530020230602092401109546</v>
      </c>
      <c r="C2311" s="6" t="str">
        <f t="shared" si="148"/>
        <v>0206</v>
      </c>
      <c r="D2311" s="6" t="s">
        <v>26</v>
      </c>
      <c r="E2311" s="6" t="str">
        <f>"陈彩蝶"</f>
        <v>陈彩蝶</v>
      </c>
      <c r="F2311" s="6" t="str">
        <f t="shared" si="150"/>
        <v>女</v>
      </c>
    </row>
    <row r="2312" spans="1:6" ht="30" customHeight="1">
      <c r="A2312" s="6">
        <v>2310</v>
      </c>
      <c r="B2312" s="6" t="str">
        <f>"530020230602103421109836"</f>
        <v>530020230602103421109836</v>
      </c>
      <c r="C2312" s="6" t="str">
        <f t="shared" si="148"/>
        <v>0206</v>
      </c>
      <c r="D2312" s="6" t="s">
        <v>26</v>
      </c>
      <c r="E2312" s="6" t="str">
        <f>"陈少宛"</f>
        <v>陈少宛</v>
      </c>
      <c r="F2312" s="6" t="str">
        <f t="shared" si="150"/>
        <v>女</v>
      </c>
    </row>
    <row r="2313" spans="1:6" ht="30" customHeight="1">
      <c r="A2313" s="6">
        <v>2311</v>
      </c>
      <c r="B2313" s="6" t="str">
        <f>"530020230602103813109856"</f>
        <v>530020230602103813109856</v>
      </c>
      <c r="C2313" s="6" t="str">
        <f t="shared" si="148"/>
        <v>0206</v>
      </c>
      <c r="D2313" s="6" t="s">
        <v>26</v>
      </c>
      <c r="E2313" s="6" t="str">
        <f>"蔡斌"</f>
        <v>蔡斌</v>
      </c>
      <c r="F2313" s="6" t="str">
        <f>"男"</f>
        <v>男</v>
      </c>
    </row>
    <row r="2314" spans="1:6" ht="30" customHeight="1">
      <c r="A2314" s="6">
        <v>2312</v>
      </c>
      <c r="B2314" s="6" t="str">
        <f>"530020230602000557109142"</f>
        <v>530020230602000557109142</v>
      </c>
      <c r="C2314" s="6" t="str">
        <f t="shared" si="148"/>
        <v>0206</v>
      </c>
      <c r="D2314" s="6" t="s">
        <v>26</v>
      </c>
      <c r="E2314" s="6" t="str">
        <f>"曾颖莹"</f>
        <v>曾颖莹</v>
      </c>
      <c r="F2314" s="6" t="str">
        <f aca="true" t="shared" si="151" ref="F2314:F2323">"女"</f>
        <v>女</v>
      </c>
    </row>
    <row r="2315" spans="1:6" ht="30" customHeight="1">
      <c r="A2315" s="6">
        <v>2313</v>
      </c>
      <c r="B2315" s="6" t="str">
        <f>"530020230602101342109746"</f>
        <v>530020230602101342109746</v>
      </c>
      <c r="C2315" s="6" t="str">
        <f t="shared" si="148"/>
        <v>0206</v>
      </c>
      <c r="D2315" s="6" t="s">
        <v>26</v>
      </c>
      <c r="E2315" s="6" t="str">
        <f>"黄洁"</f>
        <v>黄洁</v>
      </c>
      <c r="F2315" s="6" t="str">
        <f t="shared" si="151"/>
        <v>女</v>
      </c>
    </row>
    <row r="2316" spans="1:6" ht="30" customHeight="1">
      <c r="A2316" s="6">
        <v>2314</v>
      </c>
      <c r="B2316" s="6" t="str">
        <f>"530020230601125844106822"</f>
        <v>530020230601125844106822</v>
      </c>
      <c r="C2316" s="6" t="str">
        <f t="shared" si="148"/>
        <v>0206</v>
      </c>
      <c r="D2316" s="6" t="s">
        <v>26</v>
      </c>
      <c r="E2316" s="6" t="str">
        <f>"张玲"</f>
        <v>张玲</v>
      </c>
      <c r="F2316" s="6" t="str">
        <f t="shared" si="151"/>
        <v>女</v>
      </c>
    </row>
    <row r="2317" spans="1:6" ht="30" customHeight="1">
      <c r="A2317" s="6">
        <v>2315</v>
      </c>
      <c r="B2317" s="6" t="str">
        <f>"530020230602113327110114"</f>
        <v>530020230602113327110114</v>
      </c>
      <c r="C2317" s="6" t="str">
        <f t="shared" si="148"/>
        <v>0206</v>
      </c>
      <c r="D2317" s="6" t="s">
        <v>26</v>
      </c>
      <c r="E2317" s="6" t="str">
        <f>"倪娇娇"</f>
        <v>倪娇娇</v>
      </c>
      <c r="F2317" s="6" t="str">
        <f t="shared" si="151"/>
        <v>女</v>
      </c>
    </row>
    <row r="2318" spans="1:6" ht="30" customHeight="1">
      <c r="A2318" s="6">
        <v>2316</v>
      </c>
      <c r="B2318" s="6" t="str">
        <f>"530020230602115459110188"</f>
        <v>530020230602115459110188</v>
      </c>
      <c r="C2318" s="6" t="str">
        <f t="shared" si="148"/>
        <v>0206</v>
      </c>
      <c r="D2318" s="6" t="s">
        <v>26</v>
      </c>
      <c r="E2318" s="6" t="str">
        <f>"文海婷"</f>
        <v>文海婷</v>
      </c>
      <c r="F2318" s="6" t="str">
        <f t="shared" si="151"/>
        <v>女</v>
      </c>
    </row>
    <row r="2319" spans="1:6" ht="30" customHeight="1">
      <c r="A2319" s="6">
        <v>2317</v>
      </c>
      <c r="B2319" s="6" t="str">
        <f>"53002023052709284183754"</f>
        <v>53002023052709284183754</v>
      </c>
      <c r="C2319" s="6" t="str">
        <f aca="true" t="shared" si="152" ref="C2319:C2382">"0207"</f>
        <v>0207</v>
      </c>
      <c r="D2319" s="6" t="s">
        <v>27</v>
      </c>
      <c r="E2319" s="6" t="str">
        <f>"黎昌柳"</f>
        <v>黎昌柳</v>
      </c>
      <c r="F2319" s="6" t="str">
        <f t="shared" si="151"/>
        <v>女</v>
      </c>
    </row>
    <row r="2320" spans="1:6" ht="30" customHeight="1">
      <c r="A2320" s="6">
        <v>2318</v>
      </c>
      <c r="B2320" s="6" t="str">
        <f>"53002023052709533083852"</f>
        <v>53002023052709533083852</v>
      </c>
      <c r="C2320" s="6" t="str">
        <f t="shared" si="152"/>
        <v>0207</v>
      </c>
      <c r="D2320" s="6" t="s">
        <v>27</v>
      </c>
      <c r="E2320" s="6" t="str">
        <f>"何艳丽"</f>
        <v>何艳丽</v>
      </c>
      <c r="F2320" s="6" t="str">
        <f t="shared" si="151"/>
        <v>女</v>
      </c>
    </row>
    <row r="2321" spans="1:6" ht="30" customHeight="1">
      <c r="A2321" s="6">
        <v>2319</v>
      </c>
      <c r="B2321" s="6" t="str">
        <f>"53002023052710025883894"</f>
        <v>53002023052710025883894</v>
      </c>
      <c r="C2321" s="6" t="str">
        <f t="shared" si="152"/>
        <v>0207</v>
      </c>
      <c r="D2321" s="6" t="s">
        <v>27</v>
      </c>
      <c r="E2321" s="6" t="str">
        <f>"陈佳佳"</f>
        <v>陈佳佳</v>
      </c>
      <c r="F2321" s="6" t="str">
        <f t="shared" si="151"/>
        <v>女</v>
      </c>
    </row>
    <row r="2322" spans="1:6" ht="30" customHeight="1">
      <c r="A2322" s="6">
        <v>2320</v>
      </c>
      <c r="B2322" s="6" t="str">
        <f>"53002023052710515784130"</f>
        <v>53002023052710515784130</v>
      </c>
      <c r="C2322" s="6" t="str">
        <f t="shared" si="152"/>
        <v>0207</v>
      </c>
      <c r="D2322" s="6" t="s">
        <v>27</v>
      </c>
      <c r="E2322" s="6" t="str">
        <f>"林静"</f>
        <v>林静</v>
      </c>
      <c r="F2322" s="6" t="str">
        <f t="shared" si="151"/>
        <v>女</v>
      </c>
    </row>
    <row r="2323" spans="1:6" ht="30" customHeight="1">
      <c r="A2323" s="6">
        <v>2321</v>
      </c>
      <c r="B2323" s="6" t="str">
        <f>"53002023052710592084165"</f>
        <v>53002023052710592084165</v>
      </c>
      <c r="C2323" s="6" t="str">
        <f t="shared" si="152"/>
        <v>0207</v>
      </c>
      <c r="D2323" s="6" t="s">
        <v>27</v>
      </c>
      <c r="E2323" s="6" t="str">
        <f>"张博莲"</f>
        <v>张博莲</v>
      </c>
      <c r="F2323" s="6" t="str">
        <f t="shared" si="151"/>
        <v>女</v>
      </c>
    </row>
    <row r="2324" spans="1:6" ht="30" customHeight="1">
      <c r="A2324" s="6">
        <v>2322</v>
      </c>
      <c r="B2324" s="6" t="str">
        <f>"53002023052711212584262"</f>
        <v>53002023052711212584262</v>
      </c>
      <c r="C2324" s="6" t="str">
        <f t="shared" si="152"/>
        <v>0207</v>
      </c>
      <c r="D2324" s="6" t="s">
        <v>27</v>
      </c>
      <c r="E2324" s="6" t="str">
        <f>"郭立政"</f>
        <v>郭立政</v>
      </c>
      <c r="F2324" s="6" t="str">
        <f>"男"</f>
        <v>男</v>
      </c>
    </row>
    <row r="2325" spans="1:6" ht="30" customHeight="1">
      <c r="A2325" s="6">
        <v>2323</v>
      </c>
      <c r="B2325" s="6" t="str">
        <f>"53002023052713132384656"</f>
        <v>53002023052713132384656</v>
      </c>
      <c r="C2325" s="6" t="str">
        <f t="shared" si="152"/>
        <v>0207</v>
      </c>
      <c r="D2325" s="6" t="s">
        <v>27</v>
      </c>
      <c r="E2325" s="6" t="str">
        <f>"李仁妹"</f>
        <v>李仁妹</v>
      </c>
      <c r="F2325" s="6" t="str">
        <f aca="true" t="shared" si="153" ref="F2325:F2330">"女"</f>
        <v>女</v>
      </c>
    </row>
    <row r="2326" spans="1:6" ht="30" customHeight="1">
      <c r="A2326" s="6">
        <v>2324</v>
      </c>
      <c r="B2326" s="6" t="str">
        <f>"53002023052713151984670"</f>
        <v>53002023052713151984670</v>
      </c>
      <c r="C2326" s="6" t="str">
        <f t="shared" si="152"/>
        <v>0207</v>
      </c>
      <c r="D2326" s="6" t="s">
        <v>27</v>
      </c>
      <c r="E2326" s="6" t="str">
        <f>"吴云"</f>
        <v>吴云</v>
      </c>
      <c r="F2326" s="6" t="str">
        <f t="shared" si="153"/>
        <v>女</v>
      </c>
    </row>
    <row r="2327" spans="1:6" ht="30" customHeight="1">
      <c r="A2327" s="6">
        <v>2325</v>
      </c>
      <c r="B2327" s="6" t="str">
        <f>"53002023052714062584841"</f>
        <v>53002023052714062584841</v>
      </c>
      <c r="C2327" s="6" t="str">
        <f t="shared" si="152"/>
        <v>0207</v>
      </c>
      <c r="D2327" s="6" t="s">
        <v>27</v>
      </c>
      <c r="E2327" s="6" t="str">
        <f>"羊美菊"</f>
        <v>羊美菊</v>
      </c>
      <c r="F2327" s="6" t="str">
        <f t="shared" si="153"/>
        <v>女</v>
      </c>
    </row>
    <row r="2328" spans="1:6" ht="30" customHeight="1">
      <c r="A2328" s="6">
        <v>2326</v>
      </c>
      <c r="B2328" s="6" t="str">
        <f>"53002023052714110584859"</f>
        <v>53002023052714110584859</v>
      </c>
      <c r="C2328" s="6" t="str">
        <f t="shared" si="152"/>
        <v>0207</v>
      </c>
      <c r="D2328" s="6" t="s">
        <v>27</v>
      </c>
      <c r="E2328" s="6" t="str">
        <f>"唐小花"</f>
        <v>唐小花</v>
      </c>
      <c r="F2328" s="6" t="str">
        <f t="shared" si="153"/>
        <v>女</v>
      </c>
    </row>
    <row r="2329" spans="1:6" ht="30" customHeight="1">
      <c r="A2329" s="6">
        <v>2327</v>
      </c>
      <c r="B2329" s="6" t="str">
        <f>"53002023052714424284944"</f>
        <v>53002023052714424284944</v>
      </c>
      <c r="C2329" s="6" t="str">
        <f t="shared" si="152"/>
        <v>0207</v>
      </c>
      <c r="D2329" s="6" t="s">
        <v>27</v>
      </c>
      <c r="E2329" s="6" t="str">
        <f>"黎先爱"</f>
        <v>黎先爱</v>
      </c>
      <c r="F2329" s="6" t="str">
        <f t="shared" si="153"/>
        <v>女</v>
      </c>
    </row>
    <row r="2330" spans="1:6" ht="30" customHeight="1">
      <c r="A2330" s="6">
        <v>2328</v>
      </c>
      <c r="B2330" s="6" t="str">
        <f>"53002023052715043285019"</f>
        <v>53002023052715043285019</v>
      </c>
      <c r="C2330" s="6" t="str">
        <f t="shared" si="152"/>
        <v>0207</v>
      </c>
      <c r="D2330" s="6" t="s">
        <v>27</v>
      </c>
      <c r="E2330" s="6" t="str">
        <f>"徐惠娜"</f>
        <v>徐惠娜</v>
      </c>
      <c r="F2330" s="6" t="str">
        <f t="shared" si="153"/>
        <v>女</v>
      </c>
    </row>
    <row r="2331" spans="1:6" ht="30" customHeight="1">
      <c r="A2331" s="6">
        <v>2329</v>
      </c>
      <c r="B2331" s="6" t="str">
        <f>"53002023052710044183910"</f>
        <v>53002023052710044183910</v>
      </c>
      <c r="C2331" s="6" t="str">
        <f t="shared" si="152"/>
        <v>0207</v>
      </c>
      <c r="D2331" s="6" t="s">
        <v>27</v>
      </c>
      <c r="E2331" s="6" t="str">
        <f>"余文杰"</f>
        <v>余文杰</v>
      </c>
      <c r="F2331" s="6" t="str">
        <f>"男"</f>
        <v>男</v>
      </c>
    </row>
    <row r="2332" spans="1:6" ht="30" customHeight="1">
      <c r="A2332" s="6">
        <v>2330</v>
      </c>
      <c r="B2332" s="6" t="str">
        <f>"53002023052716520185395"</f>
        <v>53002023052716520185395</v>
      </c>
      <c r="C2332" s="6" t="str">
        <f t="shared" si="152"/>
        <v>0207</v>
      </c>
      <c r="D2332" s="6" t="s">
        <v>27</v>
      </c>
      <c r="E2332" s="6" t="str">
        <f>"黎小谢"</f>
        <v>黎小谢</v>
      </c>
      <c r="F2332" s="6" t="str">
        <f>"女"</f>
        <v>女</v>
      </c>
    </row>
    <row r="2333" spans="1:6" ht="30" customHeight="1">
      <c r="A2333" s="6">
        <v>2331</v>
      </c>
      <c r="B2333" s="6" t="str">
        <f>"53002023052716292485309"</f>
        <v>53002023052716292485309</v>
      </c>
      <c r="C2333" s="6" t="str">
        <f t="shared" si="152"/>
        <v>0207</v>
      </c>
      <c r="D2333" s="6" t="s">
        <v>27</v>
      </c>
      <c r="E2333" s="6" t="str">
        <f>"林晓月"</f>
        <v>林晓月</v>
      </c>
      <c r="F2333" s="6" t="str">
        <f>"女"</f>
        <v>女</v>
      </c>
    </row>
    <row r="2334" spans="1:6" ht="30" customHeight="1">
      <c r="A2334" s="6">
        <v>2332</v>
      </c>
      <c r="B2334" s="6" t="str">
        <f>"53002023052717061985446"</f>
        <v>53002023052717061985446</v>
      </c>
      <c r="C2334" s="6" t="str">
        <f t="shared" si="152"/>
        <v>0207</v>
      </c>
      <c r="D2334" s="6" t="s">
        <v>27</v>
      </c>
      <c r="E2334" s="6" t="str">
        <f>"符金飞"</f>
        <v>符金飞</v>
      </c>
      <c r="F2334" s="6" t="str">
        <f>"女"</f>
        <v>女</v>
      </c>
    </row>
    <row r="2335" spans="1:6" ht="30" customHeight="1">
      <c r="A2335" s="6">
        <v>2333</v>
      </c>
      <c r="B2335" s="6" t="str">
        <f>"53002023052717285785514"</f>
        <v>53002023052717285785514</v>
      </c>
      <c r="C2335" s="6" t="str">
        <f t="shared" si="152"/>
        <v>0207</v>
      </c>
      <c r="D2335" s="6" t="s">
        <v>27</v>
      </c>
      <c r="E2335" s="6" t="str">
        <f>"黄志灵"</f>
        <v>黄志灵</v>
      </c>
      <c r="F2335" s="6" t="str">
        <f>"女"</f>
        <v>女</v>
      </c>
    </row>
    <row r="2336" spans="1:6" ht="30" customHeight="1">
      <c r="A2336" s="6">
        <v>2334</v>
      </c>
      <c r="B2336" s="6" t="str">
        <f>"53002023052719072485764"</f>
        <v>53002023052719072485764</v>
      </c>
      <c r="C2336" s="6" t="str">
        <f t="shared" si="152"/>
        <v>0207</v>
      </c>
      <c r="D2336" s="6" t="s">
        <v>27</v>
      </c>
      <c r="E2336" s="6" t="str">
        <f>"林贤丽"</f>
        <v>林贤丽</v>
      </c>
      <c r="F2336" s="6" t="str">
        <f>"女"</f>
        <v>女</v>
      </c>
    </row>
    <row r="2337" spans="1:6" ht="30" customHeight="1">
      <c r="A2337" s="6">
        <v>2335</v>
      </c>
      <c r="B2337" s="6" t="str">
        <f>"53002023052721172086185"</f>
        <v>53002023052721172086185</v>
      </c>
      <c r="C2337" s="6" t="str">
        <f t="shared" si="152"/>
        <v>0207</v>
      </c>
      <c r="D2337" s="6" t="s">
        <v>27</v>
      </c>
      <c r="E2337" s="6" t="str">
        <f>"高德发"</f>
        <v>高德发</v>
      </c>
      <c r="F2337" s="6" t="str">
        <f>"男"</f>
        <v>男</v>
      </c>
    </row>
    <row r="2338" spans="1:6" ht="30" customHeight="1">
      <c r="A2338" s="6">
        <v>2336</v>
      </c>
      <c r="B2338" s="6" t="str">
        <f>"53002023052809272986857"</f>
        <v>53002023052809272986857</v>
      </c>
      <c r="C2338" s="6" t="str">
        <f t="shared" si="152"/>
        <v>0207</v>
      </c>
      <c r="D2338" s="6" t="s">
        <v>27</v>
      </c>
      <c r="E2338" s="6" t="str">
        <f>"李桂萍"</f>
        <v>李桂萍</v>
      </c>
      <c r="F2338" s="6" t="str">
        <f aca="true" t="shared" si="154" ref="F2338:F2343">"女"</f>
        <v>女</v>
      </c>
    </row>
    <row r="2339" spans="1:6" ht="30" customHeight="1">
      <c r="A2339" s="6">
        <v>2337</v>
      </c>
      <c r="B2339" s="6" t="str">
        <f>"53002023052810093886953"</f>
        <v>53002023052810093886953</v>
      </c>
      <c r="C2339" s="6" t="str">
        <f t="shared" si="152"/>
        <v>0207</v>
      </c>
      <c r="D2339" s="6" t="s">
        <v>27</v>
      </c>
      <c r="E2339" s="6" t="str">
        <f>"赵兴坤"</f>
        <v>赵兴坤</v>
      </c>
      <c r="F2339" s="6" t="str">
        <f t="shared" si="154"/>
        <v>女</v>
      </c>
    </row>
    <row r="2340" spans="1:6" ht="30" customHeight="1">
      <c r="A2340" s="6">
        <v>2338</v>
      </c>
      <c r="B2340" s="6" t="str">
        <f>"53002023052816453987986"</f>
        <v>53002023052816453987986</v>
      </c>
      <c r="C2340" s="6" t="str">
        <f t="shared" si="152"/>
        <v>0207</v>
      </c>
      <c r="D2340" s="6" t="s">
        <v>27</v>
      </c>
      <c r="E2340" s="6" t="str">
        <f>"黎小雯"</f>
        <v>黎小雯</v>
      </c>
      <c r="F2340" s="6" t="str">
        <f t="shared" si="154"/>
        <v>女</v>
      </c>
    </row>
    <row r="2341" spans="1:6" ht="30" customHeight="1">
      <c r="A2341" s="6">
        <v>2339</v>
      </c>
      <c r="B2341" s="6" t="str">
        <f>"53002023052816584388027"</f>
        <v>53002023052816584388027</v>
      </c>
      <c r="C2341" s="6" t="str">
        <f t="shared" si="152"/>
        <v>0207</v>
      </c>
      <c r="D2341" s="6" t="s">
        <v>27</v>
      </c>
      <c r="E2341" s="6" t="str">
        <f>"余业珍"</f>
        <v>余业珍</v>
      </c>
      <c r="F2341" s="6" t="str">
        <f t="shared" si="154"/>
        <v>女</v>
      </c>
    </row>
    <row r="2342" spans="1:6" ht="30" customHeight="1">
      <c r="A2342" s="6">
        <v>2340</v>
      </c>
      <c r="B2342" s="6" t="str">
        <f>"53002023052816562988017"</f>
        <v>53002023052816562988017</v>
      </c>
      <c r="C2342" s="6" t="str">
        <f t="shared" si="152"/>
        <v>0207</v>
      </c>
      <c r="D2342" s="6" t="s">
        <v>27</v>
      </c>
      <c r="E2342" s="6" t="str">
        <f>"郑南"</f>
        <v>郑南</v>
      </c>
      <c r="F2342" s="6" t="str">
        <f t="shared" si="154"/>
        <v>女</v>
      </c>
    </row>
    <row r="2343" spans="1:6" ht="30" customHeight="1">
      <c r="A2343" s="6">
        <v>2341</v>
      </c>
      <c r="B2343" s="6" t="str">
        <f>"53002023052817202788085"</f>
        <v>53002023052817202788085</v>
      </c>
      <c r="C2343" s="6" t="str">
        <f t="shared" si="152"/>
        <v>0207</v>
      </c>
      <c r="D2343" s="6" t="s">
        <v>27</v>
      </c>
      <c r="E2343" s="6" t="str">
        <f>"杨秀联"</f>
        <v>杨秀联</v>
      </c>
      <c r="F2343" s="6" t="str">
        <f t="shared" si="154"/>
        <v>女</v>
      </c>
    </row>
    <row r="2344" spans="1:6" ht="30" customHeight="1">
      <c r="A2344" s="6">
        <v>2342</v>
      </c>
      <c r="B2344" s="6" t="str">
        <f>"53002023052817444588190"</f>
        <v>53002023052817444588190</v>
      </c>
      <c r="C2344" s="6" t="str">
        <f t="shared" si="152"/>
        <v>0207</v>
      </c>
      <c r="D2344" s="6" t="s">
        <v>27</v>
      </c>
      <c r="E2344" s="6" t="str">
        <f>"吴锋"</f>
        <v>吴锋</v>
      </c>
      <c r="F2344" s="6" t="str">
        <f>"男"</f>
        <v>男</v>
      </c>
    </row>
    <row r="2345" spans="1:6" ht="30" customHeight="1">
      <c r="A2345" s="6">
        <v>2343</v>
      </c>
      <c r="B2345" s="6" t="str">
        <f>"53002023052819070888456"</f>
        <v>53002023052819070888456</v>
      </c>
      <c r="C2345" s="6" t="str">
        <f t="shared" si="152"/>
        <v>0207</v>
      </c>
      <c r="D2345" s="6" t="s">
        <v>27</v>
      </c>
      <c r="E2345" s="6" t="str">
        <f>"李婷"</f>
        <v>李婷</v>
      </c>
      <c r="F2345" s="6" t="str">
        <f aca="true" t="shared" si="155" ref="F2345:F2368">"女"</f>
        <v>女</v>
      </c>
    </row>
    <row r="2346" spans="1:6" ht="30" customHeight="1">
      <c r="A2346" s="6">
        <v>2344</v>
      </c>
      <c r="B2346" s="6" t="str">
        <f>"53002023052819383088529"</f>
        <v>53002023052819383088529</v>
      </c>
      <c r="C2346" s="6" t="str">
        <f t="shared" si="152"/>
        <v>0207</v>
      </c>
      <c r="D2346" s="6" t="s">
        <v>27</v>
      </c>
      <c r="E2346" s="6" t="str">
        <f>"张小婷"</f>
        <v>张小婷</v>
      </c>
      <c r="F2346" s="6" t="str">
        <f t="shared" si="155"/>
        <v>女</v>
      </c>
    </row>
    <row r="2347" spans="1:6" ht="30" customHeight="1">
      <c r="A2347" s="6">
        <v>2345</v>
      </c>
      <c r="B2347" s="6" t="str">
        <f>"53002023052821365788914"</f>
        <v>53002023052821365788914</v>
      </c>
      <c r="C2347" s="6" t="str">
        <f t="shared" si="152"/>
        <v>0207</v>
      </c>
      <c r="D2347" s="6" t="s">
        <v>27</v>
      </c>
      <c r="E2347" s="6" t="str">
        <f>"唐二花"</f>
        <v>唐二花</v>
      </c>
      <c r="F2347" s="6" t="str">
        <f t="shared" si="155"/>
        <v>女</v>
      </c>
    </row>
    <row r="2348" spans="1:6" ht="30" customHeight="1">
      <c r="A2348" s="6">
        <v>2346</v>
      </c>
      <c r="B2348" s="6" t="str">
        <f>"53002023052823193789250"</f>
        <v>53002023052823193789250</v>
      </c>
      <c r="C2348" s="6" t="str">
        <f t="shared" si="152"/>
        <v>0207</v>
      </c>
      <c r="D2348" s="6" t="s">
        <v>27</v>
      </c>
      <c r="E2348" s="6" t="str">
        <f>"郑雅慧"</f>
        <v>郑雅慧</v>
      </c>
      <c r="F2348" s="6" t="str">
        <f t="shared" si="155"/>
        <v>女</v>
      </c>
    </row>
    <row r="2349" spans="1:6" ht="30" customHeight="1">
      <c r="A2349" s="6">
        <v>2347</v>
      </c>
      <c r="B2349" s="6" t="str">
        <f>"53002023052711214184267"</f>
        <v>53002023052711214184267</v>
      </c>
      <c r="C2349" s="6" t="str">
        <f t="shared" si="152"/>
        <v>0207</v>
      </c>
      <c r="D2349" s="6" t="s">
        <v>27</v>
      </c>
      <c r="E2349" s="6" t="str">
        <f>"张松贝"</f>
        <v>张松贝</v>
      </c>
      <c r="F2349" s="6" t="str">
        <f t="shared" si="155"/>
        <v>女</v>
      </c>
    </row>
    <row r="2350" spans="1:6" ht="30" customHeight="1">
      <c r="A2350" s="6">
        <v>2348</v>
      </c>
      <c r="B2350" s="6" t="str">
        <f>"53002023052907510089450"</f>
        <v>53002023052907510089450</v>
      </c>
      <c r="C2350" s="6" t="str">
        <f t="shared" si="152"/>
        <v>0207</v>
      </c>
      <c r="D2350" s="6" t="s">
        <v>27</v>
      </c>
      <c r="E2350" s="6" t="str">
        <f>"朱照桃"</f>
        <v>朱照桃</v>
      </c>
      <c r="F2350" s="6" t="str">
        <f t="shared" si="155"/>
        <v>女</v>
      </c>
    </row>
    <row r="2351" spans="1:6" ht="30" customHeight="1">
      <c r="A2351" s="6">
        <v>2349</v>
      </c>
      <c r="B2351" s="6" t="str">
        <f>"53002023052823452589307"</f>
        <v>53002023052823452589307</v>
      </c>
      <c r="C2351" s="6" t="str">
        <f t="shared" si="152"/>
        <v>0207</v>
      </c>
      <c r="D2351" s="6" t="s">
        <v>27</v>
      </c>
      <c r="E2351" s="6" t="str">
        <f>"梁嘉金"</f>
        <v>梁嘉金</v>
      </c>
      <c r="F2351" s="6" t="str">
        <f t="shared" si="155"/>
        <v>女</v>
      </c>
    </row>
    <row r="2352" spans="1:6" ht="30" customHeight="1">
      <c r="A2352" s="6">
        <v>2350</v>
      </c>
      <c r="B2352" s="6" t="str">
        <f>"53002023052908041089477"</f>
        <v>53002023052908041089477</v>
      </c>
      <c r="C2352" s="6" t="str">
        <f t="shared" si="152"/>
        <v>0207</v>
      </c>
      <c r="D2352" s="6" t="s">
        <v>27</v>
      </c>
      <c r="E2352" s="6" t="str">
        <f>"朱美丽"</f>
        <v>朱美丽</v>
      </c>
      <c r="F2352" s="6" t="str">
        <f t="shared" si="155"/>
        <v>女</v>
      </c>
    </row>
    <row r="2353" spans="1:6" ht="30" customHeight="1">
      <c r="A2353" s="6">
        <v>2351</v>
      </c>
      <c r="B2353" s="6" t="str">
        <f>"53002023052710403684078"</f>
        <v>53002023052710403684078</v>
      </c>
      <c r="C2353" s="6" t="str">
        <f t="shared" si="152"/>
        <v>0207</v>
      </c>
      <c r="D2353" s="6" t="s">
        <v>27</v>
      </c>
      <c r="E2353" s="6" t="str">
        <f>"周富"</f>
        <v>周富</v>
      </c>
      <c r="F2353" s="6" t="str">
        <f t="shared" si="155"/>
        <v>女</v>
      </c>
    </row>
    <row r="2354" spans="1:6" ht="30" customHeight="1">
      <c r="A2354" s="6">
        <v>2352</v>
      </c>
      <c r="B2354" s="6" t="str">
        <f>"53002023052909012189690"</f>
        <v>53002023052909012189690</v>
      </c>
      <c r="C2354" s="6" t="str">
        <f t="shared" si="152"/>
        <v>0207</v>
      </c>
      <c r="D2354" s="6" t="s">
        <v>27</v>
      </c>
      <c r="E2354" s="6" t="str">
        <f>"羊燕"</f>
        <v>羊燕</v>
      </c>
      <c r="F2354" s="6" t="str">
        <f t="shared" si="155"/>
        <v>女</v>
      </c>
    </row>
    <row r="2355" spans="1:6" ht="30" customHeight="1">
      <c r="A2355" s="6">
        <v>2353</v>
      </c>
      <c r="B2355" s="6" t="str">
        <f>"53002023052909140489913"</f>
        <v>53002023052909140489913</v>
      </c>
      <c r="C2355" s="6" t="str">
        <f t="shared" si="152"/>
        <v>0207</v>
      </c>
      <c r="D2355" s="6" t="s">
        <v>27</v>
      </c>
      <c r="E2355" s="6" t="str">
        <f>"许文雅"</f>
        <v>许文雅</v>
      </c>
      <c r="F2355" s="6" t="str">
        <f t="shared" si="155"/>
        <v>女</v>
      </c>
    </row>
    <row r="2356" spans="1:6" ht="30" customHeight="1">
      <c r="A2356" s="6">
        <v>2354</v>
      </c>
      <c r="B2356" s="6" t="str">
        <f>"53002023052908462589619"</f>
        <v>53002023052908462589619</v>
      </c>
      <c r="C2356" s="6" t="str">
        <f t="shared" si="152"/>
        <v>0207</v>
      </c>
      <c r="D2356" s="6" t="s">
        <v>27</v>
      </c>
      <c r="E2356" s="6" t="str">
        <f>"李月美"</f>
        <v>李月美</v>
      </c>
      <c r="F2356" s="6" t="str">
        <f t="shared" si="155"/>
        <v>女</v>
      </c>
    </row>
    <row r="2357" spans="1:6" ht="30" customHeight="1">
      <c r="A2357" s="6">
        <v>2355</v>
      </c>
      <c r="B2357" s="6" t="str">
        <f>"53002023052909531290359"</f>
        <v>53002023052909531290359</v>
      </c>
      <c r="C2357" s="6" t="str">
        <f t="shared" si="152"/>
        <v>0207</v>
      </c>
      <c r="D2357" s="6" t="s">
        <v>27</v>
      </c>
      <c r="E2357" s="6" t="str">
        <f>"李祥燕"</f>
        <v>李祥燕</v>
      </c>
      <c r="F2357" s="6" t="str">
        <f t="shared" si="155"/>
        <v>女</v>
      </c>
    </row>
    <row r="2358" spans="1:6" ht="30" customHeight="1">
      <c r="A2358" s="6">
        <v>2356</v>
      </c>
      <c r="B2358" s="6" t="str">
        <f>"53002023052717580185603"</f>
        <v>53002023052717580185603</v>
      </c>
      <c r="C2358" s="6" t="str">
        <f t="shared" si="152"/>
        <v>0207</v>
      </c>
      <c r="D2358" s="6" t="s">
        <v>27</v>
      </c>
      <c r="E2358" s="6" t="str">
        <f>"陈秋萍"</f>
        <v>陈秋萍</v>
      </c>
      <c r="F2358" s="6" t="str">
        <f t="shared" si="155"/>
        <v>女</v>
      </c>
    </row>
    <row r="2359" spans="1:6" ht="30" customHeight="1">
      <c r="A2359" s="6">
        <v>2357</v>
      </c>
      <c r="B2359" s="6" t="str">
        <f>"53002023052910114990573"</f>
        <v>53002023052910114990573</v>
      </c>
      <c r="C2359" s="6" t="str">
        <f t="shared" si="152"/>
        <v>0207</v>
      </c>
      <c r="D2359" s="6" t="s">
        <v>27</v>
      </c>
      <c r="E2359" s="6" t="str">
        <f>"甘海菊"</f>
        <v>甘海菊</v>
      </c>
      <c r="F2359" s="6" t="str">
        <f t="shared" si="155"/>
        <v>女</v>
      </c>
    </row>
    <row r="2360" spans="1:6" ht="30" customHeight="1">
      <c r="A2360" s="6">
        <v>2358</v>
      </c>
      <c r="B2360" s="6" t="str">
        <f>"53002023052909594790447"</f>
        <v>53002023052909594790447</v>
      </c>
      <c r="C2360" s="6" t="str">
        <f t="shared" si="152"/>
        <v>0207</v>
      </c>
      <c r="D2360" s="6" t="s">
        <v>27</v>
      </c>
      <c r="E2360" s="6" t="str">
        <f>"黎坚彩"</f>
        <v>黎坚彩</v>
      </c>
      <c r="F2360" s="6" t="str">
        <f t="shared" si="155"/>
        <v>女</v>
      </c>
    </row>
    <row r="2361" spans="1:6" ht="30" customHeight="1">
      <c r="A2361" s="6">
        <v>2359</v>
      </c>
      <c r="B2361" s="6" t="str">
        <f>"53002023052910500091027"</f>
        <v>53002023052910500091027</v>
      </c>
      <c r="C2361" s="6" t="str">
        <f t="shared" si="152"/>
        <v>0207</v>
      </c>
      <c r="D2361" s="6" t="s">
        <v>27</v>
      </c>
      <c r="E2361" s="6" t="str">
        <f>"陈青霞"</f>
        <v>陈青霞</v>
      </c>
      <c r="F2361" s="6" t="str">
        <f t="shared" si="155"/>
        <v>女</v>
      </c>
    </row>
    <row r="2362" spans="1:6" ht="30" customHeight="1">
      <c r="A2362" s="6">
        <v>2360</v>
      </c>
      <c r="B2362" s="6" t="str">
        <f>"53002023052716412685355"</f>
        <v>53002023052716412685355</v>
      </c>
      <c r="C2362" s="6" t="str">
        <f t="shared" si="152"/>
        <v>0207</v>
      </c>
      <c r="D2362" s="6" t="s">
        <v>27</v>
      </c>
      <c r="E2362" s="6" t="str">
        <f>"李海川"</f>
        <v>李海川</v>
      </c>
      <c r="F2362" s="6" t="str">
        <f t="shared" si="155"/>
        <v>女</v>
      </c>
    </row>
    <row r="2363" spans="1:6" ht="30" customHeight="1">
      <c r="A2363" s="6">
        <v>2361</v>
      </c>
      <c r="B2363" s="6" t="str">
        <f>"53002023052911162091269"</f>
        <v>53002023052911162091269</v>
      </c>
      <c r="C2363" s="6" t="str">
        <f t="shared" si="152"/>
        <v>0207</v>
      </c>
      <c r="D2363" s="6" t="s">
        <v>27</v>
      </c>
      <c r="E2363" s="6" t="str">
        <f>"房柯宇"</f>
        <v>房柯宇</v>
      </c>
      <c r="F2363" s="6" t="str">
        <f t="shared" si="155"/>
        <v>女</v>
      </c>
    </row>
    <row r="2364" spans="1:6" ht="30" customHeight="1">
      <c r="A2364" s="6">
        <v>2362</v>
      </c>
      <c r="B2364" s="6" t="str">
        <f>"53002023052910401790916"</f>
        <v>53002023052910401790916</v>
      </c>
      <c r="C2364" s="6" t="str">
        <f t="shared" si="152"/>
        <v>0207</v>
      </c>
      <c r="D2364" s="6" t="s">
        <v>27</v>
      </c>
      <c r="E2364" s="6" t="str">
        <f>"冯才颜"</f>
        <v>冯才颜</v>
      </c>
      <c r="F2364" s="6" t="str">
        <f t="shared" si="155"/>
        <v>女</v>
      </c>
    </row>
    <row r="2365" spans="1:6" ht="30" customHeight="1">
      <c r="A2365" s="6">
        <v>2363</v>
      </c>
      <c r="B2365" s="6" t="str">
        <f>"53002023052911332791416"</f>
        <v>53002023052911332791416</v>
      </c>
      <c r="C2365" s="6" t="str">
        <f t="shared" si="152"/>
        <v>0207</v>
      </c>
      <c r="D2365" s="6" t="s">
        <v>27</v>
      </c>
      <c r="E2365" s="6" t="str">
        <f>"梁盈"</f>
        <v>梁盈</v>
      </c>
      <c r="F2365" s="6" t="str">
        <f t="shared" si="155"/>
        <v>女</v>
      </c>
    </row>
    <row r="2366" spans="1:6" ht="30" customHeight="1">
      <c r="A2366" s="6">
        <v>2364</v>
      </c>
      <c r="B2366" s="6" t="str">
        <f>"53002023052813000487395"</f>
        <v>53002023052813000487395</v>
      </c>
      <c r="C2366" s="6" t="str">
        <f t="shared" si="152"/>
        <v>0207</v>
      </c>
      <c r="D2366" s="6" t="s">
        <v>27</v>
      </c>
      <c r="E2366" s="6" t="str">
        <f>"柳雨霞"</f>
        <v>柳雨霞</v>
      </c>
      <c r="F2366" s="6" t="str">
        <f t="shared" si="155"/>
        <v>女</v>
      </c>
    </row>
    <row r="2367" spans="1:6" ht="30" customHeight="1">
      <c r="A2367" s="6">
        <v>2365</v>
      </c>
      <c r="B2367" s="6" t="str">
        <f>"53002023052821490888955"</f>
        <v>53002023052821490888955</v>
      </c>
      <c r="C2367" s="6" t="str">
        <f t="shared" si="152"/>
        <v>0207</v>
      </c>
      <c r="D2367" s="6" t="s">
        <v>27</v>
      </c>
      <c r="E2367" s="6" t="str">
        <f>"梁译匀"</f>
        <v>梁译匀</v>
      </c>
      <c r="F2367" s="6" t="str">
        <f t="shared" si="155"/>
        <v>女</v>
      </c>
    </row>
    <row r="2368" spans="1:6" ht="30" customHeight="1">
      <c r="A2368" s="6">
        <v>2366</v>
      </c>
      <c r="B2368" s="6" t="str">
        <f>"53002023052710304984031"</f>
        <v>53002023052710304984031</v>
      </c>
      <c r="C2368" s="6" t="str">
        <f t="shared" si="152"/>
        <v>0207</v>
      </c>
      <c r="D2368" s="6" t="s">
        <v>27</v>
      </c>
      <c r="E2368" s="6" t="str">
        <f>"周活"</f>
        <v>周活</v>
      </c>
      <c r="F2368" s="6" t="str">
        <f t="shared" si="155"/>
        <v>女</v>
      </c>
    </row>
    <row r="2369" spans="1:6" ht="30" customHeight="1">
      <c r="A2369" s="6">
        <v>2367</v>
      </c>
      <c r="B2369" s="6" t="str">
        <f>"53002023052820581088783"</f>
        <v>53002023052820581088783</v>
      </c>
      <c r="C2369" s="6" t="str">
        <f t="shared" si="152"/>
        <v>0207</v>
      </c>
      <c r="D2369" s="6" t="s">
        <v>27</v>
      </c>
      <c r="E2369" s="6" t="str">
        <f>"朱大帅"</f>
        <v>朱大帅</v>
      </c>
      <c r="F2369" s="6" t="str">
        <f>"男"</f>
        <v>男</v>
      </c>
    </row>
    <row r="2370" spans="1:6" ht="30" customHeight="1">
      <c r="A2370" s="6">
        <v>2368</v>
      </c>
      <c r="B2370" s="6" t="str">
        <f>"53002023052907113089419"</f>
        <v>53002023052907113089419</v>
      </c>
      <c r="C2370" s="6" t="str">
        <f t="shared" si="152"/>
        <v>0207</v>
      </c>
      <c r="D2370" s="6" t="s">
        <v>27</v>
      </c>
      <c r="E2370" s="6" t="str">
        <f>"王优"</f>
        <v>王优</v>
      </c>
      <c r="F2370" s="6" t="str">
        <f>"男"</f>
        <v>男</v>
      </c>
    </row>
    <row r="2371" spans="1:6" ht="30" customHeight="1">
      <c r="A2371" s="6">
        <v>2369</v>
      </c>
      <c r="B2371" s="6" t="str">
        <f>"53002023052913261092184"</f>
        <v>53002023052913261092184</v>
      </c>
      <c r="C2371" s="6" t="str">
        <f t="shared" si="152"/>
        <v>0207</v>
      </c>
      <c r="D2371" s="6" t="s">
        <v>27</v>
      </c>
      <c r="E2371" s="6" t="str">
        <f>"谢川秋"</f>
        <v>谢川秋</v>
      </c>
      <c r="F2371" s="6" t="str">
        <f aca="true" t="shared" si="156" ref="F2371:F2378">"女"</f>
        <v>女</v>
      </c>
    </row>
    <row r="2372" spans="1:6" ht="30" customHeight="1">
      <c r="A2372" s="6">
        <v>2370</v>
      </c>
      <c r="B2372" s="6" t="str">
        <f>"53002023052913344592227"</f>
        <v>53002023052913344592227</v>
      </c>
      <c r="C2372" s="6" t="str">
        <f t="shared" si="152"/>
        <v>0207</v>
      </c>
      <c r="D2372" s="6" t="s">
        <v>27</v>
      </c>
      <c r="E2372" s="6" t="str">
        <f>"朱春蕾"</f>
        <v>朱春蕾</v>
      </c>
      <c r="F2372" s="6" t="str">
        <f t="shared" si="156"/>
        <v>女</v>
      </c>
    </row>
    <row r="2373" spans="1:6" ht="30" customHeight="1">
      <c r="A2373" s="6">
        <v>2371</v>
      </c>
      <c r="B2373" s="6" t="str">
        <f>"53002023052910021490472"</f>
        <v>53002023052910021490472</v>
      </c>
      <c r="C2373" s="6" t="str">
        <f t="shared" si="152"/>
        <v>0207</v>
      </c>
      <c r="D2373" s="6" t="s">
        <v>27</v>
      </c>
      <c r="E2373" s="6" t="str">
        <f>"林启米"</f>
        <v>林启米</v>
      </c>
      <c r="F2373" s="6" t="str">
        <f t="shared" si="156"/>
        <v>女</v>
      </c>
    </row>
    <row r="2374" spans="1:6" ht="30" customHeight="1">
      <c r="A2374" s="6">
        <v>2372</v>
      </c>
      <c r="B2374" s="6" t="str">
        <f>"53002023052916013493124"</f>
        <v>53002023052916013493124</v>
      </c>
      <c r="C2374" s="6" t="str">
        <f t="shared" si="152"/>
        <v>0207</v>
      </c>
      <c r="D2374" s="6" t="s">
        <v>27</v>
      </c>
      <c r="E2374" s="6" t="str">
        <f>"梁雪棚"</f>
        <v>梁雪棚</v>
      </c>
      <c r="F2374" s="6" t="str">
        <f t="shared" si="156"/>
        <v>女</v>
      </c>
    </row>
    <row r="2375" spans="1:6" ht="30" customHeight="1">
      <c r="A2375" s="6">
        <v>2373</v>
      </c>
      <c r="B2375" s="6" t="str">
        <f>"53002023052916343893390"</f>
        <v>53002023052916343893390</v>
      </c>
      <c r="C2375" s="6" t="str">
        <f t="shared" si="152"/>
        <v>0207</v>
      </c>
      <c r="D2375" s="6" t="s">
        <v>27</v>
      </c>
      <c r="E2375" s="6" t="str">
        <f>"王琼扬"</f>
        <v>王琼扬</v>
      </c>
      <c r="F2375" s="6" t="str">
        <f t="shared" si="156"/>
        <v>女</v>
      </c>
    </row>
    <row r="2376" spans="1:6" ht="30" customHeight="1">
      <c r="A2376" s="6">
        <v>2374</v>
      </c>
      <c r="B2376" s="6" t="str">
        <f>"53002023052916145893243"</f>
        <v>53002023052916145893243</v>
      </c>
      <c r="C2376" s="6" t="str">
        <f t="shared" si="152"/>
        <v>0207</v>
      </c>
      <c r="D2376" s="6" t="s">
        <v>27</v>
      </c>
      <c r="E2376" s="6" t="str">
        <f>"吴带秀"</f>
        <v>吴带秀</v>
      </c>
      <c r="F2376" s="6" t="str">
        <f t="shared" si="156"/>
        <v>女</v>
      </c>
    </row>
    <row r="2377" spans="1:6" ht="30" customHeight="1">
      <c r="A2377" s="6">
        <v>2375</v>
      </c>
      <c r="B2377" s="6" t="str">
        <f>"53002023052917010493573"</f>
        <v>53002023052917010493573</v>
      </c>
      <c r="C2377" s="6" t="str">
        <f t="shared" si="152"/>
        <v>0207</v>
      </c>
      <c r="D2377" s="6" t="s">
        <v>27</v>
      </c>
      <c r="E2377" s="6" t="str">
        <f>"符坤梅"</f>
        <v>符坤梅</v>
      </c>
      <c r="F2377" s="6" t="str">
        <f t="shared" si="156"/>
        <v>女</v>
      </c>
    </row>
    <row r="2378" spans="1:6" ht="30" customHeight="1">
      <c r="A2378" s="6">
        <v>2376</v>
      </c>
      <c r="B2378" s="6" t="str">
        <f>"53002023052911550591597"</f>
        <v>53002023052911550591597</v>
      </c>
      <c r="C2378" s="6" t="str">
        <f t="shared" si="152"/>
        <v>0207</v>
      </c>
      <c r="D2378" s="6" t="s">
        <v>27</v>
      </c>
      <c r="E2378" s="6" t="str">
        <f>"麦名蕴"</f>
        <v>麦名蕴</v>
      </c>
      <c r="F2378" s="6" t="str">
        <f t="shared" si="156"/>
        <v>女</v>
      </c>
    </row>
    <row r="2379" spans="1:6" ht="30" customHeight="1">
      <c r="A2379" s="6">
        <v>2377</v>
      </c>
      <c r="B2379" s="6" t="str">
        <f>"53002023052909393390204"</f>
        <v>53002023052909393390204</v>
      </c>
      <c r="C2379" s="6" t="str">
        <f t="shared" si="152"/>
        <v>0207</v>
      </c>
      <c r="D2379" s="6" t="s">
        <v>27</v>
      </c>
      <c r="E2379" s="6" t="str">
        <f>"李国清"</f>
        <v>李国清</v>
      </c>
      <c r="F2379" s="6" t="str">
        <f>"男"</f>
        <v>男</v>
      </c>
    </row>
    <row r="2380" spans="1:6" ht="30" customHeight="1">
      <c r="A2380" s="6">
        <v>2378</v>
      </c>
      <c r="B2380" s="6" t="str">
        <f>"53002023052917382593776"</f>
        <v>53002023052917382593776</v>
      </c>
      <c r="C2380" s="6" t="str">
        <f t="shared" si="152"/>
        <v>0207</v>
      </c>
      <c r="D2380" s="6" t="s">
        <v>27</v>
      </c>
      <c r="E2380" s="6" t="str">
        <f>"吴兰"</f>
        <v>吴兰</v>
      </c>
      <c r="F2380" s="6" t="str">
        <f aca="true" t="shared" si="157" ref="F2380:F2388">"女"</f>
        <v>女</v>
      </c>
    </row>
    <row r="2381" spans="1:6" ht="30" customHeight="1">
      <c r="A2381" s="6">
        <v>2379</v>
      </c>
      <c r="B2381" s="6" t="str">
        <f>"53002023052917263093718"</f>
        <v>53002023052917263093718</v>
      </c>
      <c r="C2381" s="6" t="str">
        <f t="shared" si="152"/>
        <v>0207</v>
      </c>
      <c r="D2381" s="6" t="s">
        <v>27</v>
      </c>
      <c r="E2381" s="6" t="str">
        <f>"吴春蕊"</f>
        <v>吴春蕊</v>
      </c>
      <c r="F2381" s="6" t="str">
        <f t="shared" si="157"/>
        <v>女</v>
      </c>
    </row>
    <row r="2382" spans="1:6" ht="30" customHeight="1">
      <c r="A2382" s="6">
        <v>2380</v>
      </c>
      <c r="B2382" s="6" t="str">
        <f>"53002023052917521193853"</f>
        <v>53002023052917521193853</v>
      </c>
      <c r="C2382" s="6" t="str">
        <f t="shared" si="152"/>
        <v>0207</v>
      </c>
      <c r="D2382" s="6" t="s">
        <v>27</v>
      </c>
      <c r="E2382" s="6" t="str">
        <f>"吴家妃"</f>
        <v>吴家妃</v>
      </c>
      <c r="F2382" s="6" t="str">
        <f t="shared" si="157"/>
        <v>女</v>
      </c>
    </row>
    <row r="2383" spans="1:6" ht="30" customHeight="1">
      <c r="A2383" s="6">
        <v>2381</v>
      </c>
      <c r="B2383" s="6" t="str">
        <f>"53002023052918104393936"</f>
        <v>53002023052918104393936</v>
      </c>
      <c r="C2383" s="6" t="str">
        <f aca="true" t="shared" si="158" ref="C2383:C2446">"0207"</f>
        <v>0207</v>
      </c>
      <c r="D2383" s="6" t="s">
        <v>27</v>
      </c>
      <c r="E2383" s="6" t="str">
        <f>"何仁妹"</f>
        <v>何仁妹</v>
      </c>
      <c r="F2383" s="6" t="str">
        <f t="shared" si="157"/>
        <v>女</v>
      </c>
    </row>
    <row r="2384" spans="1:6" ht="30" customHeight="1">
      <c r="A2384" s="6">
        <v>2382</v>
      </c>
      <c r="B2384" s="6" t="str">
        <f>"53002023052918031193899"</f>
        <v>53002023052918031193899</v>
      </c>
      <c r="C2384" s="6" t="str">
        <f t="shared" si="158"/>
        <v>0207</v>
      </c>
      <c r="D2384" s="6" t="s">
        <v>27</v>
      </c>
      <c r="E2384" s="6" t="str">
        <f>"彭菊丽"</f>
        <v>彭菊丽</v>
      </c>
      <c r="F2384" s="6" t="str">
        <f t="shared" si="157"/>
        <v>女</v>
      </c>
    </row>
    <row r="2385" spans="1:6" ht="30" customHeight="1">
      <c r="A2385" s="6">
        <v>2383</v>
      </c>
      <c r="B2385" s="6" t="str">
        <f>"53002023052918370294053"</f>
        <v>53002023052918370294053</v>
      </c>
      <c r="C2385" s="6" t="str">
        <f t="shared" si="158"/>
        <v>0207</v>
      </c>
      <c r="D2385" s="6" t="s">
        <v>27</v>
      </c>
      <c r="E2385" s="6" t="str">
        <f>"郭妹雄"</f>
        <v>郭妹雄</v>
      </c>
      <c r="F2385" s="6" t="str">
        <f t="shared" si="157"/>
        <v>女</v>
      </c>
    </row>
    <row r="2386" spans="1:6" ht="30" customHeight="1">
      <c r="A2386" s="6">
        <v>2384</v>
      </c>
      <c r="B2386" s="6" t="str">
        <f>"53002023052916182693267"</f>
        <v>53002023052916182693267</v>
      </c>
      <c r="C2386" s="6" t="str">
        <f t="shared" si="158"/>
        <v>0207</v>
      </c>
      <c r="D2386" s="6" t="s">
        <v>27</v>
      </c>
      <c r="E2386" s="6" t="str">
        <f>"韩子珍"</f>
        <v>韩子珍</v>
      </c>
      <c r="F2386" s="6" t="str">
        <f t="shared" si="157"/>
        <v>女</v>
      </c>
    </row>
    <row r="2387" spans="1:6" ht="30" customHeight="1">
      <c r="A2387" s="6">
        <v>2385</v>
      </c>
      <c r="B2387" s="6" t="str">
        <f>"53002023052919110294192"</f>
        <v>53002023052919110294192</v>
      </c>
      <c r="C2387" s="6" t="str">
        <f t="shared" si="158"/>
        <v>0207</v>
      </c>
      <c r="D2387" s="6" t="s">
        <v>27</v>
      </c>
      <c r="E2387" s="6" t="str">
        <f>"陈丽兰"</f>
        <v>陈丽兰</v>
      </c>
      <c r="F2387" s="6" t="str">
        <f t="shared" si="157"/>
        <v>女</v>
      </c>
    </row>
    <row r="2388" spans="1:6" ht="30" customHeight="1">
      <c r="A2388" s="6">
        <v>2386</v>
      </c>
      <c r="B2388" s="6" t="str">
        <f>"53002023052719393085851"</f>
        <v>53002023052719393085851</v>
      </c>
      <c r="C2388" s="6" t="str">
        <f t="shared" si="158"/>
        <v>0207</v>
      </c>
      <c r="D2388" s="6" t="s">
        <v>27</v>
      </c>
      <c r="E2388" s="6" t="str">
        <f>"张海虹"</f>
        <v>张海虹</v>
      </c>
      <c r="F2388" s="6" t="str">
        <f t="shared" si="157"/>
        <v>女</v>
      </c>
    </row>
    <row r="2389" spans="1:6" ht="30" customHeight="1">
      <c r="A2389" s="6">
        <v>2387</v>
      </c>
      <c r="B2389" s="6" t="str">
        <f>"53002023052920070794445"</f>
        <v>53002023052920070794445</v>
      </c>
      <c r="C2389" s="6" t="str">
        <f t="shared" si="158"/>
        <v>0207</v>
      </c>
      <c r="D2389" s="6" t="s">
        <v>27</v>
      </c>
      <c r="E2389" s="6" t="str">
        <f>"杨炳汉"</f>
        <v>杨炳汉</v>
      </c>
      <c r="F2389" s="6" t="str">
        <f>"男"</f>
        <v>男</v>
      </c>
    </row>
    <row r="2390" spans="1:6" ht="30" customHeight="1">
      <c r="A2390" s="6">
        <v>2388</v>
      </c>
      <c r="B2390" s="6" t="str">
        <f>"53002023052911375291448"</f>
        <v>53002023052911375291448</v>
      </c>
      <c r="C2390" s="6" t="str">
        <f t="shared" si="158"/>
        <v>0207</v>
      </c>
      <c r="D2390" s="6" t="s">
        <v>27</v>
      </c>
      <c r="E2390" s="6" t="str">
        <f>"王清荣"</f>
        <v>王清荣</v>
      </c>
      <c r="F2390" s="6" t="str">
        <f aca="true" t="shared" si="159" ref="F2390:F2396">"女"</f>
        <v>女</v>
      </c>
    </row>
    <row r="2391" spans="1:6" ht="30" customHeight="1">
      <c r="A2391" s="6">
        <v>2389</v>
      </c>
      <c r="B2391" s="6" t="str">
        <f>"53002023052920423494623"</f>
        <v>53002023052920423494623</v>
      </c>
      <c r="C2391" s="6" t="str">
        <f t="shared" si="158"/>
        <v>0207</v>
      </c>
      <c r="D2391" s="6" t="s">
        <v>27</v>
      </c>
      <c r="E2391" s="6" t="str">
        <f>"符丽莉"</f>
        <v>符丽莉</v>
      </c>
      <c r="F2391" s="6" t="str">
        <f t="shared" si="159"/>
        <v>女</v>
      </c>
    </row>
    <row r="2392" spans="1:6" ht="30" customHeight="1">
      <c r="A2392" s="6">
        <v>2390</v>
      </c>
      <c r="B2392" s="6" t="str">
        <f>"53002023052920395894605"</f>
        <v>53002023052920395894605</v>
      </c>
      <c r="C2392" s="6" t="str">
        <f t="shared" si="158"/>
        <v>0207</v>
      </c>
      <c r="D2392" s="6" t="s">
        <v>27</v>
      </c>
      <c r="E2392" s="6" t="str">
        <f>"彭娜"</f>
        <v>彭娜</v>
      </c>
      <c r="F2392" s="6" t="str">
        <f t="shared" si="159"/>
        <v>女</v>
      </c>
    </row>
    <row r="2393" spans="1:6" ht="30" customHeight="1">
      <c r="A2393" s="6">
        <v>2391</v>
      </c>
      <c r="B2393" s="6" t="str">
        <f>"53002023052908420589604"</f>
        <v>53002023052908420589604</v>
      </c>
      <c r="C2393" s="6" t="str">
        <f t="shared" si="158"/>
        <v>0207</v>
      </c>
      <c r="D2393" s="6" t="s">
        <v>27</v>
      </c>
      <c r="E2393" s="6" t="str">
        <f>"吴梅妹"</f>
        <v>吴梅妹</v>
      </c>
      <c r="F2393" s="6" t="str">
        <f t="shared" si="159"/>
        <v>女</v>
      </c>
    </row>
    <row r="2394" spans="1:6" ht="30" customHeight="1">
      <c r="A2394" s="6">
        <v>2392</v>
      </c>
      <c r="B2394" s="6" t="str">
        <f>"53002023052910183090658"</f>
        <v>53002023052910183090658</v>
      </c>
      <c r="C2394" s="6" t="str">
        <f t="shared" si="158"/>
        <v>0207</v>
      </c>
      <c r="D2394" s="6" t="s">
        <v>27</v>
      </c>
      <c r="E2394" s="6" t="str">
        <f>"王玉花"</f>
        <v>王玉花</v>
      </c>
      <c r="F2394" s="6" t="str">
        <f t="shared" si="159"/>
        <v>女</v>
      </c>
    </row>
    <row r="2395" spans="1:6" ht="30" customHeight="1">
      <c r="A2395" s="6">
        <v>2393</v>
      </c>
      <c r="B2395" s="6" t="str">
        <f>"53002023052922191695186"</f>
        <v>53002023052922191695186</v>
      </c>
      <c r="C2395" s="6" t="str">
        <f t="shared" si="158"/>
        <v>0207</v>
      </c>
      <c r="D2395" s="6" t="s">
        <v>27</v>
      </c>
      <c r="E2395" s="6" t="str">
        <f>"李慧玲"</f>
        <v>李慧玲</v>
      </c>
      <c r="F2395" s="6" t="str">
        <f t="shared" si="159"/>
        <v>女</v>
      </c>
    </row>
    <row r="2396" spans="1:6" ht="30" customHeight="1">
      <c r="A2396" s="6">
        <v>2394</v>
      </c>
      <c r="B2396" s="6" t="str">
        <f>"53002023052909162889948"</f>
        <v>53002023052909162889948</v>
      </c>
      <c r="C2396" s="6" t="str">
        <f t="shared" si="158"/>
        <v>0207</v>
      </c>
      <c r="D2396" s="6" t="s">
        <v>27</v>
      </c>
      <c r="E2396" s="6" t="str">
        <f>"叶秋余"</f>
        <v>叶秋余</v>
      </c>
      <c r="F2396" s="6" t="str">
        <f t="shared" si="159"/>
        <v>女</v>
      </c>
    </row>
    <row r="2397" spans="1:6" ht="30" customHeight="1">
      <c r="A2397" s="6">
        <v>2395</v>
      </c>
      <c r="B2397" s="6" t="str">
        <f>"53002023052923150595481"</f>
        <v>53002023052923150595481</v>
      </c>
      <c r="C2397" s="6" t="str">
        <f t="shared" si="158"/>
        <v>0207</v>
      </c>
      <c r="D2397" s="6" t="s">
        <v>27</v>
      </c>
      <c r="E2397" s="6" t="str">
        <f>"麦永怀"</f>
        <v>麦永怀</v>
      </c>
      <c r="F2397" s="6" t="str">
        <f>"男"</f>
        <v>男</v>
      </c>
    </row>
    <row r="2398" spans="1:6" ht="30" customHeight="1">
      <c r="A2398" s="6">
        <v>2396</v>
      </c>
      <c r="B2398" s="6" t="str">
        <f>"53002023052923375495563"</f>
        <v>53002023052923375495563</v>
      </c>
      <c r="C2398" s="6" t="str">
        <f t="shared" si="158"/>
        <v>0207</v>
      </c>
      <c r="D2398" s="6" t="s">
        <v>27</v>
      </c>
      <c r="E2398" s="6" t="str">
        <f>"邓云花"</f>
        <v>邓云花</v>
      </c>
      <c r="F2398" s="6" t="str">
        <f aca="true" t="shared" si="160" ref="F2398:F2422">"女"</f>
        <v>女</v>
      </c>
    </row>
    <row r="2399" spans="1:6" ht="30" customHeight="1">
      <c r="A2399" s="6">
        <v>2397</v>
      </c>
      <c r="B2399" s="6" t="str">
        <f>"53002023052915071392707"</f>
        <v>53002023052915071392707</v>
      </c>
      <c r="C2399" s="6" t="str">
        <f t="shared" si="158"/>
        <v>0207</v>
      </c>
      <c r="D2399" s="6" t="s">
        <v>27</v>
      </c>
      <c r="E2399" s="6" t="str">
        <f>"赵媛媛"</f>
        <v>赵媛媛</v>
      </c>
      <c r="F2399" s="6" t="str">
        <f t="shared" si="160"/>
        <v>女</v>
      </c>
    </row>
    <row r="2400" spans="1:6" ht="30" customHeight="1">
      <c r="A2400" s="6">
        <v>2398</v>
      </c>
      <c r="B2400" s="6" t="str">
        <f>"53002023052922421895311"</f>
        <v>53002023052922421895311</v>
      </c>
      <c r="C2400" s="6" t="str">
        <f t="shared" si="158"/>
        <v>0207</v>
      </c>
      <c r="D2400" s="6" t="s">
        <v>27</v>
      </c>
      <c r="E2400" s="6" t="str">
        <f>"刘姑侬"</f>
        <v>刘姑侬</v>
      </c>
      <c r="F2400" s="6" t="str">
        <f t="shared" si="160"/>
        <v>女</v>
      </c>
    </row>
    <row r="2401" spans="1:6" ht="30" customHeight="1">
      <c r="A2401" s="6">
        <v>2399</v>
      </c>
      <c r="B2401" s="6" t="str">
        <f>"53002023053000001995629"</f>
        <v>53002023053000001995629</v>
      </c>
      <c r="C2401" s="6" t="str">
        <f t="shared" si="158"/>
        <v>0207</v>
      </c>
      <c r="D2401" s="6" t="s">
        <v>27</v>
      </c>
      <c r="E2401" s="6" t="str">
        <f>"罗亚妹"</f>
        <v>罗亚妹</v>
      </c>
      <c r="F2401" s="6" t="str">
        <f t="shared" si="160"/>
        <v>女</v>
      </c>
    </row>
    <row r="2402" spans="1:6" ht="30" customHeight="1">
      <c r="A2402" s="6">
        <v>2400</v>
      </c>
      <c r="B2402" s="6" t="str">
        <f>"53002023053008093795819"</f>
        <v>53002023053008093795819</v>
      </c>
      <c r="C2402" s="6" t="str">
        <f t="shared" si="158"/>
        <v>0207</v>
      </c>
      <c r="D2402" s="6" t="s">
        <v>27</v>
      </c>
      <c r="E2402" s="6" t="str">
        <f>"陈雪珠"</f>
        <v>陈雪珠</v>
      </c>
      <c r="F2402" s="6" t="str">
        <f t="shared" si="160"/>
        <v>女</v>
      </c>
    </row>
    <row r="2403" spans="1:6" ht="30" customHeight="1">
      <c r="A2403" s="6">
        <v>2401</v>
      </c>
      <c r="B2403" s="6" t="str">
        <f>"53002023053008373295890"</f>
        <v>53002023053008373295890</v>
      </c>
      <c r="C2403" s="6" t="str">
        <f t="shared" si="158"/>
        <v>0207</v>
      </c>
      <c r="D2403" s="6" t="s">
        <v>27</v>
      </c>
      <c r="E2403" s="6" t="str">
        <f>"邢春柳"</f>
        <v>邢春柳</v>
      </c>
      <c r="F2403" s="6" t="str">
        <f t="shared" si="160"/>
        <v>女</v>
      </c>
    </row>
    <row r="2404" spans="1:6" ht="30" customHeight="1">
      <c r="A2404" s="6">
        <v>2402</v>
      </c>
      <c r="B2404" s="6" t="str">
        <f>"53002023053008535395952"</f>
        <v>53002023053008535395952</v>
      </c>
      <c r="C2404" s="6" t="str">
        <f t="shared" si="158"/>
        <v>0207</v>
      </c>
      <c r="D2404" s="6" t="s">
        <v>27</v>
      </c>
      <c r="E2404" s="6" t="str">
        <f>"吕宜江"</f>
        <v>吕宜江</v>
      </c>
      <c r="F2404" s="6" t="str">
        <f t="shared" si="160"/>
        <v>女</v>
      </c>
    </row>
    <row r="2405" spans="1:6" ht="30" customHeight="1">
      <c r="A2405" s="6">
        <v>2403</v>
      </c>
      <c r="B2405" s="6" t="str">
        <f>"53002023053009124596083"</f>
        <v>53002023053009124596083</v>
      </c>
      <c r="C2405" s="6" t="str">
        <f t="shared" si="158"/>
        <v>0207</v>
      </c>
      <c r="D2405" s="6" t="s">
        <v>27</v>
      </c>
      <c r="E2405" s="6" t="str">
        <f>"陈汉玉"</f>
        <v>陈汉玉</v>
      </c>
      <c r="F2405" s="6" t="str">
        <f t="shared" si="160"/>
        <v>女</v>
      </c>
    </row>
    <row r="2406" spans="1:6" ht="30" customHeight="1">
      <c r="A2406" s="6">
        <v>2404</v>
      </c>
      <c r="B2406" s="6" t="str">
        <f>"53002023053009132296089"</f>
        <v>53002023053009132296089</v>
      </c>
      <c r="C2406" s="6" t="str">
        <f t="shared" si="158"/>
        <v>0207</v>
      </c>
      <c r="D2406" s="6" t="s">
        <v>27</v>
      </c>
      <c r="E2406" s="6" t="str">
        <f>"梁惠霖"</f>
        <v>梁惠霖</v>
      </c>
      <c r="F2406" s="6" t="str">
        <f t="shared" si="160"/>
        <v>女</v>
      </c>
    </row>
    <row r="2407" spans="1:6" ht="30" customHeight="1">
      <c r="A2407" s="6">
        <v>2405</v>
      </c>
      <c r="B2407" s="6" t="str">
        <f>"53002023052909402990212"</f>
        <v>53002023052909402990212</v>
      </c>
      <c r="C2407" s="6" t="str">
        <f t="shared" si="158"/>
        <v>0207</v>
      </c>
      <c r="D2407" s="6" t="s">
        <v>27</v>
      </c>
      <c r="E2407" s="6" t="str">
        <f>"王春萍"</f>
        <v>王春萍</v>
      </c>
      <c r="F2407" s="6" t="str">
        <f t="shared" si="160"/>
        <v>女</v>
      </c>
    </row>
    <row r="2408" spans="1:6" ht="30" customHeight="1">
      <c r="A2408" s="6">
        <v>2406</v>
      </c>
      <c r="B2408" s="6" t="str">
        <f>"53002023052908281289554"</f>
        <v>53002023052908281289554</v>
      </c>
      <c r="C2408" s="6" t="str">
        <f t="shared" si="158"/>
        <v>0207</v>
      </c>
      <c r="D2408" s="6" t="s">
        <v>27</v>
      </c>
      <c r="E2408" s="6" t="str">
        <f>"蔡石秀"</f>
        <v>蔡石秀</v>
      </c>
      <c r="F2408" s="6" t="str">
        <f t="shared" si="160"/>
        <v>女</v>
      </c>
    </row>
    <row r="2409" spans="1:6" ht="30" customHeight="1">
      <c r="A2409" s="6">
        <v>2407</v>
      </c>
      <c r="B2409" s="6" t="str">
        <f>"53002023052909551590385"</f>
        <v>53002023052909551590385</v>
      </c>
      <c r="C2409" s="6" t="str">
        <f t="shared" si="158"/>
        <v>0207</v>
      </c>
      <c r="D2409" s="6" t="s">
        <v>27</v>
      </c>
      <c r="E2409" s="6" t="str">
        <f>"刘海珍"</f>
        <v>刘海珍</v>
      </c>
      <c r="F2409" s="6" t="str">
        <f t="shared" si="160"/>
        <v>女</v>
      </c>
    </row>
    <row r="2410" spans="1:6" ht="30" customHeight="1">
      <c r="A2410" s="6">
        <v>2408</v>
      </c>
      <c r="B2410" s="6" t="str">
        <f>"53002023053011390197264"</f>
        <v>53002023053011390197264</v>
      </c>
      <c r="C2410" s="6" t="str">
        <f t="shared" si="158"/>
        <v>0207</v>
      </c>
      <c r="D2410" s="6" t="s">
        <v>27</v>
      </c>
      <c r="E2410" s="6" t="str">
        <f>"高元珍"</f>
        <v>高元珍</v>
      </c>
      <c r="F2410" s="6" t="str">
        <f t="shared" si="160"/>
        <v>女</v>
      </c>
    </row>
    <row r="2411" spans="1:6" ht="30" customHeight="1">
      <c r="A2411" s="6">
        <v>2409</v>
      </c>
      <c r="B2411" s="6" t="str">
        <f>"53002023053012145697465"</f>
        <v>53002023053012145697465</v>
      </c>
      <c r="C2411" s="6" t="str">
        <f t="shared" si="158"/>
        <v>0207</v>
      </c>
      <c r="D2411" s="6" t="s">
        <v>27</v>
      </c>
      <c r="E2411" s="6" t="str">
        <f>"林娟"</f>
        <v>林娟</v>
      </c>
      <c r="F2411" s="6" t="str">
        <f t="shared" si="160"/>
        <v>女</v>
      </c>
    </row>
    <row r="2412" spans="1:6" ht="30" customHeight="1">
      <c r="A2412" s="6">
        <v>2410</v>
      </c>
      <c r="B2412" s="6" t="str">
        <f>"53002023053011314897207"</f>
        <v>53002023053011314897207</v>
      </c>
      <c r="C2412" s="6" t="str">
        <f t="shared" si="158"/>
        <v>0207</v>
      </c>
      <c r="D2412" s="6" t="s">
        <v>27</v>
      </c>
      <c r="E2412" s="6" t="str">
        <f>"龚娟"</f>
        <v>龚娟</v>
      </c>
      <c r="F2412" s="6" t="str">
        <f t="shared" si="160"/>
        <v>女</v>
      </c>
    </row>
    <row r="2413" spans="1:6" ht="30" customHeight="1">
      <c r="A2413" s="6">
        <v>2411</v>
      </c>
      <c r="B2413" s="6" t="str">
        <f>"53002023052923561895616"</f>
        <v>53002023052923561895616</v>
      </c>
      <c r="C2413" s="6" t="str">
        <f t="shared" si="158"/>
        <v>0207</v>
      </c>
      <c r="D2413" s="6" t="s">
        <v>27</v>
      </c>
      <c r="E2413" s="6" t="str">
        <f>"符海娟"</f>
        <v>符海娟</v>
      </c>
      <c r="F2413" s="6" t="str">
        <f t="shared" si="160"/>
        <v>女</v>
      </c>
    </row>
    <row r="2414" spans="1:6" ht="30" customHeight="1">
      <c r="A2414" s="6">
        <v>2412</v>
      </c>
      <c r="B2414" s="6" t="str">
        <f>"53002023052720595786118"</f>
        <v>53002023052720595786118</v>
      </c>
      <c r="C2414" s="6" t="str">
        <f t="shared" si="158"/>
        <v>0207</v>
      </c>
      <c r="D2414" s="6" t="s">
        <v>27</v>
      </c>
      <c r="E2414" s="6" t="str">
        <f>"林前梅"</f>
        <v>林前梅</v>
      </c>
      <c r="F2414" s="6" t="str">
        <f t="shared" si="160"/>
        <v>女</v>
      </c>
    </row>
    <row r="2415" spans="1:6" ht="30" customHeight="1">
      <c r="A2415" s="6">
        <v>2413</v>
      </c>
      <c r="B2415" s="6" t="str">
        <f>"53002023053012575297713"</f>
        <v>53002023053012575297713</v>
      </c>
      <c r="C2415" s="6" t="str">
        <f t="shared" si="158"/>
        <v>0207</v>
      </c>
      <c r="D2415" s="6" t="s">
        <v>27</v>
      </c>
      <c r="E2415" s="6" t="str">
        <f>"邢其秋"</f>
        <v>邢其秋</v>
      </c>
      <c r="F2415" s="6" t="str">
        <f t="shared" si="160"/>
        <v>女</v>
      </c>
    </row>
    <row r="2416" spans="1:6" ht="30" customHeight="1">
      <c r="A2416" s="6">
        <v>2414</v>
      </c>
      <c r="B2416" s="6" t="str">
        <f>"53002023053013041997754"</f>
        <v>53002023053013041997754</v>
      </c>
      <c r="C2416" s="6" t="str">
        <f t="shared" si="158"/>
        <v>0207</v>
      </c>
      <c r="D2416" s="6" t="s">
        <v>27</v>
      </c>
      <c r="E2416" s="6" t="str">
        <f>"徐创蕾"</f>
        <v>徐创蕾</v>
      </c>
      <c r="F2416" s="6" t="str">
        <f t="shared" si="160"/>
        <v>女</v>
      </c>
    </row>
    <row r="2417" spans="1:6" ht="30" customHeight="1">
      <c r="A2417" s="6">
        <v>2415</v>
      </c>
      <c r="B2417" s="6" t="str">
        <f>"53002023052819022288445"</f>
        <v>53002023052819022288445</v>
      </c>
      <c r="C2417" s="6" t="str">
        <f t="shared" si="158"/>
        <v>0207</v>
      </c>
      <c r="D2417" s="6" t="s">
        <v>27</v>
      </c>
      <c r="E2417" s="6" t="str">
        <f>"王健汝"</f>
        <v>王健汝</v>
      </c>
      <c r="F2417" s="6" t="str">
        <f t="shared" si="160"/>
        <v>女</v>
      </c>
    </row>
    <row r="2418" spans="1:6" ht="30" customHeight="1">
      <c r="A2418" s="6">
        <v>2416</v>
      </c>
      <c r="B2418" s="6" t="str">
        <f>"53002023052817393288177"</f>
        <v>53002023052817393288177</v>
      </c>
      <c r="C2418" s="6" t="str">
        <f t="shared" si="158"/>
        <v>0207</v>
      </c>
      <c r="D2418" s="6" t="s">
        <v>27</v>
      </c>
      <c r="E2418" s="6" t="str">
        <f>"谢淑英"</f>
        <v>谢淑英</v>
      </c>
      <c r="F2418" s="6" t="str">
        <f t="shared" si="160"/>
        <v>女</v>
      </c>
    </row>
    <row r="2419" spans="1:6" ht="30" customHeight="1">
      <c r="A2419" s="6">
        <v>2417</v>
      </c>
      <c r="B2419" s="6" t="str">
        <f>"53002023052913284192195"</f>
        <v>53002023052913284192195</v>
      </c>
      <c r="C2419" s="6" t="str">
        <f t="shared" si="158"/>
        <v>0207</v>
      </c>
      <c r="D2419" s="6" t="s">
        <v>27</v>
      </c>
      <c r="E2419" s="6" t="str">
        <f>"陈小玲"</f>
        <v>陈小玲</v>
      </c>
      <c r="F2419" s="6" t="str">
        <f t="shared" si="160"/>
        <v>女</v>
      </c>
    </row>
    <row r="2420" spans="1:6" ht="30" customHeight="1">
      <c r="A2420" s="6">
        <v>2418</v>
      </c>
      <c r="B2420" s="6" t="str">
        <f>"53002023053013500597944"</f>
        <v>53002023053013500597944</v>
      </c>
      <c r="C2420" s="6" t="str">
        <f t="shared" si="158"/>
        <v>0207</v>
      </c>
      <c r="D2420" s="6" t="s">
        <v>27</v>
      </c>
      <c r="E2420" s="6" t="str">
        <f>"王小媚"</f>
        <v>王小媚</v>
      </c>
      <c r="F2420" s="6" t="str">
        <f t="shared" si="160"/>
        <v>女</v>
      </c>
    </row>
    <row r="2421" spans="1:6" ht="30" customHeight="1">
      <c r="A2421" s="6">
        <v>2419</v>
      </c>
      <c r="B2421" s="6" t="str">
        <f>"53002023053012291397548"</f>
        <v>53002023053012291397548</v>
      </c>
      <c r="C2421" s="6" t="str">
        <f t="shared" si="158"/>
        <v>0207</v>
      </c>
      <c r="D2421" s="6" t="s">
        <v>27</v>
      </c>
      <c r="E2421" s="6" t="str">
        <f>"符佳苗"</f>
        <v>符佳苗</v>
      </c>
      <c r="F2421" s="6" t="str">
        <f t="shared" si="160"/>
        <v>女</v>
      </c>
    </row>
    <row r="2422" spans="1:6" ht="30" customHeight="1">
      <c r="A2422" s="6">
        <v>2420</v>
      </c>
      <c r="B2422" s="6" t="str">
        <f>"53002023053015074298336"</f>
        <v>53002023053015074298336</v>
      </c>
      <c r="C2422" s="6" t="str">
        <f t="shared" si="158"/>
        <v>0207</v>
      </c>
      <c r="D2422" s="6" t="s">
        <v>27</v>
      </c>
      <c r="E2422" s="6" t="str">
        <f>"何凤婷"</f>
        <v>何凤婷</v>
      </c>
      <c r="F2422" s="6" t="str">
        <f t="shared" si="160"/>
        <v>女</v>
      </c>
    </row>
    <row r="2423" spans="1:6" ht="30" customHeight="1">
      <c r="A2423" s="6">
        <v>2421</v>
      </c>
      <c r="B2423" s="6" t="str">
        <f>"53002023053016432898955"</f>
        <v>53002023053016432898955</v>
      </c>
      <c r="C2423" s="6" t="str">
        <f t="shared" si="158"/>
        <v>0207</v>
      </c>
      <c r="D2423" s="6" t="s">
        <v>27</v>
      </c>
      <c r="E2423" s="6" t="str">
        <f>"周义深"</f>
        <v>周义深</v>
      </c>
      <c r="F2423" s="6" t="str">
        <f>"男"</f>
        <v>男</v>
      </c>
    </row>
    <row r="2424" spans="1:6" ht="30" customHeight="1">
      <c r="A2424" s="6">
        <v>2422</v>
      </c>
      <c r="B2424" s="6" t="str">
        <f>"53002023053017450899315"</f>
        <v>53002023053017450899315</v>
      </c>
      <c r="C2424" s="6" t="str">
        <f t="shared" si="158"/>
        <v>0207</v>
      </c>
      <c r="D2424" s="6" t="s">
        <v>27</v>
      </c>
      <c r="E2424" s="6" t="str">
        <f>"卢燕玲"</f>
        <v>卢燕玲</v>
      </c>
      <c r="F2424" s="6" t="str">
        <f aca="true" t="shared" si="161" ref="F2424:F2435">"女"</f>
        <v>女</v>
      </c>
    </row>
    <row r="2425" spans="1:6" ht="30" customHeight="1">
      <c r="A2425" s="6">
        <v>2423</v>
      </c>
      <c r="B2425" s="6" t="str">
        <f>"53002023053017505899336"</f>
        <v>53002023053017505899336</v>
      </c>
      <c r="C2425" s="6" t="str">
        <f t="shared" si="158"/>
        <v>0207</v>
      </c>
      <c r="D2425" s="6" t="s">
        <v>27</v>
      </c>
      <c r="E2425" s="6" t="str">
        <f>"黎姝姹"</f>
        <v>黎姝姹</v>
      </c>
      <c r="F2425" s="6" t="str">
        <f t="shared" si="161"/>
        <v>女</v>
      </c>
    </row>
    <row r="2426" spans="1:6" ht="30" customHeight="1">
      <c r="A2426" s="6">
        <v>2424</v>
      </c>
      <c r="B2426" s="6" t="str">
        <f>"53002023053018291199504"</f>
        <v>53002023053018291199504</v>
      </c>
      <c r="C2426" s="6" t="str">
        <f t="shared" si="158"/>
        <v>0207</v>
      </c>
      <c r="D2426" s="6" t="s">
        <v>27</v>
      </c>
      <c r="E2426" s="6" t="str">
        <f>"杨中妹"</f>
        <v>杨中妹</v>
      </c>
      <c r="F2426" s="6" t="str">
        <f t="shared" si="161"/>
        <v>女</v>
      </c>
    </row>
    <row r="2427" spans="1:6" ht="30" customHeight="1">
      <c r="A2427" s="6">
        <v>2425</v>
      </c>
      <c r="B2427" s="6" t="str">
        <f>"53002023053018452999569"</f>
        <v>53002023053018452999569</v>
      </c>
      <c r="C2427" s="6" t="str">
        <f t="shared" si="158"/>
        <v>0207</v>
      </c>
      <c r="D2427" s="6" t="s">
        <v>27</v>
      </c>
      <c r="E2427" s="6" t="str">
        <f>"汪瑶"</f>
        <v>汪瑶</v>
      </c>
      <c r="F2427" s="6" t="str">
        <f t="shared" si="161"/>
        <v>女</v>
      </c>
    </row>
    <row r="2428" spans="1:6" ht="30" customHeight="1">
      <c r="A2428" s="6">
        <v>2426</v>
      </c>
      <c r="B2428" s="6" t="str">
        <f>"53002023053019260599731"</f>
        <v>53002023053019260599731</v>
      </c>
      <c r="C2428" s="6" t="str">
        <f t="shared" si="158"/>
        <v>0207</v>
      </c>
      <c r="D2428" s="6" t="s">
        <v>27</v>
      </c>
      <c r="E2428" s="6" t="str">
        <f>"林君"</f>
        <v>林君</v>
      </c>
      <c r="F2428" s="6" t="str">
        <f t="shared" si="161"/>
        <v>女</v>
      </c>
    </row>
    <row r="2429" spans="1:6" ht="30" customHeight="1">
      <c r="A2429" s="6">
        <v>2427</v>
      </c>
      <c r="B2429" s="6" t="str">
        <f>"53002023053019364899768"</f>
        <v>53002023053019364899768</v>
      </c>
      <c r="C2429" s="6" t="str">
        <f t="shared" si="158"/>
        <v>0207</v>
      </c>
      <c r="D2429" s="6" t="s">
        <v>27</v>
      </c>
      <c r="E2429" s="6" t="str">
        <f>"吴春秀"</f>
        <v>吴春秀</v>
      </c>
      <c r="F2429" s="6" t="str">
        <f t="shared" si="161"/>
        <v>女</v>
      </c>
    </row>
    <row r="2430" spans="1:6" ht="30" customHeight="1">
      <c r="A2430" s="6">
        <v>2428</v>
      </c>
      <c r="B2430" s="6" t="str">
        <f>"53002023052909034989755"</f>
        <v>53002023052909034989755</v>
      </c>
      <c r="C2430" s="6" t="str">
        <f t="shared" si="158"/>
        <v>0207</v>
      </c>
      <c r="D2430" s="6" t="s">
        <v>27</v>
      </c>
      <c r="E2430" s="6" t="str">
        <f>"关海萍"</f>
        <v>关海萍</v>
      </c>
      <c r="F2430" s="6" t="str">
        <f t="shared" si="161"/>
        <v>女</v>
      </c>
    </row>
    <row r="2431" spans="1:6" ht="30" customHeight="1">
      <c r="A2431" s="6">
        <v>2429</v>
      </c>
      <c r="B2431" s="6" t="str">
        <f>"530020230530202714100023"</f>
        <v>530020230530202714100023</v>
      </c>
      <c r="C2431" s="6" t="str">
        <f t="shared" si="158"/>
        <v>0207</v>
      </c>
      <c r="D2431" s="6" t="s">
        <v>27</v>
      </c>
      <c r="E2431" s="6" t="str">
        <f>"王秀媚"</f>
        <v>王秀媚</v>
      </c>
      <c r="F2431" s="6" t="str">
        <f t="shared" si="161"/>
        <v>女</v>
      </c>
    </row>
    <row r="2432" spans="1:6" ht="30" customHeight="1">
      <c r="A2432" s="6">
        <v>2430</v>
      </c>
      <c r="B2432" s="6" t="str">
        <f>"53002023052820492888751"</f>
        <v>53002023052820492888751</v>
      </c>
      <c r="C2432" s="6" t="str">
        <f t="shared" si="158"/>
        <v>0207</v>
      </c>
      <c r="D2432" s="6" t="s">
        <v>27</v>
      </c>
      <c r="E2432" s="6" t="str">
        <f>"陈德岑"</f>
        <v>陈德岑</v>
      </c>
      <c r="F2432" s="6" t="str">
        <f t="shared" si="161"/>
        <v>女</v>
      </c>
    </row>
    <row r="2433" spans="1:6" ht="30" customHeight="1">
      <c r="A2433" s="6">
        <v>2431</v>
      </c>
      <c r="B2433" s="6" t="str">
        <f>"53002023052920503794669"</f>
        <v>53002023052920503794669</v>
      </c>
      <c r="C2433" s="6" t="str">
        <f t="shared" si="158"/>
        <v>0207</v>
      </c>
      <c r="D2433" s="6" t="s">
        <v>27</v>
      </c>
      <c r="E2433" s="6" t="str">
        <f>"许海花"</f>
        <v>许海花</v>
      </c>
      <c r="F2433" s="6" t="str">
        <f t="shared" si="161"/>
        <v>女</v>
      </c>
    </row>
    <row r="2434" spans="1:6" ht="30" customHeight="1">
      <c r="A2434" s="6">
        <v>2432</v>
      </c>
      <c r="B2434" s="6" t="str">
        <f>"530020230530213820100343"</f>
        <v>530020230530213820100343</v>
      </c>
      <c r="C2434" s="6" t="str">
        <f t="shared" si="158"/>
        <v>0207</v>
      </c>
      <c r="D2434" s="6" t="s">
        <v>27</v>
      </c>
      <c r="E2434" s="6" t="str">
        <f>"吴秋"</f>
        <v>吴秋</v>
      </c>
      <c r="F2434" s="6" t="str">
        <f t="shared" si="161"/>
        <v>女</v>
      </c>
    </row>
    <row r="2435" spans="1:6" ht="30" customHeight="1">
      <c r="A2435" s="6">
        <v>2433</v>
      </c>
      <c r="B2435" s="6" t="str">
        <f>"530020230530215114100427"</f>
        <v>530020230530215114100427</v>
      </c>
      <c r="C2435" s="6" t="str">
        <f t="shared" si="158"/>
        <v>0207</v>
      </c>
      <c r="D2435" s="6" t="s">
        <v>27</v>
      </c>
      <c r="E2435" s="6" t="str">
        <f>"王初乾"</f>
        <v>王初乾</v>
      </c>
      <c r="F2435" s="6" t="str">
        <f t="shared" si="161"/>
        <v>女</v>
      </c>
    </row>
    <row r="2436" spans="1:6" ht="30" customHeight="1">
      <c r="A2436" s="6">
        <v>2434</v>
      </c>
      <c r="B2436" s="6" t="str">
        <f>"530020230530232352100844"</f>
        <v>530020230530232352100844</v>
      </c>
      <c r="C2436" s="6" t="str">
        <f t="shared" si="158"/>
        <v>0207</v>
      </c>
      <c r="D2436" s="6" t="s">
        <v>27</v>
      </c>
      <c r="E2436" s="6" t="str">
        <f>"张陈忠"</f>
        <v>张陈忠</v>
      </c>
      <c r="F2436" s="6" t="str">
        <f>"男"</f>
        <v>男</v>
      </c>
    </row>
    <row r="2437" spans="1:6" ht="30" customHeight="1">
      <c r="A2437" s="6">
        <v>2435</v>
      </c>
      <c r="B2437" s="6" t="str">
        <f>"530020230530235828100943"</f>
        <v>530020230530235828100943</v>
      </c>
      <c r="C2437" s="6" t="str">
        <f t="shared" si="158"/>
        <v>0207</v>
      </c>
      <c r="D2437" s="6" t="s">
        <v>27</v>
      </c>
      <c r="E2437" s="6" t="str">
        <f>" 董考"</f>
        <v> 董考</v>
      </c>
      <c r="F2437" s="6" t="str">
        <f aca="true" t="shared" si="162" ref="F2437:F2453">"女"</f>
        <v>女</v>
      </c>
    </row>
    <row r="2438" spans="1:6" ht="30" customHeight="1">
      <c r="A2438" s="6">
        <v>2436</v>
      </c>
      <c r="B2438" s="6" t="str">
        <f>"530020230531001353100968"</f>
        <v>530020230531001353100968</v>
      </c>
      <c r="C2438" s="6" t="str">
        <f t="shared" si="158"/>
        <v>0207</v>
      </c>
      <c r="D2438" s="6" t="s">
        <v>27</v>
      </c>
      <c r="E2438" s="6" t="str">
        <f>"李小丽"</f>
        <v>李小丽</v>
      </c>
      <c r="F2438" s="6" t="str">
        <f t="shared" si="162"/>
        <v>女</v>
      </c>
    </row>
    <row r="2439" spans="1:6" ht="30" customHeight="1">
      <c r="A2439" s="6">
        <v>2437</v>
      </c>
      <c r="B2439" s="6" t="str">
        <f>"53002023053014532298235"</f>
        <v>53002023053014532298235</v>
      </c>
      <c r="C2439" s="6" t="str">
        <f t="shared" si="158"/>
        <v>0207</v>
      </c>
      <c r="D2439" s="6" t="s">
        <v>27</v>
      </c>
      <c r="E2439" s="6" t="str">
        <f>"王丹女"</f>
        <v>王丹女</v>
      </c>
      <c r="F2439" s="6" t="str">
        <f t="shared" si="162"/>
        <v>女</v>
      </c>
    </row>
    <row r="2440" spans="1:6" ht="30" customHeight="1">
      <c r="A2440" s="6">
        <v>2438</v>
      </c>
      <c r="B2440" s="6" t="str">
        <f>"530020230530230018100754"</f>
        <v>530020230530230018100754</v>
      </c>
      <c r="C2440" s="6" t="str">
        <f t="shared" si="158"/>
        <v>0207</v>
      </c>
      <c r="D2440" s="6" t="s">
        <v>27</v>
      </c>
      <c r="E2440" s="6" t="str">
        <f>"唐德嘉"</f>
        <v>唐德嘉</v>
      </c>
      <c r="F2440" s="6" t="str">
        <f t="shared" si="162"/>
        <v>女</v>
      </c>
    </row>
    <row r="2441" spans="1:6" ht="30" customHeight="1">
      <c r="A2441" s="6">
        <v>2439</v>
      </c>
      <c r="B2441" s="6" t="str">
        <f>"530020230531082832101207"</f>
        <v>530020230531082832101207</v>
      </c>
      <c r="C2441" s="6" t="str">
        <f t="shared" si="158"/>
        <v>0207</v>
      </c>
      <c r="D2441" s="6" t="s">
        <v>27</v>
      </c>
      <c r="E2441" s="6" t="str">
        <f>"林永教"</f>
        <v>林永教</v>
      </c>
      <c r="F2441" s="6" t="str">
        <f t="shared" si="162"/>
        <v>女</v>
      </c>
    </row>
    <row r="2442" spans="1:6" ht="30" customHeight="1">
      <c r="A2442" s="6">
        <v>2440</v>
      </c>
      <c r="B2442" s="6" t="str">
        <f>"530020230531095744101753"</f>
        <v>530020230531095744101753</v>
      </c>
      <c r="C2442" s="6" t="str">
        <f t="shared" si="158"/>
        <v>0207</v>
      </c>
      <c r="D2442" s="6" t="s">
        <v>27</v>
      </c>
      <c r="E2442" s="6" t="str">
        <f>"谢伟罗"</f>
        <v>谢伟罗</v>
      </c>
      <c r="F2442" s="6" t="str">
        <f t="shared" si="162"/>
        <v>女</v>
      </c>
    </row>
    <row r="2443" spans="1:6" ht="30" customHeight="1">
      <c r="A2443" s="6">
        <v>2441</v>
      </c>
      <c r="B2443" s="6" t="str">
        <f>"530020230531095342101717"</f>
        <v>530020230531095342101717</v>
      </c>
      <c r="C2443" s="6" t="str">
        <f t="shared" si="158"/>
        <v>0207</v>
      </c>
      <c r="D2443" s="6" t="s">
        <v>27</v>
      </c>
      <c r="E2443" s="6" t="str">
        <f>"邱惠清"</f>
        <v>邱惠清</v>
      </c>
      <c r="F2443" s="6" t="str">
        <f t="shared" si="162"/>
        <v>女</v>
      </c>
    </row>
    <row r="2444" spans="1:6" ht="30" customHeight="1">
      <c r="A2444" s="6">
        <v>2442</v>
      </c>
      <c r="B2444" s="6" t="str">
        <f>"530020230531100352101808"</f>
        <v>530020230531100352101808</v>
      </c>
      <c r="C2444" s="6" t="str">
        <f t="shared" si="158"/>
        <v>0207</v>
      </c>
      <c r="D2444" s="6" t="s">
        <v>27</v>
      </c>
      <c r="E2444" s="6" t="str">
        <f>"刘显花"</f>
        <v>刘显花</v>
      </c>
      <c r="F2444" s="6" t="str">
        <f t="shared" si="162"/>
        <v>女</v>
      </c>
    </row>
    <row r="2445" spans="1:6" ht="30" customHeight="1">
      <c r="A2445" s="6">
        <v>2443</v>
      </c>
      <c r="B2445" s="6" t="str">
        <f>"530020230531101103101864"</f>
        <v>530020230531101103101864</v>
      </c>
      <c r="C2445" s="6" t="str">
        <f t="shared" si="158"/>
        <v>0207</v>
      </c>
      <c r="D2445" s="6" t="s">
        <v>27</v>
      </c>
      <c r="E2445" s="6" t="str">
        <f>"谭丽莹"</f>
        <v>谭丽莹</v>
      </c>
      <c r="F2445" s="6" t="str">
        <f t="shared" si="162"/>
        <v>女</v>
      </c>
    </row>
    <row r="2446" spans="1:6" ht="30" customHeight="1">
      <c r="A2446" s="6">
        <v>2444</v>
      </c>
      <c r="B2446" s="6" t="str">
        <f>"530020230531092634101516"</f>
        <v>530020230531092634101516</v>
      </c>
      <c r="C2446" s="6" t="str">
        <f t="shared" si="158"/>
        <v>0207</v>
      </c>
      <c r="D2446" s="6" t="s">
        <v>27</v>
      </c>
      <c r="E2446" s="6" t="str">
        <f>"赵月秀"</f>
        <v>赵月秀</v>
      </c>
      <c r="F2446" s="6" t="str">
        <f t="shared" si="162"/>
        <v>女</v>
      </c>
    </row>
    <row r="2447" spans="1:6" ht="30" customHeight="1">
      <c r="A2447" s="6">
        <v>2445</v>
      </c>
      <c r="B2447" s="6" t="str">
        <f>"530020230531111829102316"</f>
        <v>530020230531111829102316</v>
      </c>
      <c r="C2447" s="6" t="str">
        <f aca="true" t="shared" si="163" ref="C2447:C2497">"0207"</f>
        <v>0207</v>
      </c>
      <c r="D2447" s="6" t="s">
        <v>27</v>
      </c>
      <c r="E2447" s="6" t="str">
        <f>"林文青"</f>
        <v>林文青</v>
      </c>
      <c r="F2447" s="6" t="str">
        <f t="shared" si="162"/>
        <v>女</v>
      </c>
    </row>
    <row r="2448" spans="1:6" ht="30" customHeight="1">
      <c r="A2448" s="6">
        <v>2446</v>
      </c>
      <c r="B2448" s="6" t="str">
        <f>"53002023053016215798818"</f>
        <v>53002023053016215798818</v>
      </c>
      <c r="C2448" s="6" t="str">
        <f t="shared" si="163"/>
        <v>0207</v>
      </c>
      <c r="D2448" s="6" t="s">
        <v>27</v>
      </c>
      <c r="E2448" s="6" t="str">
        <f>"陈淑娩"</f>
        <v>陈淑娩</v>
      </c>
      <c r="F2448" s="6" t="str">
        <f t="shared" si="162"/>
        <v>女</v>
      </c>
    </row>
    <row r="2449" spans="1:6" ht="30" customHeight="1">
      <c r="A2449" s="6">
        <v>2447</v>
      </c>
      <c r="B2449" s="6" t="str">
        <f>"53002023053019493699829"</f>
        <v>53002023053019493699829</v>
      </c>
      <c r="C2449" s="6" t="str">
        <f t="shared" si="163"/>
        <v>0207</v>
      </c>
      <c r="D2449" s="6" t="s">
        <v>27</v>
      </c>
      <c r="E2449" s="6" t="str">
        <f>"王禄"</f>
        <v>王禄</v>
      </c>
      <c r="F2449" s="6" t="str">
        <f t="shared" si="162"/>
        <v>女</v>
      </c>
    </row>
    <row r="2450" spans="1:6" ht="30" customHeight="1">
      <c r="A2450" s="6">
        <v>2448</v>
      </c>
      <c r="B2450" s="6" t="str">
        <f>"530020230531160733103538"</f>
        <v>530020230531160733103538</v>
      </c>
      <c r="C2450" s="6" t="str">
        <f t="shared" si="163"/>
        <v>0207</v>
      </c>
      <c r="D2450" s="6" t="s">
        <v>27</v>
      </c>
      <c r="E2450" s="6" t="str">
        <f>"陈娜"</f>
        <v>陈娜</v>
      </c>
      <c r="F2450" s="6" t="str">
        <f t="shared" si="162"/>
        <v>女</v>
      </c>
    </row>
    <row r="2451" spans="1:6" ht="30" customHeight="1">
      <c r="A2451" s="6">
        <v>2449</v>
      </c>
      <c r="B2451" s="6" t="str">
        <f>"530020230531163258103676"</f>
        <v>530020230531163258103676</v>
      </c>
      <c r="C2451" s="6" t="str">
        <f t="shared" si="163"/>
        <v>0207</v>
      </c>
      <c r="D2451" s="6" t="s">
        <v>27</v>
      </c>
      <c r="E2451" s="6" t="str">
        <f>"唐俊妍"</f>
        <v>唐俊妍</v>
      </c>
      <c r="F2451" s="6" t="str">
        <f t="shared" si="162"/>
        <v>女</v>
      </c>
    </row>
    <row r="2452" spans="1:6" ht="30" customHeight="1">
      <c r="A2452" s="6">
        <v>2450</v>
      </c>
      <c r="B2452" s="6" t="str">
        <f>"530020230531174138103979"</f>
        <v>530020230531174138103979</v>
      </c>
      <c r="C2452" s="6" t="str">
        <f t="shared" si="163"/>
        <v>0207</v>
      </c>
      <c r="D2452" s="6" t="s">
        <v>27</v>
      </c>
      <c r="E2452" s="6" t="str">
        <f>"符冬婷"</f>
        <v>符冬婷</v>
      </c>
      <c r="F2452" s="6" t="str">
        <f t="shared" si="162"/>
        <v>女</v>
      </c>
    </row>
    <row r="2453" spans="1:6" ht="30" customHeight="1">
      <c r="A2453" s="6">
        <v>2451</v>
      </c>
      <c r="B2453" s="6" t="str">
        <f>"53002023053012404597613"</f>
        <v>53002023053012404597613</v>
      </c>
      <c r="C2453" s="6" t="str">
        <f t="shared" si="163"/>
        <v>0207</v>
      </c>
      <c r="D2453" s="6" t="s">
        <v>27</v>
      </c>
      <c r="E2453" s="6" t="str">
        <f>"陈锦荧"</f>
        <v>陈锦荧</v>
      </c>
      <c r="F2453" s="6" t="str">
        <f t="shared" si="162"/>
        <v>女</v>
      </c>
    </row>
    <row r="2454" spans="1:6" ht="30" customHeight="1">
      <c r="A2454" s="6">
        <v>2452</v>
      </c>
      <c r="B2454" s="6" t="str">
        <f>"530020230531114517102456"</f>
        <v>530020230531114517102456</v>
      </c>
      <c r="C2454" s="6" t="str">
        <f t="shared" si="163"/>
        <v>0207</v>
      </c>
      <c r="D2454" s="6" t="s">
        <v>27</v>
      </c>
      <c r="E2454" s="6" t="str">
        <f>"郑博良"</f>
        <v>郑博良</v>
      </c>
      <c r="F2454" s="6" t="str">
        <f>"男"</f>
        <v>男</v>
      </c>
    </row>
    <row r="2455" spans="1:6" ht="30" customHeight="1">
      <c r="A2455" s="6">
        <v>2453</v>
      </c>
      <c r="B2455" s="6" t="str">
        <f>"530020230531203414104465"</f>
        <v>530020230531203414104465</v>
      </c>
      <c r="C2455" s="6" t="str">
        <f t="shared" si="163"/>
        <v>0207</v>
      </c>
      <c r="D2455" s="6" t="s">
        <v>27</v>
      </c>
      <c r="E2455" s="6" t="str">
        <f>"曾怀慧"</f>
        <v>曾怀慧</v>
      </c>
      <c r="F2455" s="6" t="str">
        <f aca="true" t="shared" si="164" ref="F2455:F2483">"女"</f>
        <v>女</v>
      </c>
    </row>
    <row r="2456" spans="1:6" ht="30" customHeight="1">
      <c r="A2456" s="6">
        <v>2454</v>
      </c>
      <c r="B2456" s="6" t="str">
        <f>"530020230531214841104743"</f>
        <v>530020230531214841104743</v>
      </c>
      <c r="C2456" s="6" t="str">
        <f t="shared" si="163"/>
        <v>0207</v>
      </c>
      <c r="D2456" s="6" t="s">
        <v>27</v>
      </c>
      <c r="E2456" s="6" t="str">
        <f>"羊柳春"</f>
        <v>羊柳春</v>
      </c>
      <c r="F2456" s="6" t="str">
        <f t="shared" si="164"/>
        <v>女</v>
      </c>
    </row>
    <row r="2457" spans="1:6" ht="30" customHeight="1">
      <c r="A2457" s="6">
        <v>2455</v>
      </c>
      <c r="B2457" s="6" t="str">
        <f>"530020230531222630104856"</f>
        <v>530020230531222630104856</v>
      </c>
      <c r="C2457" s="6" t="str">
        <f t="shared" si="163"/>
        <v>0207</v>
      </c>
      <c r="D2457" s="6" t="s">
        <v>27</v>
      </c>
      <c r="E2457" s="6" t="str">
        <f>"蔡晶晶"</f>
        <v>蔡晶晶</v>
      </c>
      <c r="F2457" s="6" t="str">
        <f t="shared" si="164"/>
        <v>女</v>
      </c>
    </row>
    <row r="2458" spans="1:6" ht="30" customHeight="1">
      <c r="A2458" s="6">
        <v>2456</v>
      </c>
      <c r="B2458" s="6" t="str">
        <f>"530020230531200018104365"</f>
        <v>530020230531200018104365</v>
      </c>
      <c r="C2458" s="6" t="str">
        <f t="shared" si="163"/>
        <v>0207</v>
      </c>
      <c r="D2458" s="6" t="s">
        <v>27</v>
      </c>
      <c r="E2458" s="6" t="str">
        <f>"杨艳芳"</f>
        <v>杨艳芳</v>
      </c>
      <c r="F2458" s="6" t="str">
        <f t="shared" si="164"/>
        <v>女</v>
      </c>
    </row>
    <row r="2459" spans="1:6" ht="30" customHeight="1">
      <c r="A2459" s="6">
        <v>2457</v>
      </c>
      <c r="B2459" s="6" t="str">
        <f>"53002023052823295889269"</f>
        <v>53002023052823295889269</v>
      </c>
      <c r="C2459" s="6" t="str">
        <f t="shared" si="163"/>
        <v>0207</v>
      </c>
      <c r="D2459" s="6" t="s">
        <v>27</v>
      </c>
      <c r="E2459" s="6" t="str">
        <f>"刘晓慧"</f>
        <v>刘晓慧</v>
      </c>
      <c r="F2459" s="6" t="str">
        <f t="shared" si="164"/>
        <v>女</v>
      </c>
    </row>
    <row r="2460" spans="1:6" ht="30" customHeight="1">
      <c r="A2460" s="6">
        <v>2458</v>
      </c>
      <c r="B2460" s="6" t="str">
        <f>"530020230601090702105464"</f>
        <v>530020230601090702105464</v>
      </c>
      <c r="C2460" s="6" t="str">
        <f t="shared" si="163"/>
        <v>0207</v>
      </c>
      <c r="D2460" s="6" t="s">
        <v>27</v>
      </c>
      <c r="E2460" s="6" t="str">
        <f>"张深珠"</f>
        <v>张深珠</v>
      </c>
      <c r="F2460" s="6" t="str">
        <f t="shared" si="164"/>
        <v>女</v>
      </c>
    </row>
    <row r="2461" spans="1:6" ht="30" customHeight="1">
      <c r="A2461" s="6">
        <v>2459</v>
      </c>
      <c r="B2461" s="6" t="str">
        <f>"530020230531164029103717"</f>
        <v>530020230531164029103717</v>
      </c>
      <c r="C2461" s="6" t="str">
        <f t="shared" si="163"/>
        <v>0207</v>
      </c>
      <c r="D2461" s="6" t="s">
        <v>27</v>
      </c>
      <c r="E2461" s="6" t="str">
        <f>"朱妙玲"</f>
        <v>朱妙玲</v>
      </c>
      <c r="F2461" s="6" t="str">
        <f t="shared" si="164"/>
        <v>女</v>
      </c>
    </row>
    <row r="2462" spans="1:6" ht="30" customHeight="1">
      <c r="A2462" s="6">
        <v>2460</v>
      </c>
      <c r="B2462" s="6" t="str">
        <f>"530020230601093842105692"</f>
        <v>530020230601093842105692</v>
      </c>
      <c r="C2462" s="6" t="str">
        <f t="shared" si="163"/>
        <v>0207</v>
      </c>
      <c r="D2462" s="6" t="s">
        <v>27</v>
      </c>
      <c r="E2462" s="6" t="str">
        <f>"李苗"</f>
        <v>李苗</v>
      </c>
      <c r="F2462" s="6" t="str">
        <f t="shared" si="164"/>
        <v>女</v>
      </c>
    </row>
    <row r="2463" spans="1:6" ht="30" customHeight="1">
      <c r="A2463" s="6">
        <v>2461</v>
      </c>
      <c r="B2463" s="6" t="str">
        <f>"530020230531214902104746"</f>
        <v>530020230531214902104746</v>
      </c>
      <c r="C2463" s="6" t="str">
        <f t="shared" si="163"/>
        <v>0207</v>
      </c>
      <c r="D2463" s="6" t="s">
        <v>27</v>
      </c>
      <c r="E2463" s="6" t="str">
        <f>"陈玉才"</f>
        <v>陈玉才</v>
      </c>
      <c r="F2463" s="6" t="str">
        <f t="shared" si="164"/>
        <v>女</v>
      </c>
    </row>
    <row r="2464" spans="1:6" ht="30" customHeight="1">
      <c r="A2464" s="6">
        <v>2462</v>
      </c>
      <c r="B2464" s="6" t="str">
        <f>"530020230601100529105873"</f>
        <v>530020230601100529105873</v>
      </c>
      <c r="C2464" s="6" t="str">
        <f t="shared" si="163"/>
        <v>0207</v>
      </c>
      <c r="D2464" s="6" t="s">
        <v>27</v>
      </c>
      <c r="E2464" s="6" t="str">
        <f>"刘晶"</f>
        <v>刘晶</v>
      </c>
      <c r="F2464" s="6" t="str">
        <f t="shared" si="164"/>
        <v>女</v>
      </c>
    </row>
    <row r="2465" spans="1:6" ht="30" customHeight="1">
      <c r="A2465" s="6">
        <v>2463</v>
      </c>
      <c r="B2465" s="6" t="str">
        <f>"530020230601112104106373"</f>
        <v>530020230601112104106373</v>
      </c>
      <c r="C2465" s="6" t="str">
        <f t="shared" si="163"/>
        <v>0207</v>
      </c>
      <c r="D2465" s="6" t="s">
        <v>27</v>
      </c>
      <c r="E2465" s="6" t="str">
        <f>"王晶晶"</f>
        <v>王晶晶</v>
      </c>
      <c r="F2465" s="6" t="str">
        <f t="shared" si="164"/>
        <v>女</v>
      </c>
    </row>
    <row r="2466" spans="1:6" ht="30" customHeight="1">
      <c r="A2466" s="6">
        <v>2464</v>
      </c>
      <c r="B2466" s="6" t="str">
        <f>"530020230601103507106100"</f>
        <v>530020230601103507106100</v>
      </c>
      <c r="C2466" s="6" t="str">
        <f t="shared" si="163"/>
        <v>0207</v>
      </c>
      <c r="D2466" s="6" t="s">
        <v>27</v>
      </c>
      <c r="E2466" s="6" t="str">
        <f>"吉训玉"</f>
        <v>吉训玉</v>
      </c>
      <c r="F2466" s="6" t="str">
        <f t="shared" si="164"/>
        <v>女</v>
      </c>
    </row>
    <row r="2467" spans="1:6" ht="30" customHeight="1">
      <c r="A2467" s="6">
        <v>2465</v>
      </c>
      <c r="B2467" s="6" t="str">
        <f>"530020230531164737103751"</f>
        <v>530020230531164737103751</v>
      </c>
      <c r="C2467" s="6" t="str">
        <f t="shared" si="163"/>
        <v>0207</v>
      </c>
      <c r="D2467" s="6" t="s">
        <v>27</v>
      </c>
      <c r="E2467" s="6" t="str">
        <f>"高元丽"</f>
        <v>高元丽</v>
      </c>
      <c r="F2467" s="6" t="str">
        <f t="shared" si="164"/>
        <v>女</v>
      </c>
    </row>
    <row r="2468" spans="1:6" ht="30" customHeight="1">
      <c r="A2468" s="6">
        <v>2466</v>
      </c>
      <c r="B2468" s="6" t="str">
        <f>"53002023052911012691133"</f>
        <v>53002023052911012691133</v>
      </c>
      <c r="C2468" s="6" t="str">
        <f t="shared" si="163"/>
        <v>0207</v>
      </c>
      <c r="D2468" s="6" t="s">
        <v>27</v>
      </c>
      <c r="E2468" s="6" t="str">
        <f>"王祚棋"</f>
        <v>王祚棋</v>
      </c>
      <c r="F2468" s="6" t="str">
        <f t="shared" si="164"/>
        <v>女</v>
      </c>
    </row>
    <row r="2469" spans="1:6" ht="30" customHeight="1">
      <c r="A2469" s="6">
        <v>2467</v>
      </c>
      <c r="B2469" s="6" t="str">
        <f>"530020230601121617106639"</f>
        <v>530020230601121617106639</v>
      </c>
      <c r="C2469" s="6" t="str">
        <f t="shared" si="163"/>
        <v>0207</v>
      </c>
      <c r="D2469" s="6" t="s">
        <v>27</v>
      </c>
      <c r="E2469" s="6" t="str">
        <f>"符永秀"</f>
        <v>符永秀</v>
      </c>
      <c r="F2469" s="6" t="str">
        <f t="shared" si="164"/>
        <v>女</v>
      </c>
    </row>
    <row r="2470" spans="1:6" ht="30" customHeight="1">
      <c r="A2470" s="6">
        <v>2468</v>
      </c>
      <c r="B2470" s="6" t="str">
        <f>"530020230601130017106828"</f>
        <v>530020230601130017106828</v>
      </c>
      <c r="C2470" s="6" t="str">
        <f t="shared" si="163"/>
        <v>0207</v>
      </c>
      <c r="D2470" s="6" t="s">
        <v>27</v>
      </c>
      <c r="E2470" s="6" t="str">
        <f>"陈小红"</f>
        <v>陈小红</v>
      </c>
      <c r="F2470" s="6" t="str">
        <f t="shared" si="164"/>
        <v>女</v>
      </c>
    </row>
    <row r="2471" spans="1:6" ht="30" customHeight="1">
      <c r="A2471" s="6">
        <v>2469</v>
      </c>
      <c r="B2471" s="6" t="str">
        <f>"530020230530215841100465"</f>
        <v>530020230530215841100465</v>
      </c>
      <c r="C2471" s="6" t="str">
        <f t="shared" si="163"/>
        <v>0207</v>
      </c>
      <c r="D2471" s="6" t="s">
        <v>27</v>
      </c>
      <c r="E2471" s="6" t="str">
        <f>"林文娟"</f>
        <v>林文娟</v>
      </c>
      <c r="F2471" s="6" t="str">
        <f t="shared" si="164"/>
        <v>女</v>
      </c>
    </row>
    <row r="2472" spans="1:6" ht="30" customHeight="1">
      <c r="A2472" s="6">
        <v>2470</v>
      </c>
      <c r="B2472" s="6" t="str">
        <f>"530020230601133231106939"</f>
        <v>530020230601133231106939</v>
      </c>
      <c r="C2472" s="6" t="str">
        <f t="shared" si="163"/>
        <v>0207</v>
      </c>
      <c r="D2472" s="6" t="s">
        <v>27</v>
      </c>
      <c r="E2472" s="6" t="str">
        <f>"马丽少"</f>
        <v>马丽少</v>
      </c>
      <c r="F2472" s="6" t="str">
        <f t="shared" si="164"/>
        <v>女</v>
      </c>
    </row>
    <row r="2473" spans="1:6" ht="30" customHeight="1">
      <c r="A2473" s="6">
        <v>2471</v>
      </c>
      <c r="B2473" s="6" t="str">
        <f>"530020230601134727106982"</f>
        <v>530020230601134727106982</v>
      </c>
      <c r="C2473" s="6" t="str">
        <f t="shared" si="163"/>
        <v>0207</v>
      </c>
      <c r="D2473" s="6" t="s">
        <v>27</v>
      </c>
      <c r="E2473" s="6" t="str">
        <f>"薛桃秋"</f>
        <v>薛桃秋</v>
      </c>
      <c r="F2473" s="6" t="str">
        <f t="shared" si="164"/>
        <v>女</v>
      </c>
    </row>
    <row r="2474" spans="1:6" ht="30" customHeight="1">
      <c r="A2474" s="6">
        <v>2472</v>
      </c>
      <c r="B2474" s="6" t="str">
        <f>"53002023052714311384908"</f>
        <v>53002023052714311384908</v>
      </c>
      <c r="C2474" s="6" t="str">
        <f t="shared" si="163"/>
        <v>0207</v>
      </c>
      <c r="D2474" s="6" t="s">
        <v>27</v>
      </c>
      <c r="E2474" s="6" t="str">
        <f>"李向敏"</f>
        <v>李向敏</v>
      </c>
      <c r="F2474" s="6" t="str">
        <f t="shared" si="164"/>
        <v>女</v>
      </c>
    </row>
    <row r="2475" spans="1:6" ht="30" customHeight="1">
      <c r="A2475" s="6">
        <v>2473</v>
      </c>
      <c r="B2475" s="6" t="str">
        <f>"530020230601140015107010"</f>
        <v>530020230601140015107010</v>
      </c>
      <c r="C2475" s="6" t="str">
        <f t="shared" si="163"/>
        <v>0207</v>
      </c>
      <c r="D2475" s="6" t="s">
        <v>27</v>
      </c>
      <c r="E2475" s="6" t="str">
        <f>"唐妮"</f>
        <v>唐妮</v>
      </c>
      <c r="F2475" s="6" t="str">
        <f t="shared" si="164"/>
        <v>女</v>
      </c>
    </row>
    <row r="2476" spans="1:6" ht="30" customHeight="1">
      <c r="A2476" s="6">
        <v>2474</v>
      </c>
      <c r="B2476" s="6" t="str">
        <f>"530020230601142939107098"</f>
        <v>530020230601142939107098</v>
      </c>
      <c r="C2476" s="6" t="str">
        <f t="shared" si="163"/>
        <v>0207</v>
      </c>
      <c r="D2476" s="6" t="s">
        <v>27</v>
      </c>
      <c r="E2476" s="6" t="str">
        <f>"陈忆凝"</f>
        <v>陈忆凝</v>
      </c>
      <c r="F2476" s="6" t="str">
        <f t="shared" si="164"/>
        <v>女</v>
      </c>
    </row>
    <row r="2477" spans="1:6" ht="30" customHeight="1">
      <c r="A2477" s="6">
        <v>2475</v>
      </c>
      <c r="B2477" s="6" t="str">
        <f>"530020230601145711107229"</f>
        <v>530020230601145711107229</v>
      </c>
      <c r="C2477" s="6" t="str">
        <f t="shared" si="163"/>
        <v>0207</v>
      </c>
      <c r="D2477" s="6" t="s">
        <v>27</v>
      </c>
      <c r="E2477" s="6" t="str">
        <f>"李海南"</f>
        <v>李海南</v>
      </c>
      <c r="F2477" s="6" t="str">
        <f t="shared" si="164"/>
        <v>女</v>
      </c>
    </row>
    <row r="2478" spans="1:6" ht="30" customHeight="1">
      <c r="A2478" s="6">
        <v>2476</v>
      </c>
      <c r="B2478" s="6" t="str">
        <f>"530020230601151305107305"</f>
        <v>530020230601151305107305</v>
      </c>
      <c r="C2478" s="6" t="str">
        <f t="shared" si="163"/>
        <v>0207</v>
      </c>
      <c r="D2478" s="6" t="s">
        <v>27</v>
      </c>
      <c r="E2478" s="6" t="str">
        <f>"林秋菊"</f>
        <v>林秋菊</v>
      </c>
      <c r="F2478" s="6" t="str">
        <f t="shared" si="164"/>
        <v>女</v>
      </c>
    </row>
    <row r="2479" spans="1:6" ht="30" customHeight="1">
      <c r="A2479" s="6">
        <v>2477</v>
      </c>
      <c r="B2479" s="6" t="str">
        <f>"530020230531152348103318"</f>
        <v>530020230531152348103318</v>
      </c>
      <c r="C2479" s="6" t="str">
        <f t="shared" si="163"/>
        <v>0207</v>
      </c>
      <c r="D2479" s="6" t="s">
        <v>27</v>
      </c>
      <c r="E2479" s="6" t="str">
        <f>"陈丽娜"</f>
        <v>陈丽娜</v>
      </c>
      <c r="F2479" s="6" t="str">
        <f t="shared" si="164"/>
        <v>女</v>
      </c>
    </row>
    <row r="2480" spans="1:6" ht="30" customHeight="1">
      <c r="A2480" s="6">
        <v>2478</v>
      </c>
      <c r="B2480" s="6" t="str">
        <f>"530020230601145812107237"</f>
        <v>530020230601145812107237</v>
      </c>
      <c r="C2480" s="6" t="str">
        <f t="shared" si="163"/>
        <v>0207</v>
      </c>
      <c r="D2480" s="6" t="s">
        <v>27</v>
      </c>
      <c r="E2480" s="6" t="str">
        <f>"王萍"</f>
        <v>王萍</v>
      </c>
      <c r="F2480" s="6" t="str">
        <f t="shared" si="164"/>
        <v>女</v>
      </c>
    </row>
    <row r="2481" spans="1:6" ht="30" customHeight="1">
      <c r="A2481" s="6">
        <v>2479</v>
      </c>
      <c r="B2481" s="6" t="str">
        <f>"530020230601160410107531"</f>
        <v>530020230601160410107531</v>
      </c>
      <c r="C2481" s="6" t="str">
        <f t="shared" si="163"/>
        <v>0207</v>
      </c>
      <c r="D2481" s="6" t="s">
        <v>27</v>
      </c>
      <c r="E2481" s="6" t="str">
        <f>"林萍萍"</f>
        <v>林萍萍</v>
      </c>
      <c r="F2481" s="6" t="str">
        <f t="shared" si="164"/>
        <v>女</v>
      </c>
    </row>
    <row r="2482" spans="1:6" ht="30" customHeight="1">
      <c r="A2482" s="6">
        <v>2480</v>
      </c>
      <c r="B2482" s="6" t="str">
        <f>"530020230601160241107523"</f>
        <v>530020230601160241107523</v>
      </c>
      <c r="C2482" s="6" t="str">
        <f t="shared" si="163"/>
        <v>0207</v>
      </c>
      <c r="D2482" s="6" t="s">
        <v>27</v>
      </c>
      <c r="E2482" s="6" t="str">
        <f>"吴兴兰"</f>
        <v>吴兴兰</v>
      </c>
      <c r="F2482" s="6" t="str">
        <f t="shared" si="164"/>
        <v>女</v>
      </c>
    </row>
    <row r="2483" spans="1:6" ht="30" customHeight="1">
      <c r="A2483" s="6">
        <v>2481</v>
      </c>
      <c r="B2483" s="6" t="str">
        <f>"530020230601180246108016"</f>
        <v>530020230601180246108016</v>
      </c>
      <c r="C2483" s="6" t="str">
        <f t="shared" si="163"/>
        <v>0207</v>
      </c>
      <c r="D2483" s="6" t="s">
        <v>27</v>
      </c>
      <c r="E2483" s="6" t="str">
        <f>"蔡永乐"</f>
        <v>蔡永乐</v>
      </c>
      <c r="F2483" s="6" t="str">
        <f t="shared" si="164"/>
        <v>女</v>
      </c>
    </row>
    <row r="2484" spans="1:6" ht="30" customHeight="1">
      <c r="A2484" s="6">
        <v>2482</v>
      </c>
      <c r="B2484" s="6" t="str">
        <f>"530020230601153305107390"</f>
        <v>530020230601153305107390</v>
      </c>
      <c r="C2484" s="6" t="str">
        <f t="shared" si="163"/>
        <v>0207</v>
      </c>
      <c r="D2484" s="6" t="s">
        <v>27</v>
      </c>
      <c r="E2484" s="6" t="str">
        <f>"董凯进"</f>
        <v>董凯进</v>
      </c>
      <c r="F2484" s="6" t="str">
        <f>"男"</f>
        <v>男</v>
      </c>
    </row>
    <row r="2485" spans="1:6" ht="30" customHeight="1">
      <c r="A2485" s="6">
        <v>2483</v>
      </c>
      <c r="B2485" s="6" t="str">
        <f>"530020230601184854108157"</f>
        <v>530020230601184854108157</v>
      </c>
      <c r="C2485" s="6" t="str">
        <f t="shared" si="163"/>
        <v>0207</v>
      </c>
      <c r="D2485" s="6" t="s">
        <v>27</v>
      </c>
      <c r="E2485" s="6" t="str">
        <f>"符雨萌"</f>
        <v>符雨萌</v>
      </c>
      <c r="F2485" s="6" t="str">
        <f aca="true" t="shared" si="165" ref="F2485:F2490">"女"</f>
        <v>女</v>
      </c>
    </row>
    <row r="2486" spans="1:6" ht="30" customHeight="1">
      <c r="A2486" s="6">
        <v>2484</v>
      </c>
      <c r="B2486" s="6" t="str">
        <f>"53002023052913174192129"</f>
        <v>53002023052913174192129</v>
      </c>
      <c r="C2486" s="6" t="str">
        <f t="shared" si="163"/>
        <v>0207</v>
      </c>
      <c r="D2486" s="6" t="s">
        <v>27</v>
      </c>
      <c r="E2486" s="6" t="str">
        <f>"黄民姣"</f>
        <v>黄民姣</v>
      </c>
      <c r="F2486" s="6" t="str">
        <f t="shared" si="165"/>
        <v>女</v>
      </c>
    </row>
    <row r="2487" spans="1:6" ht="30" customHeight="1">
      <c r="A2487" s="6">
        <v>2485</v>
      </c>
      <c r="B2487" s="6" t="str">
        <f>"530020230601224235108937"</f>
        <v>530020230601224235108937</v>
      </c>
      <c r="C2487" s="6" t="str">
        <f t="shared" si="163"/>
        <v>0207</v>
      </c>
      <c r="D2487" s="6" t="s">
        <v>27</v>
      </c>
      <c r="E2487" s="6" t="str">
        <f>"吴佶斋"</f>
        <v>吴佶斋</v>
      </c>
      <c r="F2487" s="6" t="str">
        <f t="shared" si="165"/>
        <v>女</v>
      </c>
    </row>
    <row r="2488" spans="1:6" ht="30" customHeight="1">
      <c r="A2488" s="6">
        <v>2486</v>
      </c>
      <c r="B2488" s="6" t="str">
        <f>"530020230601120442106584"</f>
        <v>530020230601120442106584</v>
      </c>
      <c r="C2488" s="6" t="str">
        <f t="shared" si="163"/>
        <v>0207</v>
      </c>
      <c r="D2488" s="6" t="s">
        <v>27</v>
      </c>
      <c r="E2488" s="6" t="str">
        <f>"曾秀妹"</f>
        <v>曾秀妹</v>
      </c>
      <c r="F2488" s="6" t="str">
        <f t="shared" si="165"/>
        <v>女</v>
      </c>
    </row>
    <row r="2489" spans="1:6" ht="30" customHeight="1">
      <c r="A2489" s="6">
        <v>2487</v>
      </c>
      <c r="B2489" s="6" t="str">
        <f>"530020230531003321100989"</f>
        <v>530020230531003321100989</v>
      </c>
      <c r="C2489" s="6" t="str">
        <f t="shared" si="163"/>
        <v>0207</v>
      </c>
      <c r="D2489" s="6" t="s">
        <v>27</v>
      </c>
      <c r="E2489" s="6" t="str">
        <f>"文瑜慧"</f>
        <v>文瑜慧</v>
      </c>
      <c r="F2489" s="6" t="str">
        <f t="shared" si="165"/>
        <v>女</v>
      </c>
    </row>
    <row r="2490" spans="1:6" ht="30" customHeight="1">
      <c r="A2490" s="6">
        <v>2488</v>
      </c>
      <c r="B2490" s="6" t="str">
        <f>"530020230602002849109173"</f>
        <v>530020230602002849109173</v>
      </c>
      <c r="C2490" s="6" t="str">
        <f t="shared" si="163"/>
        <v>0207</v>
      </c>
      <c r="D2490" s="6" t="s">
        <v>27</v>
      </c>
      <c r="E2490" s="6" t="str">
        <f>"黄婷"</f>
        <v>黄婷</v>
      </c>
      <c r="F2490" s="6" t="str">
        <f t="shared" si="165"/>
        <v>女</v>
      </c>
    </row>
    <row r="2491" spans="1:6" ht="30" customHeight="1">
      <c r="A2491" s="6">
        <v>2489</v>
      </c>
      <c r="B2491" s="6" t="str">
        <f>"530020230601175731108000"</f>
        <v>530020230601175731108000</v>
      </c>
      <c r="C2491" s="6" t="str">
        <f t="shared" si="163"/>
        <v>0207</v>
      </c>
      <c r="D2491" s="6" t="s">
        <v>27</v>
      </c>
      <c r="E2491" s="6" t="str">
        <f>"陈元冲"</f>
        <v>陈元冲</v>
      </c>
      <c r="F2491" s="6" t="str">
        <f>"男"</f>
        <v>男</v>
      </c>
    </row>
    <row r="2492" spans="1:6" ht="30" customHeight="1">
      <c r="A2492" s="6">
        <v>2490</v>
      </c>
      <c r="B2492" s="6" t="str">
        <f>"530020230601232400109053"</f>
        <v>530020230601232400109053</v>
      </c>
      <c r="C2492" s="6" t="str">
        <f t="shared" si="163"/>
        <v>0207</v>
      </c>
      <c r="D2492" s="6" t="s">
        <v>27</v>
      </c>
      <c r="E2492" s="6" t="str">
        <f>"王正月"</f>
        <v>王正月</v>
      </c>
      <c r="F2492" s="6" t="str">
        <f aca="true" t="shared" si="166" ref="F2492:F2499">"女"</f>
        <v>女</v>
      </c>
    </row>
    <row r="2493" spans="1:6" ht="30" customHeight="1">
      <c r="A2493" s="6">
        <v>2491</v>
      </c>
      <c r="B2493" s="6" t="str">
        <f>"530020230602095155109661"</f>
        <v>530020230602095155109661</v>
      </c>
      <c r="C2493" s="6" t="str">
        <f t="shared" si="163"/>
        <v>0207</v>
      </c>
      <c r="D2493" s="6" t="s">
        <v>27</v>
      </c>
      <c r="E2493" s="6" t="str">
        <f>"王振莹"</f>
        <v>王振莹</v>
      </c>
      <c r="F2493" s="6" t="str">
        <f t="shared" si="166"/>
        <v>女</v>
      </c>
    </row>
    <row r="2494" spans="1:6" ht="30" customHeight="1">
      <c r="A2494" s="6">
        <v>2492</v>
      </c>
      <c r="B2494" s="6" t="str">
        <f>"530020230601213217108643"</f>
        <v>530020230601213217108643</v>
      </c>
      <c r="C2494" s="6" t="str">
        <f t="shared" si="163"/>
        <v>0207</v>
      </c>
      <c r="D2494" s="6" t="s">
        <v>27</v>
      </c>
      <c r="E2494" s="6" t="str">
        <f>"梁春乾"</f>
        <v>梁春乾</v>
      </c>
      <c r="F2494" s="6" t="str">
        <f t="shared" si="166"/>
        <v>女</v>
      </c>
    </row>
    <row r="2495" spans="1:6" ht="30" customHeight="1">
      <c r="A2495" s="6">
        <v>2493</v>
      </c>
      <c r="B2495" s="6" t="str">
        <f>"530020230602100933109726"</f>
        <v>530020230602100933109726</v>
      </c>
      <c r="C2495" s="6" t="str">
        <f t="shared" si="163"/>
        <v>0207</v>
      </c>
      <c r="D2495" s="6" t="s">
        <v>27</v>
      </c>
      <c r="E2495" s="6" t="str">
        <f>"石晶"</f>
        <v>石晶</v>
      </c>
      <c r="F2495" s="6" t="str">
        <f t="shared" si="166"/>
        <v>女</v>
      </c>
    </row>
    <row r="2496" spans="1:6" ht="30" customHeight="1">
      <c r="A2496" s="6">
        <v>2494</v>
      </c>
      <c r="B2496" s="6" t="str">
        <f>"530020230601175328107985"</f>
        <v>530020230601175328107985</v>
      </c>
      <c r="C2496" s="6" t="str">
        <f t="shared" si="163"/>
        <v>0207</v>
      </c>
      <c r="D2496" s="6" t="s">
        <v>27</v>
      </c>
      <c r="E2496" s="6" t="str">
        <f>"邱丽翔"</f>
        <v>邱丽翔</v>
      </c>
      <c r="F2496" s="6" t="str">
        <f t="shared" si="166"/>
        <v>女</v>
      </c>
    </row>
    <row r="2497" spans="1:6" ht="30" customHeight="1">
      <c r="A2497" s="6">
        <v>2495</v>
      </c>
      <c r="B2497" s="6" t="str">
        <f>"53002023052817201888084"</f>
        <v>53002023052817201888084</v>
      </c>
      <c r="C2497" s="6" t="str">
        <f t="shared" si="163"/>
        <v>0207</v>
      </c>
      <c r="D2497" s="6" t="s">
        <v>27</v>
      </c>
      <c r="E2497" s="6" t="str">
        <f>"吴富菊"</f>
        <v>吴富菊</v>
      </c>
      <c r="F2497" s="6" t="str">
        <f t="shared" si="166"/>
        <v>女</v>
      </c>
    </row>
    <row r="2498" spans="1:6" ht="30" customHeight="1">
      <c r="A2498" s="6">
        <v>2496</v>
      </c>
      <c r="B2498" s="6" t="str">
        <f>"53002023052709504483843"</f>
        <v>53002023052709504483843</v>
      </c>
      <c r="C2498" s="6" t="str">
        <f aca="true" t="shared" si="167" ref="C2498:C2561">"0208"</f>
        <v>0208</v>
      </c>
      <c r="D2498" s="6" t="s">
        <v>28</v>
      </c>
      <c r="E2498" s="6" t="str">
        <f>"羊忠艳"</f>
        <v>羊忠艳</v>
      </c>
      <c r="F2498" s="6" t="str">
        <f t="shared" si="166"/>
        <v>女</v>
      </c>
    </row>
    <row r="2499" spans="1:6" ht="30" customHeight="1">
      <c r="A2499" s="6">
        <v>2497</v>
      </c>
      <c r="B2499" s="6" t="str">
        <f>"53002023052710243284005"</f>
        <v>53002023052710243284005</v>
      </c>
      <c r="C2499" s="6" t="str">
        <f t="shared" si="167"/>
        <v>0208</v>
      </c>
      <c r="D2499" s="6" t="s">
        <v>28</v>
      </c>
      <c r="E2499" s="6" t="str">
        <f>"翁敏"</f>
        <v>翁敏</v>
      </c>
      <c r="F2499" s="6" t="str">
        <f t="shared" si="166"/>
        <v>女</v>
      </c>
    </row>
    <row r="2500" spans="1:6" ht="30" customHeight="1">
      <c r="A2500" s="6">
        <v>2498</v>
      </c>
      <c r="B2500" s="6" t="str">
        <f>"53002023052710363584059"</f>
        <v>53002023052710363584059</v>
      </c>
      <c r="C2500" s="6" t="str">
        <f t="shared" si="167"/>
        <v>0208</v>
      </c>
      <c r="D2500" s="6" t="s">
        <v>28</v>
      </c>
      <c r="E2500" s="6" t="str">
        <f>"俞辉"</f>
        <v>俞辉</v>
      </c>
      <c r="F2500" s="6" t="str">
        <f>"男"</f>
        <v>男</v>
      </c>
    </row>
    <row r="2501" spans="1:6" ht="30" customHeight="1">
      <c r="A2501" s="6">
        <v>2499</v>
      </c>
      <c r="B2501" s="6" t="str">
        <f>"53002023052710520384132"</f>
        <v>53002023052710520384132</v>
      </c>
      <c r="C2501" s="6" t="str">
        <f t="shared" si="167"/>
        <v>0208</v>
      </c>
      <c r="D2501" s="6" t="s">
        <v>28</v>
      </c>
      <c r="E2501" s="6" t="str">
        <f>"胡良燕"</f>
        <v>胡良燕</v>
      </c>
      <c r="F2501" s="6" t="str">
        <f>"女"</f>
        <v>女</v>
      </c>
    </row>
    <row r="2502" spans="1:6" ht="30" customHeight="1">
      <c r="A2502" s="6">
        <v>2500</v>
      </c>
      <c r="B2502" s="6" t="str">
        <f>"53002023052710371584062"</f>
        <v>53002023052710371584062</v>
      </c>
      <c r="C2502" s="6" t="str">
        <f t="shared" si="167"/>
        <v>0208</v>
      </c>
      <c r="D2502" s="6" t="s">
        <v>28</v>
      </c>
      <c r="E2502" s="6" t="str">
        <f>"黄悦"</f>
        <v>黄悦</v>
      </c>
      <c r="F2502" s="6" t="str">
        <f>"女"</f>
        <v>女</v>
      </c>
    </row>
    <row r="2503" spans="1:6" ht="30" customHeight="1">
      <c r="A2503" s="6">
        <v>2501</v>
      </c>
      <c r="B2503" s="6" t="str">
        <f>"53002023052709552583860"</f>
        <v>53002023052709552583860</v>
      </c>
      <c r="C2503" s="6" t="str">
        <f t="shared" si="167"/>
        <v>0208</v>
      </c>
      <c r="D2503" s="6" t="s">
        <v>28</v>
      </c>
      <c r="E2503" s="6" t="str">
        <f>"吴正昊"</f>
        <v>吴正昊</v>
      </c>
      <c r="F2503" s="6" t="str">
        <f>"男"</f>
        <v>男</v>
      </c>
    </row>
    <row r="2504" spans="1:6" ht="30" customHeight="1">
      <c r="A2504" s="6">
        <v>2502</v>
      </c>
      <c r="B2504" s="6" t="str">
        <f>"53002023052712113084453"</f>
        <v>53002023052712113084453</v>
      </c>
      <c r="C2504" s="6" t="str">
        <f t="shared" si="167"/>
        <v>0208</v>
      </c>
      <c r="D2504" s="6" t="s">
        <v>28</v>
      </c>
      <c r="E2504" s="6" t="str">
        <f>"胡欣雨"</f>
        <v>胡欣雨</v>
      </c>
      <c r="F2504" s="6" t="str">
        <f>"女"</f>
        <v>女</v>
      </c>
    </row>
    <row r="2505" spans="1:6" ht="30" customHeight="1">
      <c r="A2505" s="6">
        <v>2503</v>
      </c>
      <c r="B2505" s="6" t="str">
        <f>"53002023052712353484537"</f>
        <v>53002023052712353484537</v>
      </c>
      <c r="C2505" s="6" t="str">
        <f t="shared" si="167"/>
        <v>0208</v>
      </c>
      <c r="D2505" s="6" t="s">
        <v>28</v>
      </c>
      <c r="E2505" s="6" t="str">
        <f>"陈绵丹"</f>
        <v>陈绵丹</v>
      </c>
      <c r="F2505" s="6" t="str">
        <f>"女"</f>
        <v>女</v>
      </c>
    </row>
    <row r="2506" spans="1:6" ht="30" customHeight="1">
      <c r="A2506" s="6">
        <v>2504</v>
      </c>
      <c r="B2506" s="6" t="str">
        <f>"53002023052712502884588"</f>
        <v>53002023052712502884588</v>
      </c>
      <c r="C2506" s="6" t="str">
        <f t="shared" si="167"/>
        <v>0208</v>
      </c>
      <c r="D2506" s="6" t="s">
        <v>28</v>
      </c>
      <c r="E2506" s="6" t="str">
        <f>"吉送杏"</f>
        <v>吉送杏</v>
      </c>
      <c r="F2506" s="6" t="str">
        <f>"女"</f>
        <v>女</v>
      </c>
    </row>
    <row r="2507" spans="1:6" ht="30" customHeight="1">
      <c r="A2507" s="6">
        <v>2505</v>
      </c>
      <c r="B2507" s="6" t="str">
        <f>"53002023052712530884591"</f>
        <v>53002023052712530884591</v>
      </c>
      <c r="C2507" s="6" t="str">
        <f t="shared" si="167"/>
        <v>0208</v>
      </c>
      <c r="D2507" s="6" t="s">
        <v>28</v>
      </c>
      <c r="E2507" s="6" t="str">
        <f>"符策豪"</f>
        <v>符策豪</v>
      </c>
      <c r="F2507" s="6" t="str">
        <f>"男"</f>
        <v>男</v>
      </c>
    </row>
    <row r="2508" spans="1:6" ht="30" customHeight="1">
      <c r="A2508" s="6">
        <v>2506</v>
      </c>
      <c r="B2508" s="6" t="str">
        <f>"53002023052709013983657"</f>
        <v>53002023052709013983657</v>
      </c>
      <c r="C2508" s="6" t="str">
        <f t="shared" si="167"/>
        <v>0208</v>
      </c>
      <c r="D2508" s="6" t="s">
        <v>28</v>
      </c>
      <c r="E2508" s="6" t="str">
        <f>"孙静"</f>
        <v>孙静</v>
      </c>
      <c r="F2508" s="6" t="str">
        <f aca="true" t="shared" si="168" ref="F2508:F2520">"女"</f>
        <v>女</v>
      </c>
    </row>
    <row r="2509" spans="1:6" ht="30" customHeight="1">
      <c r="A2509" s="6">
        <v>2507</v>
      </c>
      <c r="B2509" s="6" t="str">
        <f>"53002023052717511385581"</f>
        <v>53002023052717511385581</v>
      </c>
      <c r="C2509" s="6" t="str">
        <f t="shared" si="167"/>
        <v>0208</v>
      </c>
      <c r="D2509" s="6" t="s">
        <v>28</v>
      </c>
      <c r="E2509" s="6" t="str">
        <f>"王敏"</f>
        <v>王敏</v>
      </c>
      <c r="F2509" s="6" t="str">
        <f t="shared" si="168"/>
        <v>女</v>
      </c>
    </row>
    <row r="2510" spans="1:6" ht="30" customHeight="1">
      <c r="A2510" s="6">
        <v>2508</v>
      </c>
      <c r="B2510" s="6" t="str">
        <f>"53002023052720312886017"</f>
        <v>53002023052720312886017</v>
      </c>
      <c r="C2510" s="6" t="str">
        <f t="shared" si="167"/>
        <v>0208</v>
      </c>
      <c r="D2510" s="6" t="s">
        <v>28</v>
      </c>
      <c r="E2510" s="6" t="str">
        <f>"林建娥"</f>
        <v>林建娥</v>
      </c>
      <c r="F2510" s="6" t="str">
        <f t="shared" si="168"/>
        <v>女</v>
      </c>
    </row>
    <row r="2511" spans="1:6" ht="30" customHeight="1">
      <c r="A2511" s="6">
        <v>2509</v>
      </c>
      <c r="B2511" s="6" t="str">
        <f>"53002023052722020486320"</f>
        <v>53002023052722020486320</v>
      </c>
      <c r="C2511" s="6" t="str">
        <f t="shared" si="167"/>
        <v>0208</v>
      </c>
      <c r="D2511" s="6" t="s">
        <v>28</v>
      </c>
      <c r="E2511" s="6" t="str">
        <f>"谢周楠"</f>
        <v>谢周楠</v>
      </c>
      <c r="F2511" s="6" t="str">
        <f t="shared" si="168"/>
        <v>女</v>
      </c>
    </row>
    <row r="2512" spans="1:6" ht="30" customHeight="1">
      <c r="A2512" s="6">
        <v>2510</v>
      </c>
      <c r="B2512" s="6" t="str">
        <f>"53002023052809381086878"</f>
        <v>53002023052809381086878</v>
      </c>
      <c r="C2512" s="6" t="str">
        <f t="shared" si="167"/>
        <v>0208</v>
      </c>
      <c r="D2512" s="6" t="s">
        <v>28</v>
      </c>
      <c r="E2512" s="6" t="str">
        <f>"王军欢"</f>
        <v>王军欢</v>
      </c>
      <c r="F2512" s="6" t="str">
        <f t="shared" si="168"/>
        <v>女</v>
      </c>
    </row>
    <row r="2513" spans="1:6" ht="30" customHeight="1">
      <c r="A2513" s="6">
        <v>2511</v>
      </c>
      <c r="B2513" s="6" t="str">
        <f>"53002023052811134087111"</f>
        <v>53002023052811134087111</v>
      </c>
      <c r="C2513" s="6" t="str">
        <f t="shared" si="167"/>
        <v>0208</v>
      </c>
      <c r="D2513" s="6" t="s">
        <v>28</v>
      </c>
      <c r="E2513" s="6" t="str">
        <f>"林亚姣"</f>
        <v>林亚姣</v>
      </c>
      <c r="F2513" s="6" t="str">
        <f t="shared" si="168"/>
        <v>女</v>
      </c>
    </row>
    <row r="2514" spans="1:6" ht="30" customHeight="1">
      <c r="A2514" s="6">
        <v>2512</v>
      </c>
      <c r="B2514" s="6" t="str">
        <f>"53002023052811344687170"</f>
        <v>53002023052811344687170</v>
      </c>
      <c r="C2514" s="6" t="str">
        <f t="shared" si="167"/>
        <v>0208</v>
      </c>
      <c r="D2514" s="6" t="s">
        <v>28</v>
      </c>
      <c r="E2514" s="6" t="str">
        <f>"陈春平"</f>
        <v>陈春平</v>
      </c>
      <c r="F2514" s="6" t="str">
        <f t="shared" si="168"/>
        <v>女</v>
      </c>
    </row>
    <row r="2515" spans="1:6" ht="30" customHeight="1">
      <c r="A2515" s="6">
        <v>2513</v>
      </c>
      <c r="B2515" s="6" t="str">
        <f>"53002023052815090887719"</f>
        <v>53002023052815090887719</v>
      </c>
      <c r="C2515" s="6" t="str">
        <f t="shared" si="167"/>
        <v>0208</v>
      </c>
      <c r="D2515" s="6" t="s">
        <v>28</v>
      </c>
      <c r="E2515" s="6" t="str">
        <f>"刘芝琳"</f>
        <v>刘芝琳</v>
      </c>
      <c r="F2515" s="6" t="str">
        <f t="shared" si="168"/>
        <v>女</v>
      </c>
    </row>
    <row r="2516" spans="1:6" ht="30" customHeight="1">
      <c r="A2516" s="6">
        <v>2514</v>
      </c>
      <c r="B2516" s="6" t="str">
        <f>"53002023052816093787876"</f>
        <v>53002023052816093787876</v>
      </c>
      <c r="C2516" s="6" t="str">
        <f t="shared" si="167"/>
        <v>0208</v>
      </c>
      <c r="D2516" s="6" t="s">
        <v>28</v>
      </c>
      <c r="E2516" s="6" t="str">
        <f>"林娅"</f>
        <v>林娅</v>
      </c>
      <c r="F2516" s="6" t="str">
        <f t="shared" si="168"/>
        <v>女</v>
      </c>
    </row>
    <row r="2517" spans="1:6" ht="30" customHeight="1">
      <c r="A2517" s="6">
        <v>2515</v>
      </c>
      <c r="B2517" s="6" t="str">
        <f>"53002023052816513988000"</f>
        <v>53002023052816513988000</v>
      </c>
      <c r="C2517" s="6" t="str">
        <f t="shared" si="167"/>
        <v>0208</v>
      </c>
      <c r="D2517" s="6" t="s">
        <v>28</v>
      </c>
      <c r="E2517" s="6" t="str">
        <f>"苏志媛"</f>
        <v>苏志媛</v>
      </c>
      <c r="F2517" s="6" t="str">
        <f t="shared" si="168"/>
        <v>女</v>
      </c>
    </row>
    <row r="2518" spans="1:6" ht="30" customHeight="1">
      <c r="A2518" s="6">
        <v>2516</v>
      </c>
      <c r="B2518" s="6" t="str">
        <f>"53002023052813091987422"</f>
        <v>53002023052813091987422</v>
      </c>
      <c r="C2518" s="6" t="str">
        <f t="shared" si="167"/>
        <v>0208</v>
      </c>
      <c r="D2518" s="6" t="s">
        <v>28</v>
      </c>
      <c r="E2518" s="6" t="str">
        <f>"林小清"</f>
        <v>林小清</v>
      </c>
      <c r="F2518" s="6" t="str">
        <f t="shared" si="168"/>
        <v>女</v>
      </c>
    </row>
    <row r="2519" spans="1:6" ht="30" customHeight="1">
      <c r="A2519" s="6">
        <v>2517</v>
      </c>
      <c r="B2519" s="6" t="str">
        <f>"53002023052813503487530"</f>
        <v>53002023052813503487530</v>
      </c>
      <c r="C2519" s="6" t="str">
        <f t="shared" si="167"/>
        <v>0208</v>
      </c>
      <c r="D2519" s="6" t="s">
        <v>28</v>
      </c>
      <c r="E2519" s="6" t="str">
        <f>"贺颖"</f>
        <v>贺颖</v>
      </c>
      <c r="F2519" s="6" t="str">
        <f t="shared" si="168"/>
        <v>女</v>
      </c>
    </row>
    <row r="2520" spans="1:6" ht="30" customHeight="1">
      <c r="A2520" s="6">
        <v>2518</v>
      </c>
      <c r="B2520" s="6" t="str">
        <f>"53002023052817032088041"</f>
        <v>53002023052817032088041</v>
      </c>
      <c r="C2520" s="6" t="str">
        <f t="shared" si="167"/>
        <v>0208</v>
      </c>
      <c r="D2520" s="6" t="s">
        <v>28</v>
      </c>
      <c r="E2520" s="6" t="str">
        <f>"邢孔芸"</f>
        <v>邢孔芸</v>
      </c>
      <c r="F2520" s="6" t="str">
        <f t="shared" si="168"/>
        <v>女</v>
      </c>
    </row>
    <row r="2521" spans="1:6" ht="30" customHeight="1">
      <c r="A2521" s="6">
        <v>2519</v>
      </c>
      <c r="B2521" s="6" t="str">
        <f>"53002023052819375988528"</f>
        <v>53002023052819375988528</v>
      </c>
      <c r="C2521" s="6" t="str">
        <f t="shared" si="167"/>
        <v>0208</v>
      </c>
      <c r="D2521" s="6" t="s">
        <v>28</v>
      </c>
      <c r="E2521" s="6" t="str">
        <f>"林元超"</f>
        <v>林元超</v>
      </c>
      <c r="F2521" s="6" t="str">
        <f>"男"</f>
        <v>男</v>
      </c>
    </row>
    <row r="2522" spans="1:6" ht="30" customHeight="1">
      <c r="A2522" s="6">
        <v>2520</v>
      </c>
      <c r="B2522" s="6" t="str">
        <f>"53002023052821062488805"</f>
        <v>53002023052821062488805</v>
      </c>
      <c r="C2522" s="6" t="str">
        <f t="shared" si="167"/>
        <v>0208</v>
      </c>
      <c r="D2522" s="6" t="s">
        <v>28</v>
      </c>
      <c r="E2522" s="6" t="str">
        <f>"罗琬尹"</f>
        <v>罗琬尹</v>
      </c>
      <c r="F2522" s="6" t="str">
        <f>"女"</f>
        <v>女</v>
      </c>
    </row>
    <row r="2523" spans="1:6" ht="30" customHeight="1">
      <c r="A2523" s="6">
        <v>2521</v>
      </c>
      <c r="B2523" s="6" t="str">
        <f>"53002023052821263488875"</f>
        <v>53002023052821263488875</v>
      </c>
      <c r="C2523" s="6" t="str">
        <f t="shared" si="167"/>
        <v>0208</v>
      </c>
      <c r="D2523" s="6" t="s">
        <v>28</v>
      </c>
      <c r="E2523" s="6" t="str">
        <f>"郭金萍"</f>
        <v>郭金萍</v>
      </c>
      <c r="F2523" s="6" t="str">
        <f>"女"</f>
        <v>女</v>
      </c>
    </row>
    <row r="2524" spans="1:6" ht="30" customHeight="1">
      <c r="A2524" s="6">
        <v>2522</v>
      </c>
      <c r="B2524" s="6" t="str">
        <f>"53002023052821090688812"</f>
        <v>53002023052821090688812</v>
      </c>
      <c r="C2524" s="6" t="str">
        <f t="shared" si="167"/>
        <v>0208</v>
      </c>
      <c r="D2524" s="6" t="s">
        <v>28</v>
      </c>
      <c r="E2524" s="6" t="str">
        <f>"李仲彦"</f>
        <v>李仲彦</v>
      </c>
      <c r="F2524" s="6" t="str">
        <f>"男"</f>
        <v>男</v>
      </c>
    </row>
    <row r="2525" spans="1:6" ht="30" customHeight="1">
      <c r="A2525" s="6">
        <v>2523</v>
      </c>
      <c r="B2525" s="6" t="str">
        <f>"53002023052821405388924"</f>
        <v>53002023052821405388924</v>
      </c>
      <c r="C2525" s="6" t="str">
        <f t="shared" si="167"/>
        <v>0208</v>
      </c>
      <c r="D2525" s="6" t="s">
        <v>28</v>
      </c>
      <c r="E2525" s="6" t="str">
        <f>"黄楚芝"</f>
        <v>黄楚芝</v>
      </c>
      <c r="F2525" s="6" t="str">
        <f aca="true" t="shared" si="169" ref="F2525:F2532">"女"</f>
        <v>女</v>
      </c>
    </row>
    <row r="2526" spans="1:6" ht="30" customHeight="1">
      <c r="A2526" s="6">
        <v>2524</v>
      </c>
      <c r="B2526" s="6" t="str">
        <f>"53002023052817120988063"</f>
        <v>53002023052817120988063</v>
      </c>
      <c r="C2526" s="6" t="str">
        <f t="shared" si="167"/>
        <v>0208</v>
      </c>
      <c r="D2526" s="6" t="s">
        <v>28</v>
      </c>
      <c r="E2526" s="6" t="str">
        <f>"陈冰冰"</f>
        <v>陈冰冰</v>
      </c>
      <c r="F2526" s="6" t="str">
        <f t="shared" si="169"/>
        <v>女</v>
      </c>
    </row>
    <row r="2527" spans="1:6" ht="30" customHeight="1">
      <c r="A2527" s="6">
        <v>2525</v>
      </c>
      <c r="B2527" s="6" t="str">
        <f>"53002023052822250389084"</f>
        <v>53002023052822250389084</v>
      </c>
      <c r="C2527" s="6" t="str">
        <f t="shared" si="167"/>
        <v>0208</v>
      </c>
      <c r="D2527" s="6" t="s">
        <v>28</v>
      </c>
      <c r="E2527" s="6" t="str">
        <f>"李逸"</f>
        <v>李逸</v>
      </c>
      <c r="F2527" s="6" t="str">
        <f t="shared" si="169"/>
        <v>女</v>
      </c>
    </row>
    <row r="2528" spans="1:6" ht="30" customHeight="1">
      <c r="A2528" s="6">
        <v>2526</v>
      </c>
      <c r="B2528" s="6" t="str">
        <f>"53002023052822412989139"</f>
        <v>53002023052822412989139</v>
      </c>
      <c r="C2528" s="6" t="str">
        <f t="shared" si="167"/>
        <v>0208</v>
      </c>
      <c r="D2528" s="6" t="s">
        <v>28</v>
      </c>
      <c r="E2528" s="6" t="str">
        <f>"陈龙燕"</f>
        <v>陈龙燕</v>
      </c>
      <c r="F2528" s="6" t="str">
        <f t="shared" si="169"/>
        <v>女</v>
      </c>
    </row>
    <row r="2529" spans="1:6" ht="30" customHeight="1">
      <c r="A2529" s="6">
        <v>2527</v>
      </c>
      <c r="B2529" s="6" t="str">
        <f>"53002023052715081485031"</f>
        <v>53002023052715081485031</v>
      </c>
      <c r="C2529" s="6" t="str">
        <f t="shared" si="167"/>
        <v>0208</v>
      </c>
      <c r="D2529" s="6" t="s">
        <v>28</v>
      </c>
      <c r="E2529" s="6" t="str">
        <f>"符先翠"</f>
        <v>符先翠</v>
      </c>
      <c r="F2529" s="6" t="str">
        <f t="shared" si="169"/>
        <v>女</v>
      </c>
    </row>
    <row r="2530" spans="1:6" ht="30" customHeight="1">
      <c r="A2530" s="6">
        <v>2528</v>
      </c>
      <c r="B2530" s="6" t="str">
        <f>"53002023052822440489144"</f>
        <v>53002023052822440489144</v>
      </c>
      <c r="C2530" s="6" t="str">
        <f t="shared" si="167"/>
        <v>0208</v>
      </c>
      <c r="D2530" s="6" t="s">
        <v>28</v>
      </c>
      <c r="E2530" s="6" t="str">
        <f>"陈春燕"</f>
        <v>陈春燕</v>
      </c>
      <c r="F2530" s="6" t="str">
        <f t="shared" si="169"/>
        <v>女</v>
      </c>
    </row>
    <row r="2531" spans="1:6" ht="30" customHeight="1">
      <c r="A2531" s="6">
        <v>2529</v>
      </c>
      <c r="B2531" s="6" t="str">
        <f>"53002023052900334589352"</f>
        <v>53002023052900334589352</v>
      </c>
      <c r="C2531" s="6" t="str">
        <f t="shared" si="167"/>
        <v>0208</v>
      </c>
      <c r="D2531" s="6" t="s">
        <v>28</v>
      </c>
      <c r="E2531" s="6" t="str">
        <f>"陈金燕"</f>
        <v>陈金燕</v>
      </c>
      <c r="F2531" s="6" t="str">
        <f t="shared" si="169"/>
        <v>女</v>
      </c>
    </row>
    <row r="2532" spans="1:6" ht="30" customHeight="1">
      <c r="A2532" s="6">
        <v>2530</v>
      </c>
      <c r="B2532" s="6" t="str">
        <f>"53002023052908300089560"</f>
        <v>53002023052908300089560</v>
      </c>
      <c r="C2532" s="6" t="str">
        <f t="shared" si="167"/>
        <v>0208</v>
      </c>
      <c r="D2532" s="6" t="s">
        <v>28</v>
      </c>
      <c r="E2532" s="6" t="str">
        <f>"李笔秋"</f>
        <v>李笔秋</v>
      </c>
      <c r="F2532" s="6" t="str">
        <f t="shared" si="169"/>
        <v>女</v>
      </c>
    </row>
    <row r="2533" spans="1:6" ht="30" customHeight="1">
      <c r="A2533" s="6">
        <v>2531</v>
      </c>
      <c r="B2533" s="6" t="str">
        <f>"53002023052908474689626"</f>
        <v>53002023052908474689626</v>
      </c>
      <c r="C2533" s="6" t="str">
        <f t="shared" si="167"/>
        <v>0208</v>
      </c>
      <c r="D2533" s="6" t="s">
        <v>28</v>
      </c>
      <c r="E2533" s="6" t="str">
        <f>"卓书泉"</f>
        <v>卓书泉</v>
      </c>
      <c r="F2533" s="6" t="str">
        <f>"男"</f>
        <v>男</v>
      </c>
    </row>
    <row r="2534" spans="1:6" ht="30" customHeight="1">
      <c r="A2534" s="6">
        <v>2532</v>
      </c>
      <c r="B2534" s="6" t="str">
        <f>"53002023052820071588594"</f>
        <v>53002023052820071588594</v>
      </c>
      <c r="C2534" s="6" t="str">
        <f t="shared" si="167"/>
        <v>0208</v>
      </c>
      <c r="D2534" s="6" t="s">
        <v>28</v>
      </c>
      <c r="E2534" s="6" t="str">
        <f>"符美月"</f>
        <v>符美月</v>
      </c>
      <c r="F2534" s="6" t="str">
        <f>"女"</f>
        <v>女</v>
      </c>
    </row>
    <row r="2535" spans="1:6" ht="30" customHeight="1">
      <c r="A2535" s="6">
        <v>2533</v>
      </c>
      <c r="B2535" s="6" t="str">
        <f>"53002023052909211189993"</f>
        <v>53002023052909211189993</v>
      </c>
      <c r="C2535" s="6" t="str">
        <f t="shared" si="167"/>
        <v>0208</v>
      </c>
      <c r="D2535" s="6" t="s">
        <v>28</v>
      </c>
      <c r="E2535" s="6" t="str">
        <f>"符晓寒"</f>
        <v>符晓寒</v>
      </c>
      <c r="F2535" s="6" t="str">
        <f>"女"</f>
        <v>女</v>
      </c>
    </row>
    <row r="2536" spans="1:6" ht="30" customHeight="1">
      <c r="A2536" s="6">
        <v>2534</v>
      </c>
      <c r="B2536" s="6" t="str">
        <f>"53002023052909223690009"</f>
        <v>53002023052909223690009</v>
      </c>
      <c r="C2536" s="6" t="str">
        <f t="shared" si="167"/>
        <v>0208</v>
      </c>
      <c r="D2536" s="6" t="s">
        <v>28</v>
      </c>
      <c r="E2536" s="6" t="str">
        <f>"麦琪琪"</f>
        <v>麦琪琪</v>
      </c>
      <c r="F2536" s="6" t="str">
        <f>"女"</f>
        <v>女</v>
      </c>
    </row>
    <row r="2537" spans="1:6" ht="30" customHeight="1">
      <c r="A2537" s="6">
        <v>2535</v>
      </c>
      <c r="B2537" s="6" t="str">
        <f>"53002023052909103089864"</f>
        <v>53002023052909103089864</v>
      </c>
      <c r="C2537" s="6" t="str">
        <f t="shared" si="167"/>
        <v>0208</v>
      </c>
      <c r="D2537" s="6" t="s">
        <v>28</v>
      </c>
      <c r="E2537" s="6" t="str">
        <f>"符兰爱"</f>
        <v>符兰爱</v>
      </c>
      <c r="F2537" s="6" t="str">
        <f>"女"</f>
        <v>女</v>
      </c>
    </row>
    <row r="2538" spans="1:6" ht="30" customHeight="1">
      <c r="A2538" s="6">
        <v>2536</v>
      </c>
      <c r="B2538" s="6" t="str">
        <f>"53002023052709415583808"</f>
        <v>53002023052709415583808</v>
      </c>
      <c r="C2538" s="6" t="str">
        <f t="shared" si="167"/>
        <v>0208</v>
      </c>
      <c r="D2538" s="6" t="s">
        <v>28</v>
      </c>
      <c r="E2538" s="6" t="str">
        <f>"符精政"</f>
        <v>符精政</v>
      </c>
      <c r="F2538" s="6" t="str">
        <f>"男"</f>
        <v>男</v>
      </c>
    </row>
    <row r="2539" spans="1:6" ht="30" customHeight="1">
      <c r="A2539" s="6">
        <v>2537</v>
      </c>
      <c r="B2539" s="6" t="str">
        <f>"53002023052909282990079"</f>
        <v>53002023052909282990079</v>
      </c>
      <c r="C2539" s="6" t="str">
        <f t="shared" si="167"/>
        <v>0208</v>
      </c>
      <c r="D2539" s="6" t="s">
        <v>28</v>
      </c>
      <c r="E2539" s="6" t="str">
        <f>"刘雯馨"</f>
        <v>刘雯馨</v>
      </c>
      <c r="F2539" s="6" t="str">
        <f aca="true" t="shared" si="170" ref="F2539:F2547">"女"</f>
        <v>女</v>
      </c>
    </row>
    <row r="2540" spans="1:6" ht="30" customHeight="1">
      <c r="A2540" s="6">
        <v>2538</v>
      </c>
      <c r="B2540" s="6" t="str">
        <f>"53002023052908082889486"</f>
        <v>53002023052908082889486</v>
      </c>
      <c r="C2540" s="6" t="str">
        <f t="shared" si="167"/>
        <v>0208</v>
      </c>
      <c r="D2540" s="6" t="s">
        <v>28</v>
      </c>
      <c r="E2540" s="6" t="str">
        <f>"周丽"</f>
        <v>周丽</v>
      </c>
      <c r="F2540" s="6" t="str">
        <f t="shared" si="170"/>
        <v>女</v>
      </c>
    </row>
    <row r="2541" spans="1:6" ht="30" customHeight="1">
      <c r="A2541" s="6">
        <v>2539</v>
      </c>
      <c r="B2541" s="6" t="str">
        <f>"53002023052909355190153"</f>
        <v>53002023052909355190153</v>
      </c>
      <c r="C2541" s="6" t="str">
        <f t="shared" si="167"/>
        <v>0208</v>
      </c>
      <c r="D2541" s="6" t="s">
        <v>28</v>
      </c>
      <c r="E2541" s="6" t="str">
        <f>" 邢丹云"</f>
        <v> 邢丹云</v>
      </c>
      <c r="F2541" s="6" t="str">
        <f t="shared" si="170"/>
        <v>女</v>
      </c>
    </row>
    <row r="2542" spans="1:6" ht="30" customHeight="1">
      <c r="A2542" s="6">
        <v>2540</v>
      </c>
      <c r="B2542" s="6" t="str">
        <f>"53002023052910073190527"</f>
        <v>53002023052910073190527</v>
      </c>
      <c r="C2542" s="6" t="str">
        <f t="shared" si="167"/>
        <v>0208</v>
      </c>
      <c r="D2542" s="6" t="s">
        <v>28</v>
      </c>
      <c r="E2542" s="6" t="str">
        <f>"梁对子"</f>
        <v>梁对子</v>
      </c>
      <c r="F2542" s="6" t="str">
        <f t="shared" si="170"/>
        <v>女</v>
      </c>
    </row>
    <row r="2543" spans="1:6" ht="30" customHeight="1">
      <c r="A2543" s="6">
        <v>2541</v>
      </c>
      <c r="B2543" s="6" t="str">
        <f>"53002023052823312189281"</f>
        <v>53002023052823312189281</v>
      </c>
      <c r="C2543" s="6" t="str">
        <f t="shared" si="167"/>
        <v>0208</v>
      </c>
      <c r="D2543" s="6" t="s">
        <v>28</v>
      </c>
      <c r="E2543" s="6" t="str">
        <f>"李静姣"</f>
        <v>李静姣</v>
      </c>
      <c r="F2543" s="6" t="str">
        <f t="shared" si="170"/>
        <v>女</v>
      </c>
    </row>
    <row r="2544" spans="1:6" ht="30" customHeight="1">
      <c r="A2544" s="6">
        <v>2542</v>
      </c>
      <c r="B2544" s="6" t="str">
        <f>"53002023052910400490909"</f>
        <v>53002023052910400490909</v>
      </c>
      <c r="C2544" s="6" t="str">
        <f t="shared" si="167"/>
        <v>0208</v>
      </c>
      <c r="D2544" s="6" t="s">
        <v>28</v>
      </c>
      <c r="E2544" s="6" t="str">
        <f>"邓华怡"</f>
        <v>邓华怡</v>
      </c>
      <c r="F2544" s="6" t="str">
        <f t="shared" si="170"/>
        <v>女</v>
      </c>
    </row>
    <row r="2545" spans="1:6" ht="30" customHeight="1">
      <c r="A2545" s="6">
        <v>2543</v>
      </c>
      <c r="B2545" s="6" t="str">
        <f>"53002023052911015091137"</f>
        <v>53002023052911015091137</v>
      </c>
      <c r="C2545" s="6" t="str">
        <f t="shared" si="167"/>
        <v>0208</v>
      </c>
      <c r="D2545" s="6" t="s">
        <v>28</v>
      </c>
      <c r="E2545" s="6" t="str">
        <f>"禤明玥"</f>
        <v>禤明玥</v>
      </c>
      <c r="F2545" s="6" t="str">
        <f t="shared" si="170"/>
        <v>女</v>
      </c>
    </row>
    <row r="2546" spans="1:6" ht="30" customHeight="1">
      <c r="A2546" s="6">
        <v>2544</v>
      </c>
      <c r="B2546" s="6" t="str">
        <f>"53002023052910554791079"</f>
        <v>53002023052910554791079</v>
      </c>
      <c r="C2546" s="6" t="str">
        <f t="shared" si="167"/>
        <v>0208</v>
      </c>
      <c r="D2546" s="6" t="s">
        <v>28</v>
      </c>
      <c r="E2546" s="6" t="str">
        <f>"林海霞"</f>
        <v>林海霞</v>
      </c>
      <c r="F2546" s="6" t="str">
        <f t="shared" si="170"/>
        <v>女</v>
      </c>
    </row>
    <row r="2547" spans="1:6" ht="30" customHeight="1">
      <c r="A2547" s="6">
        <v>2545</v>
      </c>
      <c r="B2547" s="6" t="str">
        <f>"53002023052910532691055"</f>
        <v>53002023052910532691055</v>
      </c>
      <c r="C2547" s="6" t="str">
        <f t="shared" si="167"/>
        <v>0208</v>
      </c>
      <c r="D2547" s="6" t="s">
        <v>28</v>
      </c>
      <c r="E2547" s="6" t="str">
        <f>"张华"</f>
        <v>张华</v>
      </c>
      <c r="F2547" s="6" t="str">
        <f t="shared" si="170"/>
        <v>女</v>
      </c>
    </row>
    <row r="2548" spans="1:6" ht="30" customHeight="1">
      <c r="A2548" s="6">
        <v>2546</v>
      </c>
      <c r="B2548" s="6" t="str">
        <f>"53002023052910011090462"</f>
        <v>53002023052910011090462</v>
      </c>
      <c r="C2548" s="6" t="str">
        <f t="shared" si="167"/>
        <v>0208</v>
      </c>
      <c r="D2548" s="6" t="s">
        <v>28</v>
      </c>
      <c r="E2548" s="6" t="str">
        <f>"吉训通"</f>
        <v>吉训通</v>
      </c>
      <c r="F2548" s="6" t="str">
        <f>"男"</f>
        <v>男</v>
      </c>
    </row>
    <row r="2549" spans="1:6" ht="30" customHeight="1">
      <c r="A2549" s="6">
        <v>2547</v>
      </c>
      <c r="B2549" s="6" t="str">
        <f>"53002023052909401090209"</f>
        <v>53002023052909401090209</v>
      </c>
      <c r="C2549" s="6" t="str">
        <f t="shared" si="167"/>
        <v>0208</v>
      </c>
      <c r="D2549" s="6" t="s">
        <v>28</v>
      </c>
      <c r="E2549" s="6" t="str">
        <f>"王元乾"</f>
        <v>王元乾</v>
      </c>
      <c r="F2549" s="6" t="str">
        <f aca="true" t="shared" si="171" ref="F2549:F2554">"女"</f>
        <v>女</v>
      </c>
    </row>
    <row r="2550" spans="1:6" ht="30" customHeight="1">
      <c r="A2550" s="6">
        <v>2548</v>
      </c>
      <c r="B2550" s="6" t="str">
        <f>"53002023052910592991114"</f>
        <v>53002023052910592991114</v>
      </c>
      <c r="C2550" s="6" t="str">
        <f t="shared" si="167"/>
        <v>0208</v>
      </c>
      <c r="D2550" s="6" t="s">
        <v>28</v>
      </c>
      <c r="E2550" s="6" t="str">
        <f>"符丽菲"</f>
        <v>符丽菲</v>
      </c>
      <c r="F2550" s="6" t="str">
        <f t="shared" si="171"/>
        <v>女</v>
      </c>
    </row>
    <row r="2551" spans="1:6" ht="30" customHeight="1">
      <c r="A2551" s="6">
        <v>2549</v>
      </c>
      <c r="B2551" s="6" t="str">
        <f>"53002023052712442084568"</f>
        <v>53002023052712442084568</v>
      </c>
      <c r="C2551" s="6" t="str">
        <f t="shared" si="167"/>
        <v>0208</v>
      </c>
      <c r="D2551" s="6" t="s">
        <v>28</v>
      </c>
      <c r="E2551" s="6" t="str">
        <f>"刘英"</f>
        <v>刘英</v>
      </c>
      <c r="F2551" s="6" t="str">
        <f t="shared" si="171"/>
        <v>女</v>
      </c>
    </row>
    <row r="2552" spans="1:6" ht="30" customHeight="1">
      <c r="A2552" s="6">
        <v>2550</v>
      </c>
      <c r="B2552" s="6" t="str">
        <f>"53002023052820230588651"</f>
        <v>53002023052820230588651</v>
      </c>
      <c r="C2552" s="6" t="str">
        <f t="shared" si="167"/>
        <v>0208</v>
      </c>
      <c r="D2552" s="6" t="s">
        <v>28</v>
      </c>
      <c r="E2552" s="6" t="str">
        <f>"张思琳"</f>
        <v>张思琳</v>
      </c>
      <c r="F2552" s="6" t="str">
        <f t="shared" si="171"/>
        <v>女</v>
      </c>
    </row>
    <row r="2553" spans="1:6" ht="30" customHeight="1">
      <c r="A2553" s="6">
        <v>2551</v>
      </c>
      <c r="B2553" s="6" t="str">
        <f>"53002023052913570792323"</f>
        <v>53002023052913570792323</v>
      </c>
      <c r="C2553" s="6" t="str">
        <f t="shared" si="167"/>
        <v>0208</v>
      </c>
      <c r="D2553" s="6" t="s">
        <v>28</v>
      </c>
      <c r="E2553" s="6" t="str">
        <f>"陈荣烹"</f>
        <v>陈荣烹</v>
      </c>
      <c r="F2553" s="6" t="str">
        <f t="shared" si="171"/>
        <v>女</v>
      </c>
    </row>
    <row r="2554" spans="1:6" ht="30" customHeight="1">
      <c r="A2554" s="6">
        <v>2552</v>
      </c>
      <c r="B2554" s="6" t="str">
        <f>"53002023052915022392677"</f>
        <v>53002023052915022392677</v>
      </c>
      <c r="C2554" s="6" t="str">
        <f t="shared" si="167"/>
        <v>0208</v>
      </c>
      <c r="D2554" s="6" t="s">
        <v>28</v>
      </c>
      <c r="E2554" s="6" t="str">
        <f>"张婷"</f>
        <v>张婷</v>
      </c>
      <c r="F2554" s="6" t="str">
        <f t="shared" si="171"/>
        <v>女</v>
      </c>
    </row>
    <row r="2555" spans="1:6" ht="30" customHeight="1">
      <c r="A2555" s="6">
        <v>2553</v>
      </c>
      <c r="B2555" s="6" t="str">
        <f>"53002023052915100092723"</f>
        <v>53002023052915100092723</v>
      </c>
      <c r="C2555" s="6" t="str">
        <f t="shared" si="167"/>
        <v>0208</v>
      </c>
      <c r="D2555" s="6" t="s">
        <v>28</v>
      </c>
      <c r="E2555" s="6" t="str">
        <f>"王家宇"</f>
        <v>王家宇</v>
      </c>
      <c r="F2555" s="6" t="str">
        <f>"男"</f>
        <v>男</v>
      </c>
    </row>
    <row r="2556" spans="1:6" ht="30" customHeight="1">
      <c r="A2556" s="6">
        <v>2554</v>
      </c>
      <c r="B2556" s="6" t="str">
        <f>"53002023052812054687245"</f>
        <v>53002023052812054687245</v>
      </c>
      <c r="C2556" s="6" t="str">
        <f t="shared" si="167"/>
        <v>0208</v>
      </c>
      <c r="D2556" s="6" t="s">
        <v>28</v>
      </c>
      <c r="E2556" s="6" t="str">
        <f>"吴贻成"</f>
        <v>吴贻成</v>
      </c>
      <c r="F2556" s="6" t="str">
        <f>"男"</f>
        <v>男</v>
      </c>
    </row>
    <row r="2557" spans="1:6" ht="30" customHeight="1">
      <c r="A2557" s="6">
        <v>2555</v>
      </c>
      <c r="B2557" s="6" t="str">
        <f>"53002023052914345792515"</f>
        <v>53002023052914345792515</v>
      </c>
      <c r="C2557" s="6" t="str">
        <f t="shared" si="167"/>
        <v>0208</v>
      </c>
      <c r="D2557" s="6" t="s">
        <v>28</v>
      </c>
      <c r="E2557" s="6" t="str">
        <f>"郭丽娟"</f>
        <v>郭丽娟</v>
      </c>
      <c r="F2557" s="6" t="str">
        <f>"女"</f>
        <v>女</v>
      </c>
    </row>
    <row r="2558" spans="1:6" ht="30" customHeight="1">
      <c r="A2558" s="6">
        <v>2556</v>
      </c>
      <c r="B2558" s="6" t="str">
        <f>"53002023052911055091179"</f>
        <v>53002023052911055091179</v>
      </c>
      <c r="C2558" s="6" t="str">
        <f t="shared" si="167"/>
        <v>0208</v>
      </c>
      <c r="D2558" s="6" t="s">
        <v>28</v>
      </c>
      <c r="E2558" s="6" t="str">
        <f>"万钦虹"</f>
        <v>万钦虹</v>
      </c>
      <c r="F2558" s="6" t="str">
        <f>"女"</f>
        <v>女</v>
      </c>
    </row>
    <row r="2559" spans="1:6" ht="30" customHeight="1">
      <c r="A2559" s="6">
        <v>2557</v>
      </c>
      <c r="B2559" s="6" t="str">
        <f>"53002023052910592891113"</f>
        <v>53002023052910592891113</v>
      </c>
      <c r="C2559" s="6" t="str">
        <f t="shared" si="167"/>
        <v>0208</v>
      </c>
      <c r="D2559" s="6" t="s">
        <v>28</v>
      </c>
      <c r="E2559" s="6" t="str">
        <f>"薛梅娟"</f>
        <v>薛梅娟</v>
      </c>
      <c r="F2559" s="6" t="str">
        <f>"女"</f>
        <v>女</v>
      </c>
    </row>
    <row r="2560" spans="1:6" ht="30" customHeight="1">
      <c r="A2560" s="6">
        <v>2558</v>
      </c>
      <c r="B2560" s="6" t="str">
        <f>"53002023052710405584081"</f>
        <v>53002023052710405584081</v>
      </c>
      <c r="C2560" s="6" t="str">
        <f t="shared" si="167"/>
        <v>0208</v>
      </c>
      <c r="D2560" s="6" t="s">
        <v>28</v>
      </c>
      <c r="E2560" s="6" t="str">
        <f>"刘丽冰"</f>
        <v>刘丽冰</v>
      </c>
      <c r="F2560" s="6" t="str">
        <f>"女"</f>
        <v>女</v>
      </c>
    </row>
    <row r="2561" spans="1:6" ht="30" customHeight="1">
      <c r="A2561" s="6">
        <v>2559</v>
      </c>
      <c r="B2561" s="6" t="str">
        <f>"53002023052912085991706"</f>
        <v>53002023052912085991706</v>
      </c>
      <c r="C2561" s="6" t="str">
        <f t="shared" si="167"/>
        <v>0208</v>
      </c>
      <c r="D2561" s="6" t="s">
        <v>28</v>
      </c>
      <c r="E2561" s="6" t="str">
        <f>"李平成"</f>
        <v>李平成</v>
      </c>
      <c r="F2561" s="6" t="str">
        <f>"男"</f>
        <v>男</v>
      </c>
    </row>
    <row r="2562" spans="1:6" ht="30" customHeight="1">
      <c r="A2562" s="6">
        <v>2560</v>
      </c>
      <c r="B2562" s="6" t="str">
        <f>"53002023052916205493284"</f>
        <v>53002023052916205493284</v>
      </c>
      <c r="C2562" s="6" t="str">
        <f aca="true" t="shared" si="172" ref="C2562:C2625">"0208"</f>
        <v>0208</v>
      </c>
      <c r="D2562" s="6" t="s">
        <v>28</v>
      </c>
      <c r="E2562" s="6" t="str">
        <f>"黄萍"</f>
        <v>黄萍</v>
      </c>
      <c r="F2562" s="6" t="str">
        <f>"女"</f>
        <v>女</v>
      </c>
    </row>
    <row r="2563" spans="1:6" ht="30" customHeight="1">
      <c r="A2563" s="6">
        <v>2561</v>
      </c>
      <c r="B2563" s="6" t="str">
        <f>"53002023052915210392806"</f>
        <v>53002023052915210392806</v>
      </c>
      <c r="C2563" s="6" t="str">
        <f t="shared" si="172"/>
        <v>0208</v>
      </c>
      <c r="D2563" s="6" t="s">
        <v>28</v>
      </c>
      <c r="E2563" s="6" t="str">
        <f>"陈凌慧"</f>
        <v>陈凌慧</v>
      </c>
      <c r="F2563" s="6" t="str">
        <f>"女"</f>
        <v>女</v>
      </c>
    </row>
    <row r="2564" spans="1:6" ht="30" customHeight="1">
      <c r="A2564" s="6">
        <v>2562</v>
      </c>
      <c r="B2564" s="6" t="str">
        <f>"53002023052916382293419"</f>
        <v>53002023052916382293419</v>
      </c>
      <c r="C2564" s="6" t="str">
        <f t="shared" si="172"/>
        <v>0208</v>
      </c>
      <c r="D2564" s="6" t="s">
        <v>28</v>
      </c>
      <c r="E2564" s="6" t="str">
        <f>"张茗宇"</f>
        <v>张茗宇</v>
      </c>
      <c r="F2564" s="6" t="str">
        <f>"男"</f>
        <v>男</v>
      </c>
    </row>
    <row r="2565" spans="1:6" ht="30" customHeight="1">
      <c r="A2565" s="6">
        <v>2563</v>
      </c>
      <c r="B2565" s="6" t="str">
        <f>"53002023052911274791359"</f>
        <v>53002023052911274791359</v>
      </c>
      <c r="C2565" s="6" t="str">
        <f t="shared" si="172"/>
        <v>0208</v>
      </c>
      <c r="D2565" s="6" t="s">
        <v>28</v>
      </c>
      <c r="E2565" s="6" t="str">
        <f>"王娜"</f>
        <v>王娜</v>
      </c>
      <c r="F2565" s="6" t="str">
        <f>"女"</f>
        <v>女</v>
      </c>
    </row>
    <row r="2566" spans="1:6" ht="30" customHeight="1">
      <c r="A2566" s="6">
        <v>2564</v>
      </c>
      <c r="B2566" s="6" t="str">
        <f>"53002023052918430994082"</f>
        <v>53002023052918430994082</v>
      </c>
      <c r="C2566" s="6" t="str">
        <f t="shared" si="172"/>
        <v>0208</v>
      </c>
      <c r="D2566" s="6" t="s">
        <v>28</v>
      </c>
      <c r="E2566" s="6" t="str">
        <f>"陈海斌"</f>
        <v>陈海斌</v>
      </c>
      <c r="F2566" s="6" t="str">
        <f>"男"</f>
        <v>男</v>
      </c>
    </row>
    <row r="2567" spans="1:6" ht="30" customHeight="1">
      <c r="A2567" s="6">
        <v>2565</v>
      </c>
      <c r="B2567" s="6" t="str">
        <f>"53002023052919543994388"</f>
        <v>53002023052919543994388</v>
      </c>
      <c r="C2567" s="6" t="str">
        <f t="shared" si="172"/>
        <v>0208</v>
      </c>
      <c r="D2567" s="6" t="s">
        <v>28</v>
      </c>
      <c r="E2567" s="6" t="str">
        <f>"温金婷"</f>
        <v>温金婷</v>
      </c>
      <c r="F2567" s="6" t="str">
        <f>"女"</f>
        <v>女</v>
      </c>
    </row>
    <row r="2568" spans="1:6" ht="30" customHeight="1">
      <c r="A2568" s="6">
        <v>2566</v>
      </c>
      <c r="B2568" s="6" t="str">
        <f>"53002023052919163994204"</f>
        <v>53002023052919163994204</v>
      </c>
      <c r="C2568" s="6" t="str">
        <f t="shared" si="172"/>
        <v>0208</v>
      </c>
      <c r="D2568" s="6" t="s">
        <v>28</v>
      </c>
      <c r="E2568" s="6" t="str">
        <f>"林发敏"</f>
        <v>林发敏</v>
      </c>
      <c r="F2568" s="6" t="str">
        <f>"男"</f>
        <v>男</v>
      </c>
    </row>
    <row r="2569" spans="1:6" ht="30" customHeight="1">
      <c r="A2569" s="6">
        <v>2567</v>
      </c>
      <c r="B2569" s="6" t="str">
        <f>"53002023052919164494205"</f>
        <v>53002023052919164494205</v>
      </c>
      <c r="C2569" s="6" t="str">
        <f t="shared" si="172"/>
        <v>0208</v>
      </c>
      <c r="D2569" s="6" t="s">
        <v>28</v>
      </c>
      <c r="E2569" s="6" t="str">
        <f>"赵春萃"</f>
        <v>赵春萃</v>
      </c>
      <c r="F2569" s="6" t="str">
        <f>"女"</f>
        <v>女</v>
      </c>
    </row>
    <row r="2570" spans="1:6" ht="30" customHeight="1">
      <c r="A2570" s="6">
        <v>2568</v>
      </c>
      <c r="B2570" s="6" t="str">
        <f>"53002023052917404193786"</f>
        <v>53002023052917404193786</v>
      </c>
      <c r="C2570" s="6" t="str">
        <f t="shared" si="172"/>
        <v>0208</v>
      </c>
      <c r="D2570" s="6" t="s">
        <v>28</v>
      </c>
      <c r="E2570" s="6" t="str">
        <f>"李顺美"</f>
        <v>李顺美</v>
      </c>
      <c r="F2570" s="6" t="str">
        <f>"女"</f>
        <v>女</v>
      </c>
    </row>
    <row r="2571" spans="1:6" ht="30" customHeight="1">
      <c r="A2571" s="6">
        <v>2569</v>
      </c>
      <c r="B2571" s="6" t="str">
        <f>"53002023052921112394782"</f>
        <v>53002023052921112394782</v>
      </c>
      <c r="C2571" s="6" t="str">
        <f t="shared" si="172"/>
        <v>0208</v>
      </c>
      <c r="D2571" s="6" t="s">
        <v>28</v>
      </c>
      <c r="E2571" s="6" t="str">
        <f>"周潮敏"</f>
        <v>周潮敏</v>
      </c>
      <c r="F2571" s="6" t="str">
        <f>"女"</f>
        <v>女</v>
      </c>
    </row>
    <row r="2572" spans="1:6" ht="30" customHeight="1">
      <c r="A2572" s="6">
        <v>2570</v>
      </c>
      <c r="B2572" s="6" t="str">
        <f>"53002023052921320494904"</f>
        <v>53002023052921320494904</v>
      </c>
      <c r="C2572" s="6" t="str">
        <f t="shared" si="172"/>
        <v>0208</v>
      </c>
      <c r="D2572" s="6" t="s">
        <v>28</v>
      </c>
      <c r="E2572" s="6" t="str">
        <f>"符传雄"</f>
        <v>符传雄</v>
      </c>
      <c r="F2572" s="6" t="str">
        <f>"男"</f>
        <v>男</v>
      </c>
    </row>
    <row r="2573" spans="1:6" ht="30" customHeight="1">
      <c r="A2573" s="6">
        <v>2571</v>
      </c>
      <c r="B2573" s="6" t="str">
        <f>"53002023052921571595052"</f>
        <v>53002023052921571595052</v>
      </c>
      <c r="C2573" s="6" t="str">
        <f t="shared" si="172"/>
        <v>0208</v>
      </c>
      <c r="D2573" s="6" t="s">
        <v>28</v>
      </c>
      <c r="E2573" s="6" t="str">
        <f>"裴威侃"</f>
        <v>裴威侃</v>
      </c>
      <c r="F2573" s="6" t="str">
        <f>"男"</f>
        <v>男</v>
      </c>
    </row>
    <row r="2574" spans="1:6" ht="30" customHeight="1">
      <c r="A2574" s="6">
        <v>2572</v>
      </c>
      <c r="B2574" s="6" t="str">
        <f>"53002023052815362287781"</f>
        <v>53002023052815362287781</v>
      </c>
      <c r="C2574" s="6" t="str">
        <f t="shared" si="172"/>
        <v>0208</v>
      </c>
      <c r="D2574" s="6" t="s">
        <v>28</v>
      </c>
      <c r="E2574" s="6" t="str">
        <f>"王远梅"</f>
        <v>王远梅</v>
      </c>
      <c r="F2574" s="6" t="str">
        <f>"女"</f>
        <v>女</v>
      </c>
    </row>
    <row r="2575" spans="1:6" ht="30" customHeight="1">
      <c r="A2575" s="6">
        <v>2573</v>
      </c>
      <c r="B2575" s="6" t="str">
        <f>"53002023052712280684504"</f>
        <v>53002023052712280684504</v>
      </c>
      <c r="C2575" s="6" t="str">
        <f t="shared" si="172"/>
        <v>0208</v>
      </c>
      <c r="D2575" s="6" t="s">
        <v>28</v>
      </c>
      <c r="E2575" s="6" t="str">
        <f>"陈玉兰"</f>
        <v>陈玉兰</v>
      </c>
      <c r="F2575" s="6" t="str">
        <f>"女"</f>
        <v>女</v>
      </c>
    </row>
    <row r="2576" spans="1:6" ht="30" customHeight="1">
      <c r="A2576" s="6">
        <v>2574</v>
      </c>
      <c r="B2576" s="6" t="str">
        <f>"53002023052817561388285"</f>
        <v>53002023052817561388285</v>
      </c>
      <c r="C2576" s="6" t="str">
        <f t="shared" si="172"/>
        <v>0208</v>
      </c>
      <c r="D2576" s="6" t="s">
        <v>28</v>
      </c>
      <c r="E2576" s="6" t="str">
        <f>"陈文娇"</f>
        <v>陈文娇</v>
      </c>
      <c r="F2576" s="6" t="str">
        <f>"女"</f>
        <v>女</v>
      </c>
    </row>
    <row r="2577" spans="1:6" ht="30" customHeight="1">
      <c r="A2577" s="6">
        <v>2575</v>
      </c>
      <c r="B2577" s="6" t="str">
        <f>"53002023053000564795701"</f>
        <v>53002023053000564795701</v>
      </c>
      <c r="C2577" s="6" t="str">
        <f t="shared" si="172"/>
        <v>0208</v>
      </c>
      <c r="D2577" s="6" t="s">
        <v>28</v>
      </c>
      <c r="E2577" s="6" t="str">
        <f>"冯仙彩"</f>
        <v>冯仙彩</v>
      </c>
      <c r="F2577" s="6" t="str">
        <f>"女"</f>
        <v>女</v>
      </c>
    </row>
    <row r="2578" spans="1:6" ht="30" customHeight="1">
      <c r="A2578" s="6">
        <v>2576</v>
      </c>
      <c r="B2578" s="6" t="str">
        <f>"53002023053007443095789"</f>
        <v>53002023053007443095789</v>
      </c>
      <c r="C2578" s="6" t="str">
        <f t="shared" si="172"/>
        <v>0208</v>
      </c>
      <c r="D2578" s="6" t="s">
        <v>28</v>
      </c>
      <c r="E2578" s="6" t="str">
        <f>"曾尚标"</f>
        <v>曾尚标</v>
      </c>
      <c r="F2578" s="6" t="str">
        <f>"男"</f>
        <v>男</v>
      </c>
    </row>
    <row r="2579" spans="1:6" ht="30" customHeight="1">
      <c r="A2579" s="6">
        <v>2577</v>
      </c>
      <c r="B2579" s="6" t="str">
        <f>"53002023052821383688920"</f>
        <v>53002023052821383688920</v>
      </c>
      <c r="C2579" s="6" t="str">
        <f t="shared" si="172"/>
        <v>0208</v>
      </c>
      <c r="D2579" s="6" t="s">
        <v>28</v>
      </c>
      <c r="E2579" s="6" t="str">
        <f>"黄有莲"</f>
        <v>黄有莲</v>
      </c>
      <c r="F2579" s="6" t="str">
        <f>"女"</f>
        <v>女</v>
      </c>
    </row>
    <row r="2580" spans="1:6" ht="30" customHeight="1">
      <c r="A2580" s="6">
        <v>2578</v>
      </c>
      <c r="B2580" s="6" t="str">
        <f>"53002023052819430988538"</f>
        <v>53002023052819430988538</v>
      </c>
      <c r="C2580" s="6" t="str">
        <f t="shared" si="172"/>
        <v>0208</v>
      </c>
      <c r="D2580" s="6" t="s">
        <v>28</v>
      </c>
      <c r="E2580" s="6" t="str">
        <f>"吴宏亮"</f>
        <v>吴宏亮</v>
      </c>
      <c r="F2580" s="6" t="str">
        <f>"男"</f>
        <v>男</v>
      </c>
    </row>
    <row r="2581" spans="1:6" ht="30" customHeight="1">
      <c r="A2581" s="6">
        <v>2579</v>
      </c>
      <c r="B2581" s="6" t="str">
        <f>"53002023053009275396212"</f>
        <v>53002023053009275396212</v>
      </c>
      <c r="C2581" s="6" t="str">
        <f t="shared" si="172"/>
        <v>0208</v>
      </c>
      <c r="D2581" s="6" t="s">
        <v>28</v>
      </c>
      <c r="E2581" s="6" t="str">
        <f>"林才钰"</f>
        <v>林才钰</v>
      </c>
      <c r="F2581" s="6" t="str">
        <f aca="true" t="shared" si="173" ref="F2581:F2590">"女"</f>
        <v>女</v>
      </c>
    </row>
    <row r="2582" spans="1:6" ht="30" customHeight="1">
      <c r="A2582" s="6">
        <v>2580</v>
      </c>
      <c r="B2582" s="6" t="str">
        <f>"53002023053009141796096"</f>
        <v>53002023053009141796096</v>
      </c>
      <c r="C2582" s="6" t="str">
        <f t="shared" si="172"/>
        <v>0208</v>
      </c>
      <c r="D2582" s="6" t="s">
        <v>28</v>
      </c>
      <c r="E2582" s="6" t="str">
        <f>"陈志霞"</f>
        <v>陈志霞</v>
      </c>
      <c r="F2582" s="6" t="str">
        <f t="shared" si="173"/>
        <v>女</v>
      </c>
    </row>
    <row r="2583" spans="1:6" ht="30" customHeight="1">
      <c r="A2583" s="6">
        <v>2581</v>
      </c>
      <c r="B2583" s="6" t="str">
        <f>"53002023052909350690148"</f>
        <v>53002023052909350690148</v>
      </c>
      <c r="C2583" s="6" t="str">
        <f t="shared" si="172"/>
        <v>0208</v>
      </c>
      <c r="D2583" s="6" t="s">
        <v>28</v>
      </c>
      <c r="E2583" s="6" t="str">
        <f>"陈启爱"</f>
        <v>陈启爱</v>
      </c>
      <c r="F2583" s="6" t="str">
        <f t="shared" si="173"/>
        <v>女</v>
      </c>
    </row>
    <row r="2584" spans="1:6" ht="30" customHeight="1">
      <c r="A2584" s="6">
        <v>2582</v>
      </c>
      <c r="B2584" s="6" t="str">
        <f>"53002023052811315887162"</f>
        <v>53002023052811315887162</v>
      </c>
      <c r="C2584" s="6" t="str">
        <f t="shared" si="172"/>
        <v>0208</v>
      </c>
      <c r="D2584" s="6" t="s">
        <v>28</v>
      </c>
      <c r="E2584" s="6" t="str">
        <f>"郑引凰"</f>
        <v>郑引凰</v>
      </c>
      <c r="F2584" s="6" t="str">
        <f t="shared" si="173"/>
        <v>女</v>
      </c>
    </row>
    <row r="2585" spans="1:6" ht="30" customHeight="1">
      <c r="A2585" s="6">
        <v>2583</v>
      </c>
      <c r="B2585" s="6" t="str">
        <f>"53002023053011322897212"</f>
        <v>53002023053011322897212</v>
      </c>
      <c r="C2585" s="6" t="str">
        <f t="shared" si="172"/>
        <v>0208</v>
      </c>
      <c r="D2585" s="6" t="s">
        <v>28</v>
      </c>
      <c r="E2585" s="6" t="str">
        <f>"何爱坤"</f>
        <v>何爱坤</v>
      </c>
      <c r="F2585" s="6" t="str">
        <f t="shared" si="173"/>
        <v>女</v>
      </c>
    </row>
    <row r="2586" spans="1:6" ht="30" customHeight="1">
      <c r="A2586" s="6">
        <v>2584</v>
      </c>
      <c r="B2586" s="6" t="str">
        <f>"53002023053011405697284"</f>
        <v>53002023053011405697284</v>
      </c>
      <c r="C2586" s="6" t="str">
        <f t="shared" si="172"/>
        <v>0208</v>
      </c>
      <c r="D2586" s="6" t="s">
        <v>28</v>
      </c>
      <c r="E2586" s="6" t="str">
        <f>"吴呈舍"</f>
        <v>吴呈舍</v>
      </c>
      <c r="F2586" s="6" t="str">
        <f t="shared" si="173"/>
        <v>女</v>
      </c>
    </row>
    <row r="2587" spans="1:6" ht="30" customHeight="1">
      <c r="A2587" s="6">
        <v>2585</v>
      </c>
      <c r="B2587" s="6" t="str">
        <f>"53002023053012052997427"</f>
        <v>53002023053012052997427</v>
      </c>
      <c r="C2587" s="6" t="str">
        <f t="shared" si="172"/>
        <v>0208</v>
      </c>
      <c r="D2587" s="6" t="s">
        <v>28</v>
      </c>
      <c r="E2587" s="6" t="str">
        <f>"王海珠"</f>
        <v>王海珠</v>
      </c>
      <c r="F2587" s="6" t="str">
        <f t="shared" si="173"/>
        <v>女</v>
      </c>
    </row>
    <row r="2588" spans="1:6" ht="30" customHeight="1">
      <c r="A2588" s="6">
        <v>2586</v>
      </c>
      <c r="B2588" s="6" t="str">
        <f>"53002023053012071697434"</f>
        <v>53002023053012071697434</v>
      </c>
      <c r="C2588" s="6" t="str">
        <f t="shared" si="172"/>
        <v>0208</v>
      </c>
      <c r="D2588" s="6" t="s">
        <v>28</v>
      </c>
      <c r="E2588" s="6" t="str">
        <f>"陈和娇"</f>
        <v>陈和娇</v>
      </c>
      <c r="F2588" s="6" t="str">
        <f t="shared" si="173"/>
        <v>女</v>
      </c>
    </row>
    <row r="2589" spans="1:6" ht="30" customHeight="1">
      <c r="A2589" s="6">
        <v>2587</v>
      </c>
      <c r="B2589" s="6" t="str">
        <f>"53002023053012135697461"</f>
        <v>53002023053012135697461</v>
      </c>
      <c r="C2589" s="6" t="str">
        <f t="shared" si="172"/>
        <v>0208</v>
      </c>
      <c r="D2589" s="6" t="s">
        <v>28</v>
      </c>
      <c r="E2589" s="6" t="str">
        <f>"郑春艳"</f>
        <v>郑春艳</v>
      </c>
      <c r="F2589" s="6" t="str">
        <f t="shared" si="173"/>
        <v>女</v>
      </c>
    </row>
    <row r="2590" spans="1:6" ht="30" customHeight="1">
      <c r="A2590" s="6">
        <v>2588</v>
      </c>
      <c r="B2590" s="6" t="str">
        <f>"53002023053012413797616"</f>
        <v>53002023053012413797616</v>
      </c>
      <c r="C2590" s="6" t="str">
        <f t="shared" si="172"/>
        <v>0208</v>
      </c>
      <c r="D2590" s="6" t="s">
        <v>28</v>
      </c>
      <c r="E2590" s="6" t="str">
        <f>"吴妮姗"</f>
        <v>吴妮姗</v>
      </c>
      <c r="F2590" s="6" t="str">
        <f t="shared" si="173"/>
        <v>女</v>
      </c>
    </row>
    <row r="2591" spans="1:6" ht="30" customHeight="1">
      <c r="A2591" s="6">
        <v>2589</v>
      </c>
      <c r="B2591" s="6" t="str">
        <f>"53002023052909293090092"</f>
        <v>53002023052909293090092</v>
      </c>
      <c r="C2591" s="6" t="str">
        <f t="shared" si="172"/>
        <v>0208</v>
      </c>
      <c r="D2591" s="6" t="s">
        <v>28</v>
      </c>
      <c r="E2591" s="6" t="str">
        <f>"纪新杨"</f>
        <v>纪新杨</v>
      </c>
      <c r="F2591" s="6" t="str">
        <f>"男"</f>
        <v>男</v>
      </c>
    </row>
    <row r="2592" spans="1:6" ht="30" customHeight="1">
      <c r="A2592" s="6">
        <v>2590</v>
      </c>
      <c r="B2592" s="6" t="str">
        <f>"53002023053015410898554"</f>
        <v>53002023053015410898554</v>
      </c>
      <c r="C2592" s="6" t="str">
        <f t="shared" si="172"/>
        <v>0208</v>
      </c>
      <c r="D2592" s="6" t="s">
        <v>28</v>
      </c>
      <c r="E2592" s="6" t="str">
        <f>"苏高玲"</f>
        <v>苏高玲</v>
      </c>
      <c r="F2592" s="6" t="str">
        <f aca="true" t="shared" si="174" ref="F2592:F2613">"女"</f>
        <v>女</v>
      </c>
    </row>
    <row r="2593" spans="1:6" ht="30" customHeight="1">
      <c r="A2593" s="6">
        <v>2591</v>
      </c>
      <c r="B2593" s="6" t="str">
        <f>"53002023053015383398534"</f>
        <v>53002023053015383398534</v>
      </c>
      <c r="C2593" s="6" t="str">
        <f t="shared" si="172"/>
        <v>0208</v>
      </c>
      <c r="D2593" s="6" t="s">
        <v>28</v>
      </c>
      <c r="E2593" s="6" t="str">
        <f>"吴雯"</f>
        <v>吴雯</v>
      </c>
      <c r="F2593" s="6" t="str">
        <f t="shared" si="174"/>
        <v>女</v>
      </c>
    </row>
    <row r="2594" spans="1:6" ht="30" customHeight="1">
      <c r="A2594" s="6">
        <v>2592</v>
      </c>
      <c r="B2594" s="6" t="str">
        <f>"53002023053015490898609"</f>
        <v>53002023053015490898609</v>
      </c>
      <c r="C2594" s="6" t="str">
        <f t="shared" si="172"/>
        <v>0208</v>
      </c>
      <c r="D2594" s="6" t="s">
        <v>28</v>
      </c>
      <c r="E2594" s="6" t="str">
        <f>"陈学慧"</f>
        <v>陈学慧</v>
      </c>
      <c r="F2594" s="6" t="str">
        <f t="shared" si="174"/>
        <v>女</v>
      </c>
    </row>
    <row r="2595" spans="1:6" ht="30" customHeight="1">
      <c r="A2595" s="6">
        <v>2593</v>
      </c>
      <c r="B2595" s="6" t="str">
        <f>"53002023053016250298839"</f>
        <v>53002023053016250298839</v>
      </c>
      <c r="C2595" s="6" t="str">
        <f t="shared" si="172"/>
        <v>0208</v>
      </c>
      <c r="D2595" s="6" t="s">
        <v>28</v>
      </c>
      <c r="E2595" s="6" t="str">
        <f>"万梅卿"</f>
        <v>万梅卿</v>
      </c>
      <c r="F2595" s="6" t="str">
        <f t="shared" si="174"/>
        <v>女</v>
      </c>
    </row>
    <row r="2596" spans="1:6" ht="30" customHeight="1">
      <c r="A2596" s="6">
        <v>2594</v>
      </c>
      <c r="B2596" s="6" t="str">
        <f>"53002023052722123886354"</f>
        <v>53002023052722123886354</v>
      </c>
      <c r="C2596" s="6" t="str">
        <f t="shared" si="172"/>
        <v>0208</v>
      </c>
      <c r="D2596" s="6" t="s">
        <v>28</v>
      </c>
      <c r="E2596" s="6" t="str">
        <f>"吴桂香"</f>
        <v>吴桂香</v>
      </c>
      <c r="F2596" s="6" t="str">
        <f t="shared" si="174"/>
        <v>女</v>
      </c>
    </row>
    <row r="2597" spans="1:6" ht="30" customHeight="1">
      <c r="A2597" s="6">
        <v>2595</v>
      </c>
      <c r="B2597" s="6" t="str">
        <f>"53002023053017232399199"</f>
        <v>53002023053017232399199</v>
      </c>
      <c r="C2597" s="6" t="str">
        <f t="shared" si="172"/>
        <v>0208</v>
      </c>
      <c r="D2597" s="6" t="s">
        <v>28</v>
      </c>
      <c r="E2597" s="6" t="str">
        <f>"曾春丽"</f>
        <v>曾春丽</v>
      </c>
      <c r="F2597" s="6" t="str">
        <f t="shared" si="174"/>
        <v>女</v>
      </c>
    </row>
    <row r="2598" spans="1:6" ht="30" customHeight="1">
      <c r="A2598" s="6">
        <v>2596</v>
      </c>
      <c r="B2598" s="6" t="str">
        <f>"53002023052819403188532"</f>
        <v>53002023052819403188532</v>
      </c>
      <c r="C2598" s="6" t="str">
        <f t="shared" si="172"/>
        <v>0208</v>
      </c>
      <c r="D2598" s="6" t="s">
        <v>28</v>
      </c>
      <c r="E2598" s="6" t="str">
        <f>"范翠鹊"</f>
        <v>范翠鹊</v>
      </c>
      <c r="F2598" s="6" t="str">
        <f t="shared" si="174"/>
        <v>女</v>
      </c>
    </row>
    <row r="2599" spans="1:6" ht="30" customHeight="1">
      <c r="A2599" s="6">
        <v>2597</v>
      </c>
      <c r="B2599" s="6" t="str">
        <f>"53002023052909273490071"</f>
        <v>53002023052909273490071</v>
      </c>
      <c r="C2599" s="6" t="str">
        <f t="shared" si="172"/>
        <v>0208</v>
      </c>
      <c r="D2599" s="6" t="s">
        <v>28</v>
      </c>
      <c r="E2599" s="6" t="str">
        <f>"张新燕"</f>
        <v>张新燕</v>
      </c>
      <c r="F2599" s="6" t="str">
        <f t="shared" si="174"/>
        <v>女</v>
      </c>
    </row>
    <row r="2600" spans="1:6" ht="30" customHeight="1">
      <c r="A2600" s="6">
        <v>2598</v>
      </c>
      <c r="B2600" s="6" t="str">
        <f>"53002023053019112799665"</f>
        <v>53002023053019112799665</v>
      </c>
      <c r="C2600" s="6" t="str">
        <f t="shared" si="172"/>
        <v>0208</v>
      </c>
      <c r="D2600" s="6" t="s">
        <v>28</v>
      </c>
      <c r="E2600" s="6" t="str">
        <f>"卢苹"</f>
        <v>卢苹</v>
      </c>
      <c r="F2600" s="6" t="str">
        <f t="shared" si="174"/>
        <v>女</v>
      </c>
    </row>
    <row r="2601" spans="1:6" ht="30" customHeight="1">
      <c r="A2601" s="6">
        <v>2599</v>
      </c>
      <c r="B2601" s="6" t="str">
        <f>"530020230530204227100098"</f>
        <v>530020230530204227100098</v>
      </c>
      <c r="C2601" s="6" t="str">
        <f t="shared" si="172"/>
        <v>0208</v>
      </c>
      <c r="D2601" s="6" t="s">
        <v>28</v>
      </c>
      <c r="E2601" s="6" t="str">
        <f>"陈立淑"</f>
        <v>陈立淑</v>
      </c>
      <c r="F2601" s="6" t="str">
        <f t="shared" si="174"/>
        <v>女</v>
      </c>
    </row>
    <row r="2602" spans="1:6" ht="30" customHeight="1">
      <c r="A2602" s="6">
        <v>2600</v>
      </c>
      <c r="B2602" s="6" t="str">
        <f>"530020230530202556100011"</f>
        <v>530020230530202556100011</v>
      </c>
      <c r="C2602" s="6" t="str">
        <f t="shared" si="172"/>
        <v>0208</v>
      </c>
      <c r="D2602" s="6" t="s">
        <v>28</v>
      </c>
      <c r="E2602" s="6" t="str">
        <f>"陈可妮"</f>
        <v>陈可妮</v>
      </c>
      <c r="F2602" s="6" t="str">
        <f t="shared" si="174"/>
        <v>女</v>
      </c>
    </row>
    <row r="2603" spans="1:6" ht="30" customHeight="1">
      <c r="A2603" s="6">
        <v>2601</v>
      </c>
      <c r="B2603" s="6" t="str">
        <f>"53002023053011475197332"</f>
        <v>53002023053011475197332</v>
      </c>
      <c r="C2603" s="6" t="str">
        <f t="shared" si="172"/>
        <v>0208</v>
      </c>
      <c r="D2603" s="6" t="s">
        <v>28</v>
      </c>
      <c r="E2603" s="6" t="str">
        <f>"庄雪芬"</f>
        <v>庄雪芬</v>
      </c>
      <c r="F2603" s="6" t="str">
        <f t="shared" si="174"/>
        <v>女</v>
      </c>
    </row>
    <row r="2604" spans="1:6" ht="30" customHeight="1">
      <c r="A2604" s="6">
        <v>2602</v>
      </c>
      <c r="B2604" s="6" t="str">
        <f>"53002023053009300996226"</f>
        <v>53002023053009300996226</v>
      </c>
      <c r="C2604" s="6" t="str">
        <f t="shared" si="172"/>
        <v>0208</v>
      </c>
      <c r="D2604" s="6" t="s">
        <v>28</v>
      </c>
      <c r="E2604" s="6" t="str">
        <f>"蒲美莉"</f>
        <v>蒲美莉</v>
      </c>
      <c r="F2604" s="6" t="str">
        <f t="shared" si="174"/>
        <v>女</v>
      </c>
    </row>
    <row r="2605" spans="1:6" ht="30" customHeight="1">
      <c r="A2605" s="6">
        <v>2603</v>
      </c>
      <c r="B2605" s="6" t="str">
        <f>"530020230530215012100417"</f>
        <v>530020230530215012100417</v>
      </c>
      <c r="C2605" s="6" t="str">
        <f t="shared" si="172"/>
        <v>0208</v>
      </c>
      <c r="D2605" s="6" t="s">
        <v>28</v>
      </c>
      <c r="E2605" s="6" t="str">
        <f>"吴淑和"</f>
        <v>吴淑和</v>
      </c>
      <c r="F2605" s="6" t="str">
        <f t="shared" si="174"/>
        <v>女</v>
      </c>
    </row>
    <row r="2606" spans="1:6" ht="30" customHeight="1">
      <c r="A2606" s="6">
        <v>2604</v>
      </c>
      <c r="B2606" s="6" t="str">
        <f>"530020230530211009100206"</f>
        <v>530020230530211009100206</v>
      </c>
      <c r="C2606" s="6" t="str">
        <f t="shared" si="172"/>
        <v>0208</v>
      </c>
      <c r="D2606" s="6" t="s">
        <v>28</v>
      </c>
      <c r="E2606" s="6" t="str">
        <f>"韩晓婧"</f>
        <v>韩晓婧</v>
      </c>
      <c r="F2606" s="6" t="str">
        <f t="shared" si="174"/>
        <v>女</v>
      </c>
    </row>
    <row r="2607" spans="1:6" ht="30" customHeight="1">
      <c r="A2607" s="6">
        <v>2605</v>
      </c>
      <c r="B2607" s="6" t="str">
        <f>"53002023053013354697881"</f>
        <v>53002023053013354697881</v>
      </c>
      <c r="C2607" s="6" t="str">
        <f t="shared" si="172"/>
        <v>0208</v>
      </c>
      <c r="D2607" s="6" t="s">
        <v>28</v>
      </c>
      <c r="E2607" s="6" t="str">
        <f>"吴春怡"</f>
        <v>吴春怡</v>
      </c>
      <c r="F2607" s="6" t="str">
        <f t="shared" si="174"/>
        <v>女</v>
      </c>
    </row>
    <row r="2608" spans="1:6" ht="30" customHeight="1">
      <c r="A2608" s="6">
        <v>2606</v>
      </c>
      <c r="B2608" s="6" t="str">
        <f>"530020230530230100100759"</f>
        <v>530020230530230100100759</v>
      </c>
      <c r="C2608" s="6" t="str">
        <f t="shared" si="172"/>
        <v>0208</v>
      </c>
      <c r="D2608" s="6" t="s">
        <v>28</v>
      </c>
      <c r="E2608" s="6" t="str">
        <f>"陈同宽"</f>
        <v>陈同宽</v>
      </c>
      <c r="F2608" s="6" t="str">
        <f t="shared" si="174"/>
        <v>女</v>
      </c>
    </row>
    <row r="2609" spans="1:6" ht="30" customHeight="1">
      <c r="A2609" s="6">
        <v>2607</v>
      </c>
      <c r="B2609" s="6" t="str">
        <f>"530020230530231647100822"</f>
        <v>530020230530231647100822</v>
      </c>
      <c r="C2609" s="6" t="str">
        <f t="shared" si="172"/>
        <v>0208</v>
      </c>
      <c r="D2609" s="6" t="s">
        <v>28</v>
      </c>
      <c r="E2609" s="6" t="str">
        <f>"吴霞梅"</f>
        <v>吴霞梅</v>
      </c>
      <c r="F2609" s="6" t="str">
        <f t="shared" si="174"/>
        <v>女</v>
      </c>
    </row>
    <row r="2610" spans="1:6" ht="30" customHeight="1">
      <c r="A2610" s="6">
        <v>2608</v>
      </c>
      <c r="B2610" s="6" t="str">
        <f>"530020230531012014101030"</f>
        <v>530020230531012014101030</v>
      </c>
      <c r="C2610" s="6" t="str">
        <f t="shared" si="172"/>
        <v>0208</v>
      </c>
      <c r="D2610" s="6" t="s">
        <v>28</v>
      </c>
      <c r="E2610" s="6" t="str">
        <f>"骆华转"</f>
        <v>骆华转</v>
      </c>
      <c r="F2610" s="6" t="str">
        <f t="shared" si="174"/>
        <v>女</v>
      </c>
    </row>
    <row r="2611" spans="1:6" ht="30" customHeight="1">
      <c r="A2611" s="6">
        <v>2609</v>
      </c>
      <c r="B2611" s="6" t="str">
        <f>"53002023053017072199099"</f>
        <v>53002023053017072199099</v>
      </c>
      <c r="C2611" s="6" t="str">
        <f t="shared" si="172"/>
        <v>0208</v>
      </c>
      <c r="D2611" s="6" t="s">
        <v>28</v>
      </c>
      <c r="E2611" s="6" t="str">
        <f>"邢莉莉"</f>
        <v>邢莉莉</v>
      </c>
      <c r="F2611" s="6" t="str">
        <f t="shared" si="174"/>
        <v>女</v>
      </c>
    </row>
    <row r="2612" spans="1:6" ht="30" customHeight="1">
      <c r="A2612" s="6">
        <v>2610</v>
      </c>
      <c r="B2612" s="6" t="str">
        <f>"530020230531091732101453"</f>
        <v>530020230531091732101453</v>
      </c>
      <c r="C2612" s="6" t="str">
        <f t="shared" si="172"/>
        <v>0208</v>
      </c>
      <c r="D2612" s="6" t="s">
        <v>28</v>
      </c>
      <c r="E2612" s="6" t="str">
        <f>"林丽芳"</f>
        <v>林丽芳</v>
      </c>
      <c r="F2612" s="6" t="str">
        <f t="shared" si="174"/>
        <v>女</v>
      </c>
    </row>
    <row r="2613" spans="1:6" ht="30" customHeight="1">
      <c r="A2613" s="6">
        <v>2611</v>
      </c>
      <c r="B2613" s="6" t="str">
        <f>"53002023053011504197349"</f>
        <v>53002023053011504197349</v>
      </c>
      <c r="C2613" s="6" t="str">
        <f t="shared" si="172"/>
        <v>0208</v>
      </c>
      <c r="D2613" s="6" t="s">
        <v>28</v>
      </c>
      <c r="E2613" s="6" t="str">
        <f>"王应坚"</f>
        <v>王应坚</v>
      </c>
      <c r="F2613" s="6" t="str">
        <f t="shared" si="174"/>
        <v>女</v>
      </c>
    </row>
    <row r="2614" spans="1:6" ht="30" customHeight="1">
      <c r="A2614" s="6">
        <v>2612</v>
      </c>
      <c r="B2614" s="6" t="str">
        <f>"530020230530213302100308"</f>
        <v>530020230530213302100308</v>
      </c>
      <c r="C2614" s="6" t="str">
        <f t="shared" si="172"/>
        <v>0208</v>
      </c>
      <c r="D2614" s="6" t="s">
        <v>28</v>
      </c>
      <c r="E2614" s="6" t="str">
        <f>"黄炳升"</f>
        <v>黄炳升</v>
      </c>
      <c r="F2614" s="6" t="str">
        <f>"男"</f>
        <v>男</v>
      </c>
    </row>
    <row r="2615" spans="1:6" ht="30" customHeight="1">
      <c r="A2615" s="6">
        <v>2613</v>
      </c>
      <c r="B2615" s="6" t="str">
        <f>"530020230531115716102510"</f>
        <v>530020230531115716102510</v>
      </c>
      <c r="C2615" s="6" t="str">
        <f t="shared" si="172"/>
        <v>0208</v>
      </c>
      <c r="D2615" s="6" t="s">
        <v>28</v>
      </c>
      <c r="E2615" s="6" t="str">
        <f>"符开妍"</f>
        <v>符开妍</v>
      </c>
      <c r="F2615" s="6" t="str">
        <f aca="true" t="shared" si="175" ref="F2615:F2622">"女"</f>
        <v>女</v>
      </c>
    </row>
    <row r="2616" spans="1:6" ht="30" customHeight="1">
      <c r="A2616" s="6">
        <v>2614</v>
      </c>
      <c r="B2616" s="6" t="str">
        <f>"530020230531122321102624"</f>
        <v>530020230531122321102624</v>
      </c>
      <c r="C2616" s="6" t="str">
        <f t="shared" si="172"/>
        <v>0208</v>
      </c>
      <c r="D2616" s="6" t="s">
        <v>28</v>
      </c>
      <c r="E2616" s="6" t="str">
        <f>"黎珠"</f>
        <v>黎珠</v>
      </c>
      <c r="F2616" s="6" t="str">
        <f t="shared" si="175"/>
        <v>女</v>
      </c>
    </row>
    <row r="2617" spans="1:6" ht="30" customHeight="1">
      <c r="A2617" s="6">
        <v>2615</v>
      </c>
      <c r="B2617" s="6" t="str">
        <f>"530020230531122224102620"</f>
        <v>530020230531122224102620</v>
      </c>
      <c r="C2617" s="6" t="str">
        <f t="shared" si="172"/>
        <v>0208</v>
      </c>
      <c r="D2617" s="6" t="s">
        <v>28</v>
      </c>
      <c r="E2617" s="6" t="str">
        <f>"陈学僖"</f>
        <v>陈学僖</v>
      </c>
      <c r="F2617" s="6" t="str">
        <f t="shared" si="175"/>
        <v>女</v>
      </c>
    </row>
    <row r="2618" spans="1:6" ht="30" customHeight="1">
      <c r="A2618" s="6">
        <v>2616</v>
      </c>
      <c r="B2618" s="6" t="str">
        <f>"530020230531104757102103"</f>
        <v>530020230531104757102103</v>
      </c>
      <c r="C2618" s="6" t="str">
        <f t="shared" si="172"/>
        <v>0208</v>
      </c>
      <c r="D2618" s="6" t="s">
        <v>28</v>
      </c>
      <c r="E2618" s="6" t="str">
        <f>"陈月桂"</f>
        <v>陈月桂</v>
      </c>
      <c r="F2618" s="6" t="str">
        <f t="shared" si="175"/>
        <v>女</v>
      </c>
    </row>
    <row r="2619" spans="1:6" ht="30" customHeight="1">
      <c r="A2619" s="6">
        <v>2617</v>
      </c>
      <c r="B2619" s="6" t="str">
        <f>"530020230531132700102911"</f>
        <v>530020230531132700102911</v>
      </c>
      <c r="C2619" s="6" t="str">
        <f t="shared" si="172"/>
        <v>0208</v>
      </c>
      <c r="D2619" s="6" t="s">
        <v>28</v>
      </c>
      <c r="E2619" s="6" t="str">
        <f>"谢丽许"</f>
        <v>谢丽许</v>
      </c>
      <c r="F2619" s="6" t="str">
        <f t="shared" si="175"/>
        <v>女</v>
      </c>
    </row>
    <row r="2620" spans="1:6" ht="30" customHeight="1">
      <c r="A2620" s="6">
        <v>2618</v>
      </c>
      <c r="B2620" s="6" t="str">
        <f>"53002023053017533999342"</f>
        <v>53002023053017533999342</v>
      </c>
      <c r="C2620" s="6" t="str">
        <f t="shared" si="172"/>
        <v>0208</v>
      </c>
      <c r="D2620" s="6" t="s">
        <v>28</v>
      </c>
      <c r="E2620" s="6" t="str">
        <f>"周兰"</f>
        <v>周兰</v>
      </c>
      <c r="F2620" s="6" t="str">
        <f t="shared" si="175"/>
        <v>女</v>
      </c>
    </row>
    <row r="2621" spans="1:6" ht="30" customHeight="1">
      <c r="A2621" s="6">
        <v>2619</v>
      </c>
      <c r="B2621" s="6" t="str">
        <f>"53002023052816241987922"</f>
        <v>53002023052816241987922</v>
      </c>
      <c r="C2621" s="6" t="str">
        <f t="shared" si="172"/>
        <v>0208</v>
      </c>
      <c r="D2621" s="6" t="s">
        <v>28</v>
      </c>
      <c r="E2621" s="6" t="str">
        <f>"游冬梅"</f>
        <v>游冬梅</v>
      </c>
      <c r="F2621" s="6" t="str">
        <f t="shared" si="175"/>
        <v>女</v>
      </c>
    </row>
    <row r="2622" spans="1:6" ht="30" customHeight="1">
      <c r="A2622" s="6">
        <v>2620</v>
      </c>
      <c r="B2622" s="6" t="str">
        <f>"530020230531160920103546"</f>
        <v>530020230531160920103546</v>
      </c>
      <c r="C2622" s="6" t="str">
        <f t="shared" si="172"/>
        <v>0208</v>
      </c>
      <c r="D2622" s="6" t="s">
        <v>28</v>
      </c>
      <c r="E2622" s="6" t="str">
        <f>"罗欢"</f>
        <v>罗欢</v>
      </c>
      <c r="F2622" s="6" t="str">
        <f t="shared" si="175"/>
        <v>女</v>
      </c>
    </row>
    <row r="2623" spans="1:6" ht="30" customHeight="1">
      <c r="A2623" s="6">
        <v>2621</v>
      </c>
      <c r="B2623" s="6" t="str">
        <f>"530020230531160153103507"</f>
        <v>530020230531160153103507</v>
      </c>
      <c r="C2623" s="6" t="str">
        <f t="shared" si="172"/>
        <v>0208</v>
      </c>
      <c r="D2623" s="6" t="s">
        <v>28</v>
      </c>
      <c r="E2623" s="6" t="str">
        <f>"何壮高"</f>
        <v>何壮高</v>
      </c>
      <c r="F2623" s="6" t="str">
        <f>"男"</f>
        <v>男</v>
      </c>
    </row>
    <row r="2624" spans="1:6" ht="30" customHeight="1">
      <c r="A2624" s="6">
        <v>2622</v>
      </c>
      <c r="B2624" s="6" t="str">
        <f>"53002023052712202284485"</f>
        <v>53002023052712202284485</v>
      </c>
      <c r="C2624" s="6" t="str">
        <f t="shared" si="172"/>
        <v>0208</v>
      </c>
      <c r="D2624" s="6" t="s">
        <v>28</v>
      </c>
      <c r="E2624" s="6" t="str">
        <f>"李金"</f>
        <v>李金</v>
      </c>
      <c r="F2624" s="6" t="str">
        <f>"男"</f>
        <v>男</v>
      </c>
    </row>
    <row r="2625" spans="1:6" ht="30" customHeight="1">
      <c r="A2625" s="6">
        <v>2623</v>
      </c>
      <c r="B2625" s="6" t="str">
        <f>"530020230531163707103699"</f>
        <v>530020230531163707103699</v>
      </c>
      <c r="C2625" s="6" t="str">
        <f t="shared" si="172"/>
        <v>0208</v>
      </c>
      <c r="D2625" s="6" t="s">
        <v>28</v>
      </c>
      <c r="E2625" s="6" t="str">
        <f>"高花"</f>
        <v>高花</v>
      </c>
      <c r="F2625" s="6" t="str">
        <f>"女"</f>
        <v>女</v>
      </c>
    </row>
    <row r="2626" spans="1:6" ht="30" customHeight="1">
      <c r="A2626" s="6">
        <v>2624</v>
      </c>
      <c r="B2626" s="6" t="str">
        <f>"530020230531161821103595"</f>
        <v>530020230531161821103595</v>
      </c>
      <c r="C2626" s="6" t="str">
        <f aca="true" t="shared" si="176" ref="C2626:C2685">"0208"</f>
        <v>0208</v>
      </c>
      <c r="D2626" s="6" t="s">
        <v>28</v>
      </c>
      <c r="E2626" s="6" t="str">
        <f>"李有茂"</f>
        <v>李有茂</v>
      </c>
      <c r="F2626" s="6" t="str">
        <f>"男"</f>
        <v>男</v>
      </c>
    </row>
    <row r="2627" spans="1:6" ht="30" customHeight="1">
      <c r="A2627" s="6">
        <v>2625</v>
      </c>
      <c r="B2627" s="6" t="str">
        <f>"530020230531110002102196"</f>
        <v>530020230531110002102196</v>
      </c>
      <c r="C2627" s="6" t="str">
        <f t="shared" si="176"/>
        <v>0208</v>
      </c>
      <c r="D2627" s="6" t="s">
        <v>28</v>
      </c>
      <c r="E2627" s="6" t="str">
        <f>"吉训拓"</f>
        <v>吉训拓</v>
      </c>
      <c r="F2627" s="6" t="str">
        <f>"男"</f>
        <v>男</v>
      </c>
    </row>
    <row r="2628" spans="1:6" ht="30" customHeight="1">
      <c r="A2628" s="6">
        <v>2626</v>
      </c>
      <c r="B2628" s="6" t="str">
        <f>"53002023052920391894599"</f>
        <v>53002023052920391894599</v>
      </c>
      <c r="C2628" s="6" t="str">
        <f t="shared" si="176"/>
        <v>0208</v>
      </c>
      <c r="D2628" s="6" t="s">
        <v>28</v>
      </c>
      <c r="E2628" s="6" t="str">
        <f>"王冠翠"</f>
        <v>王冠翠</v>
      </c>
      <c r="F2628" s="6" t="str">
        <f aca="true" t="shared" si="177" ref="F2628:F2640">"女"</f>
        <v>女</v>
      </c>
    </row>
    <row r="2629" spans="1:6" ht="30" customHeight="1">
      <c r="A2629" s="6">
        <v>2627</v>
      </c>
      <c r="B2629" s="6" t="str">
        <f>"53002023052920491894659"</f>
        <v>53002023052920491894659</v>
      </c>
      <c r="C2629" s="6" t="str">
        <f t="shared" si="176"/>
        <v>0208</v>
      </c>
      <c r="D2629" s="6" t="s">
        <v>28</v>
      </c>
      <c r="E2629" s="6" t="str">
        <f>"刘诗欣"</f>
        <v>刘诗欣</v>
      </c>
      <c r="F2629" s="6" t="str">
        <f t="shared" si="177"/>
        <v>女</v>
      </c>
    </row>
    <row r="2630" spans="1:6" ht="30" customHeight="1">
      <c r="A2630" s="6">
        <v>2628</v>
      </c>
      <c r="B2630" s="6" t="str">
        <f>"53002023053016533099027"</f>
        <v>53002023053016533099027</v>
      </c>
      <c r="C2630" s="6" t="str">
        <f t="shared" si="176"/>
        <v>0208</v>
      </c>
      <c r="D2630" s="6" t="s">
        <v>28</v>
      </c>
      <c r="E2630" s="6" t="str">
        <f>"林雪"</f>
        <v>林雪</v>
      </c>
      <c r="F2630" s="6" t="str">
        <f t="shared" si="177"/>
        <v>女</v>
      </c>
    </row>
    <row r="2631" spans="1:6" ht="30" customHeight="1">
      <c r="A2631" s="6">
        <v>2629</v>
      </c>
      <c r="B2631" s="6" t="str">
        <f>"530020230531194759104324"</f>
        <v>530020230531194759104324</v>
      </c>
      <c r="C2631" s="6" t="str">
        <f t="shared" si="176"/>
        <v>0208</v>
      </c>
      <c r="D2631" s="6" t="s">
        <v>28</v>
      </c>
      <c r="E2631" s="6" t="str">
        <f>"潘上果"</f>
        <v>潘上果</v>
      </c>
      <c r="F2631" s="6" t="str">
        <f t="shared" si="177"/>
        <v>女</v>
      </c>
    </row>
    <row r="2632" spans="1:6" ht="30" customHeight="1">
      <c r="A2632" s="6">
        <v>2630</v>
      </c>
      <c r="B2632" s="6" t="str">
        <f>"530020230531201820104415"</f>
        <v>530020230531201820104415</v>
      </c>
      <c r="C2632" s="6" t="str">
        <f t="shared" si="176"/>
        <v>0208</v>
      </c>
      <c r="D2632" s="6" t="s">
        <v>28</v>
      </c>
      <c r="E2632" s="6" t="str">
        <f>"李小雪"</f>
        <v>李小雪</v>
      </c>
      <c r="F2632" s="6" t="str">
        <f t="shared" si="177"/>
        <v>女</v>
      </c>
    </row>
    <row r="2633" spans="1:6" ht="30" customHeight="1">
      <c r="A2633" s="6">
        <v>2631</v>
      </c>
      <c r="B2633" s="6" t="str">
        <f>"530020230531204640104516"</f>
        <v>530020230531204640104516</v>
      </c>
      <c r="C2633" s="6" t="str">
        <f t="shared" si="176"/>
        <v>0208</v>
      </c>
      <c r="D2633" s="6" t="s">
        <v>28</v>
      </c>
      <c r="E2633" s="6" t="str">
        <f>"孙桂芬"</f>
        <v>孙桂芬</v>
      </c>
      <c r="F2633" s="6" t="str">
        <f t="shared" si="177"/>
        <v>女</v>
      </c>
    </row>
    <row r="2634" spans="1:6" ht="30" customHeight="1">
      <c r="A2634" s="6">
        <v>2632</v>
      </c>
      <c r="B2634" s="6" t="str">
        <f>"530020230530233941100898"</f>
        <v>530020230530233941100898</v>
      </c>
      <c r="C2634" s="6" t="str">
        <f t="shared" si="176"/>
        <v>0208</v>
      </c>
      <c r="D2634" s="6" t="s">
        <v>28</v>
      </c>
      <c r="E2634" s="6" t="str">
        <f>"麦佳宜"</f>
        <v>麦佳宜</v>
      </c>
      <c r="F2634" s="6" t="str">
        <f t="shared" si="177"/>
        <v>女</v>
      </c>
    </row>
    <row r="2635" spans="1:6" ht="30" customHeight="1">
      <c r="A2635" s="6">
        <v>2633</v>
      </c>
      <c r="B2635" s="6" t="str">
        <f>"530020230531213646104699"</f>
        <v>530020230531213646104699</v>
      </c>
      <c r="C2635" s="6" t="str">
        <f t="shared" si="176"/>
        <v>0208</v>
      </c>
      <c r="D2635" s="6" t="s">
        <v>28</v>
      </c>
      <c r="E2635" s="6" t="str">
        <f>"裴小玲"</f>
        <v>裴小玲</v>
      </c>
      <c r="F2635" s="6" t="str">
        <f t="shared" si="177"/>
        <v>女</v>
      </c>
    </row>
    <row r="2636" spans="1:6" ht="30" customHeight="1">
      <c r="A2636" s="6">
        <v>2634</v>
      </c>
      <c r="B2636" s="6" t="str">
        <f>"530020230531212909104669"</f>
        <v>530020230531212909104669</v>
      </c>
      <c r="C2636" s="6" t="str">
        <f t="shared" si="176"/>
        <v>0208</v>
      </c>
      <c r="D2636" s="6" t="s">
        <v>28</v>
      </c>
      <c r="E2636" s="6" t="str">
        <f>"初杰"</f>
        <v>初杰</v>
      </c>
      <c r="F2636" s="6" t="str">
        <f t="shared" si="177"/>
        <v>女</v>
      </c>
    </row>
    <row r="2637" spans="1:6" ht="30" customHeight="1">
      <c r="A2637" s="6">
        <v>2635</v>
      </c>
      <c r="B2637" s="6" t="str">
        <f>"530020230531222414104852"</f>
        <v>530020230531222414104852</v>
      </c>
      <c r="C2637" s="6" t="str">
        <f t="shared" si="176"/>
        <v>0208</v>
      </c>
      <c r="D2637" s="6" t="s">
        <v>28</v>
      </c>
      <c r="E2637" s="6" t="str">
        <f>"符云倩"</f>
        <v>符云倩</v>
      </c>
      <c r="F2637" s="6" t="str">
        <f t="shared" si="177"/>
        <v>女</v>
      </c>
    </row>
    <row r="2638" spans="1:6" ht="30" customHeight="1">
      <c r="A2638" s="6">
        <v>2636</v>
      </c>
      <c r="B2638" s="6" t="str">
        <f>"530020230530215640100449"</f>
        <v>530020230530215640100449</v>
      </c>
      <c r="C2638" s="6" t="str">
        <f t="shared" si="176"/>
        <v>0208</v>
      </c>
      <c r="D2638" s="6" t="s">
        <v>28</v>
      </c>
      <c r="E2638" s="6" t="str">
        <f>"田霞"</f>
        <v>田霞</v>
      </c>
      <c r="F2638" s="6" t="str">
        <f t="shared" si="177"/>
        <v>女</v>
      </c>
    </row>
    <row r="2639" spans="1:6" ht="30" customHeight="1">
      <c r="A2639" s="6">
        <v>2637</v>
      </c>
      <c r="B2639" s="6" t="str">
        <f>"53002023053010095696526"</f>
        <v>53002023053010095696526</v>
      </c>
      <c r="C2639" s="6" t="str">
        <f t="shared" si="176"/>
        <v>0208</v>
      </c>
      <c r="D2639" s="6" t="s">
        <v>28</v>
      </c>
      <c r="E2639" s="6" t="str">
        <f>"叶丹"</f>
        <v>叶丹</v>
      </c>
      <c r="F2639" s="6" t="str">
        <f t="shared" si="177"/>
        <v>女</v>
      </c>
    </row>
    <row r="2640" spans="1:6" ht="30" customHeight="1">
      <c r="A2640" s="6">
        <v>2638</v>
      </c>
      <c r="B2640" s="6" t="str">
        <f>"53002023053010065396501"</f>
        <v>53002023053010065396501</v>
      </c>
      <c r="C2640" s="6" t="str">
        <f t="shared" si="176"/>
        <v>0208</v>
      </c>
      <c r="D2640" s="6" t="s">
        <v>28</v>
      </c>
      <c r="E2640" s="6" t="str">
        <f>"杨曦"</f>
        <v>杨曦</v>
      </c>
      <c r="F2640" s="6" t="str">
        <f t="shared" si="177"/>
        <v>女</v>
      </c>
    </row>
    <row r="2641" spans="1:6" ht="30" customHeight="1">
      <c r="A2641" s="6">
        <v>2639</v>
      </c>
      <c r="B2641" s="6" t="str">
        <f>"53002023052911080091197"</f>
        <v>53002023052911080091197</v>
      </c>
      <c r="C2641" s="6" t="str">
        <f t="shared" si="176"/>
        <v>0208</v>
      </c>
      <c r="D2641" s="6" t="s">
        <v>28</v>
      </c>
      <c r="E2641" s="6" t="str">
        <f>"童东"</f>
        <v>童东</v>
      </c>
      <c r="F2641" s="6" t="str">
        <f>"男"</f>
        <v>男</v>
      </c>
    </row>
    <row r="2642" spans="1:6" ht="30" customHeight="1">
      <c r="A2642" s="6">
        <v>2640</v>
      </c>
      <c r="B2642" s="6" t="str">
        <f>"530020230601074857105222"</f>
        <v>530020230601074857105222</v>
      </c>
      <c r="C2642" s="6" t="str">
        <f t="shared" si="176"/>
        <v>0208</v>
      </c>
      <c r="D2642" s="6" t="s">
        <v>28</v>
      </c>
      <c r="E2642" s="6" t="str">
        <f>"王壮妹"</f>
        <v>王壮妹</v>
      </c>
      <c r="F2642" s="6" t="str">
        <f>"女"</f>
        <v>女</v>
      </c>
    </row>
    <row r="2643" spans="1:6" ht="30" customHeight="1">
      <c r="A2643" s="6">
        <v>2641</v>
      </c>
      <c r="B2643" s="6" t="str">
        <f>"530020230531204119104500"</f>
        <v>530020230531204119104500</v>
      </c>
      <c r="C2643" s="6" t="str">
        <f t="shared" si="176"/>
        <v>0208</v>
      </c>
      <c r="D2643" s="6" t="s">
        <v>28</v>
      </c>
      <c r="E2643" s="6" t="str">
        <f>"林秀婷"</f>
        <v>林秀婷</v>
      </c>
      <c r="F2643" s="6" t="str">
        <f>"女"</f>
        <v>女</v>
      </c>
    </row>
    <row r="2644" spans="1:6" ht="30" customHeight="1">
      <c r="A2644" s="6">
        <v>2642</v>
      </c>
      <c r="B2644" s="6" t="str">
        <f>"530020230601103230106071"</f>
        <v>530020230601103230106071</v>
      </c>
      <c r="C2644" s="6" t="str">
        <f t="shared" si="176"/>
        <v>0208</v>
      </c>
      <c r="D2644" s="6" t="s">
        <v>28</v>
      </c>
      <c r="E2644" s="6" t="str">
        <f>"徐启溯"</f>
        <v>徐启溯</v>
      </c>
      <c r="F2644" s="6" t="str">
        <f>"男"</f>
        <v>男</v>
      </c>
    </row>
    <row r="2645" spans="1:6" ht="30" customHeight="1">
      <c r="A2645" s="6">
        <v>2643</v>
      </c>
      <c r="B2645" s="6" t="str">
        <f>"530020230601102658106029"</f>
        <v>530020230601102658106029</v>
      </c>
      <c r="C2645" s="6" t="str">
        <f t="shared" si="176"/>
        <v>0208</v>
      </c>
      <c r="D2645" s="6" t="s">
        <v>28</v>
      </c>
      <c r="E2645" s="6" t="str">
        <f>"陈丽君"</f>
        <v>陈丽君</v>
      </c>
      <c r="F2645" s="6" t="str">
        <f>"女"</f>
        <v>女</v>
      </c>
    </row>
    <row r="2646" spans="1:6" ht="30" customHeight="1">
      <c r="A2646" s="6">
        <v>2644</v>
      </c>
      <c r="B2646" s="6" t="str">
        <f>"530020230601103001106055"</f>
        <v>530020230601103001106055</v>
      </c>
      <c r="C2646" s="6" t="str">
        <f t="shared" si="176"/>
        <v>0208</v>
      </c>
      <c r="D2646" s="6" t="s">
        <v>28</v>
      </c>
      <c r="E2646" s="6" t="str">
        <f>"黄玲妹"</f>
        <v>黄玲妹</v>
      </c>
      <c r="F2646" s="6" t="str">
        <f>"女"</f>
        <v>女</v>
      </c>
    </row>
    <row r="2647" spans="1:6" ht="30" customHeight="1">
      <c r="A2647" s="6">
        <v>2645</v>
      </c>
      <c r="B2647" s="6" t="str">
        <f>"530020230531125253102759"</f>
        <v>530020230531125253102759</v>
      </c>
      <c r="C2647" s="6" t="str">
        <f t="shared" si="176"/>
        <v>0208</v>
      </c>
      <c r="D2647" s="6" t="s">
        <v>28</v>
      </c>
      <c r="E2647" s="6" t="str">
        <f>"吴玉云"</f>
        <v>吴玉云</v>
      </c>
      <c r="F2647" s="6" t="str">
        <f>"女"</f>
        <v>女</v>
      </c>
    </row>
    <row r="2648" spans="1:6" ht="30" customHeight="1">
      <c r="A2648" s="6">
        <v>2646</v>
      </c>
      <c r="B2648" s="6" t="str">
        <f>"530020230601103944106120"</f>
        <v>530020230601103944106120</v>
      </c>
      <c r="C2648" s="6" t="str">
        <f t="shared" si="176"/>
        <v>0208</v>
      </c>
      <c r="D2648" s="6" t="s">
        <v>28</v>
      </c>
      <c r="E2648" s="6" t="str">
        <f>"万广珍"</f>
        <v>万广珍</v>
      </c>
      <c r="F2648" s="6" t="str">
        <f>"女"</f>
        <v>女</v>
      </c>
    </row>
    <row r="2649" spans="1:6" ht="30" customHeight="1">
      <c r="A2649" s="6">
        <v>2647</v>
      </c>
      <c r="B2649" s="6" t="str">
        <f>"530020230601105801106239"</f>
        <v>530020230601105801106239</v>
      </c>
      <c r="C2649" s="6" t="str">
        <f t="shared" si="176"/>
        <v>0208</v>
      </c>
      <c r="D2649" s="6" t="s">
        <v>28</v>
      </c>
      <c r="E2649" s="6" t="str">
        <f>"符雅雲"</f>
        <v>符雅雲</v>
      </c>
      <c r="F2649" s="6" t="str">
        <f>"女"</f>
        <v>女</v>
      </c>
    </row>
    <row r="2650" spans="1:6" ht="30" customHeight="1">
      <c r="A2650" s="6">
        <v>2648</v>
      </c>
      <c r="B2650" s="6" t="str">
        <f>"530020230601121436106629"</f>
        <v>530020230601121436106629</v>
      </c>
      <c r="C2650" s="6" t="str">
        <f t="shared" si="176"/>
        <v>0208</v>
      </c>
      <c r="D2650" s="6" t="s">
        <v>28</v>
      </c>
      <c r="E2650" s="6" t="str">
        <f>"朱尚慧"</f>
        <v>朱尚慧</v>
      </c>
      <c r="F2650" s="6" t="str">
        <f>"男"</f>
        <v>男</v>
      </c>
    </row>
    <row r="2651" spans="1:6" ht="30" customHeight="1">
      <c r="A2651" s="6">
        <v>2649</v>
      </c>
      <c r="B2651" s="6" t="str">
        <f>"530020230601132239106901"</f>
        <v>530020230601132239106901</v>
      </c>
      <c r="C2651" s="6" t="str">
        <f t="shared" si="176"/>
        <v>0208</v>
      </c>
      <c r="D2651" s="6" t="s">
        <v>28</v>
      </c>
      <c r="E2651" s="6" t="str">
        <f>"李先先"</f>
        <v>李先先</v>
      </c>
      <c r="F2651" s="6" t="str">
        <f>"女"</f>
        <v>女</v>
      </c>
    </row>
    <row r="2652" spans="1:6" ht="30" customHeight="1">
      <c r="A2652" s="6">
        <v>2650</v>
      </c>
      <c r="B2652" s="6" t="str">
        <f>"530020230601151327107308"</f>
        <v>530020230601151327107308</v>
      </c>
      <c r="C2652" s="6" t="str">
        <f t="shared" si="176"/>
        <v>0208</v>
      </c>
      <c r="D2652" s="6" t="s">
        <v>28</v>
      </c>
      <c r="E2652" s="6" t="str">
        <f>"羊有菊"</f>
        <v>羊有菊</v>
      </c>
      <c r="F2652" s="6" t="str">
        <f>"女"</f>
        <v>女</v>
      </c>
    </row>
    <row r="2653" spans="1:6" ht="30" customHeight="1">
      <c r="A2653" s="6">
        <v>2651</v>
      </c>
      <c r="B2653" s="6" t="str">
        <f>"53002023052811581987225"</f>
        <v>53002023052811581987225</v>
      </c>
      <c r="C2653" s="6" t="str">
        <f t="shared" si="176"/>
        <v>0208</v>
      </c>
      <c r="D2653" s="6" t="s">
        <v>28</v>
      </c>
      <c r="E2653" s="6" t="str">
        <f>"王新宇"</f>
        <v>王新宇</v>
      </c>
      <c r="F2653" s="6" t="str">
        <f>"男"</f>
        <v>男</v>
      </c>
    </row>
    <row r="2654" spans="1:6" ht="30" customHeight="1">
      <c r="A2654" s="6">
        <v>2652</v>
      </c>
      <c r="B2654" s="6" t="str">
        <f>"530020230531104635102092"</f>
        <v>530020230531104635102092</v>
      </c>
      <c r="C2654" s="6" t="str">
        <f t="shared" si="176"/>
        <v>0208</v>
      </c>
      <c r="D2654" s="6" t="s">
        <v>28</v>
      </c>
      <c r="E2654" s="6" t="str">
        <f>"卢亮霞"</f>
        <v>卢亮霞</v>
      </c>
      <c r="F2654" s="6" t="str">
        <f>"女"</f>
        <v>女</v>
      </c>
    </row>
    <row r="2655" spans="1:6" ht="30" customHeight="1">
      <c r="A2655" s="6">
        <v>2653</v>
      </c>
      <c r="B2655" s="6" t="str">
        <f>"530020230530213541100322"</f>
        <v>530020230530213541100322</v>
      </c>
      <c r="C2655" s="6" t="str">
        <f t="shared" si="176"/>
        <v>0208</v>
      </c>
      <c r="D2655" s="6" t="s">
        <v>28</v>
      </c>
      <c r="E2655" s="6" t="str">
        <f>"洪仕特"</f>
        <v>洪仕特</v>
      </c>
      <c r="F2655" s="6" t="str">
        <f>"男"</f>
        <v>男</v>
      </c>
    </row>
    <row r="2656" spans="1:6" ht="30" customHeight="1">
      <c r="A2656" s="6">
        <v>2654</v>
      </c>
      <c r="B2656" s="6" t="str">
        <f>"53002023052923213795504"</f>
        <v>53002023052923213795504</v>
      </c>
      <c r="C2656" s="6" t="str">
        <f t="shared" si="176"/>
        <v>0208</v>
      </c>
      <c r="D2656" s="6" t="s">
        <v>28</v>
      </c>
      <c r="E2656" s="6" t="str">
        <f>"吴景章"</f>
        <v>吴景章</v>
      </c>
      <c r="F2656" s="6" t="str">
        <f>"男"</f>
        <v>男</v>
      </c>
    </row>
    <row r="2657" spans="1:6" ht="30" customHeight="1">
      <c r="A2657" s="6">
        <v>2655</v>
      </c>
      <c r="B2657" s="6" t="str">
        <f>"530020230531185543104195"</f>
        <v>530020230531185543104195</v>
      </c>
      <c r="C2657" s="6" t="str">
        <f t="shared" si="176"/>
        <v>0208</v>
      </c>
      <c r="D2657" s="6" t="s">
        <v>28</v>
      </c>
      <c r="E2657" s="6" t="str">
        <f>"林柔柳"</f>
        <v>林柔柳</v>
      </c>
      <c r="F2657" s="6" t="str">
        <f>"女"</f>
        <v>女</v>
      </c>
    </row>
    <row r="2658" spans="1:6" ht="30" customHeight="1">
      <c r="A2658" s="6">
        <v>2656</v>
      </c>
      <c r="B2658" s="6" t="str">
        <f>"530020230601170840107827"</f>
        <v>530020230601170840107827</v>
      </c>
      <c r="C2658" s="6" t="str">
        <f t="shared" si="176"/>
        <v>0208</v>
      </c>
      <c r="D2658" s="6" t="s">
        <v>28</v>
      </c>
      <c r="E2658" s="6" t="str">
        <f>"张茜"</f>
        <v>张茜</v>
      </c>
      <c r="F2658" s="6" t="str">
        <f>"女"</f>
        <v>女</v>
      </c>
    </row>
    <row r="2659" spans="1:6" ht="30" customHeight="1">
      <c r="A2659" s="6">
        <v>2657</v>
      </c>
      <c r="B2659" s="6" t="str">
        <f>"530020230601173422107924"</f>
        <v>530020230601173422107924</v>
      </c>
      <c r="C2659" s="6" t="str">
        <f t="shared" si="176"/>
        <v>0208</v>
      </c>
      <c r="D2659" s="6" t="s">
        <v>28</v>
      </c>
      <c r="E2659" s="6" t="str">
        <f>"李珊"</f>
        <v>李珊</v>
      </c>
      <c r="F2659" s="6" t="str">
        <f>"女"</f>
        <v>女</v>
      </c>
    </row>
    <row r="2660" spans="1:6" ht="30" customHeight="1">
      <c r="A2660" s="6">
        <v>2658</v>
      </c>
      <c r="B2660" s="6" t="str">
        <f>"530020230531151831103289"</f>
        <v>530020230531151831103289</v>
      </c>
      <c r="C2660" s="6" t="str">
        <f t="shared" si="176"/>
        <v>0208</v>
      </c>
      <c r="D2660" s="6" t="s">
        <v>28</v>
      </c>
      <c r="E2660" s="6" t="str">
        <f>"陈海映"</f>
        <v>陈海映</v>
      </c>
      <c r="F2660" s="6" t="str">
        <f>"女"</f>
        <v>女</v>
      </c>
    </row>
    <row r="2661" spans="1:6" ht="30" customHeight="1">
      <c r="A2661" s="6">
        <v>2659</v>
      </c>
      <c r="B2661" s="6" t="str">
        <f>"530020230601183425108108"</f>
        <v>530020230601183425108108</v>
      </c>
      <c r="C2661" s="6" t="str">
        <f t="shared" si="176"/>
        <v>0208</v>
      </c>
      <c r="D2661" s="6" t="s">
        <v>28</v>
      </c>
      <c r="E2661" s="6" t="str">
        <f>"谢梓申"</f>
        <v>谢梓申</v>
      </c>
      <c r="F2661" s="6" t="str">
        <f>"男"</f>
        <v>男</v>
      </c>
    </row>
    <row r="2662" spans="1:6" ht="30" customHeight="1">
      <c r="A2662" s="6">
        <v>2660</v>
      </c>
      <c r="B2662" s="6" t="str">
        <f>"530020230601050712105185"</f>
        <v>530020230601050712105185</v>
      </c>
      <c r="C2662" s="6" t="str">
        <f t="shared" si="176"/>
        <v>0208</v>
      </c>
      <c r="D2662" s="6" t="s">
        <v>28</v>
      </c>
      <c r="E2662" s="6" t="str">
        <f>"向盈"</f>
        <v>向盈</v>
      </c>
      <c r="F2662" s="6" t="str">
        <f aca="true" t="shared" si="178" ref="F2662:F2674">"女"</f>
        <v>女</v>
      </c>
    </row>
    <row r="2663" spans="1:6" ht="30" customHeight="1">
      <c r="A2663" s="6">
        <v>2661</v>
      </c>
      <c r="B2663" s="6" t="str">
        <f>"530020230601192638108249"</f>
        <v>530020230601192638108249</v>
      </c>
      <c r="C2663" s="6" t="str">
        <f t="shared" si="176"/>
        <v>0208</v>
      </c>
      <c r="D2663" s="6" t="s">
        <v>28</v>
      </c>
      <c r="E2663" s="6" t="str">
        <f>"邱雪"</f>
        <v>邱雪</v>
      </c>
      <c r="F2663" s="6" t="str">
        <f t="shared" si="178"/>
        <v>女</v>
      </c>
    </row>
    <row r="2664" spans="1:6" ht="30" customHeight="1">
      <c r="A2664" s="6">
        <v>2662</v>
      </c>
      <c r="B2664" s="6" t="str">
        <f>"530020230531200056104368"</f>
        <v>530020230531200056104368</v>
      </c>
      <c r="C2664" s="6" t="str">
        <f t="shared" si="176"/>
        <v>0208</v>
      </c>
      <c r="D2664" s="6" t="s">
        <v>28</v>
      </c>
      <c r="E2664" s="6" t="str">
        <f>"陈萍"</f>
        <v>陈萍</v>
      </c>
      <c r="F2664" s="6" t="str">
        <f t="shared" si="178"/>
        <v>女</v>
      </c>
    </row>
    <row r="2665" spans="1:6" ht="30" customHeight="1">
      <c r="A2665" s="6">
        <v>2663</v>
      </c>
      <c r="B2665" s="6" t="str">
        <f>"530020230601201935108396"</f>
        <v>530020230601201935108396</v>
      </c>
      <c r="C2665" s="6" t="str">
        <f t="shared" si="176"/>
        <v>0208</v>
      </c>
      <c r="D2665" s="6" t="s">
        <v>28</v>
      </c>
      <c r="E2665" s="6" t="str">
        <f>"何芳婷"</f>
        <v>何芳婷</v>
      </c>
      <c r="F2665" s="6" t="str">
        <f t="shared" si="178"/>
        <v>女</v>
      </c>
    </row>
    <row r="2666" spans="1:6" ht="30" customHeight="1">
      <c r="A2666" s="6">
        <v>2664</v>
      </c>
      <c r="B2666" s="6" t="str">
        <f>"530020230601195123108321"</f>
        <v>530020230601195123108321</v>
      </c>
      <c r="C2666" s="6" t="str">
        <f t="shared" si="176"/>
        <v>0208</v>
      </c>
      <c r="D2666" s="6" t="s">
        <v>28</v>
      </c>
      <c r="E2666" s="6" t="str">
        <f>"曾少梅"</f>
        <v>曾少梅</v>
      </c>
      <c r="F2666" s="6" t="str">
        <f t="shared" si="178"/>
        <v>女</v>
      </c>
    </row>
    <row r="2667" spans="1:6" ht="30" customHeight="1">
      <c r="A2667" s="6">
        <v>2665</v>
      </c>
      <c r="B2667" s="6" t="str">
        <f>"530020230601190245108193"</f>
        <v>530020230601190245108193</v>
      </c>
      <c r="C2667" s="6" t="str">
        <f t="shared" si="176"/>
        <v>0208</v>
      </c>
      <c r="D2667" s="6" t="s">
        <v>28</v>
      </c>
      <c r="E2667" s="6" t="str">
        <f>"崔丽芳"</f>
        <v>崔丽芳</v>
      </c>
      <c r="F2667" s="6" t="str">
        <f t="shared" si="178"/>
        <v>女</v>
      </c>
    </row>
    <row r="2668" spans="1:6" ht="30" customHeight="1">
      <c r="A2668" s="6">
        <v>2666</v>
      </c>
      <c r="B2668" s="6" t="str">
        <f>"530020230601211359108586"</f>
        <v>530020230601211359108586</v>
      </c>
      <c r="C2668" s="6" t="str">
        <f t="shared" si="176"/>
        <v>0208</v>
      </c>
      <c r="D2668" s="6" t="s">
        <v>28</v>
      </c>
      <c r="E2668" s="6" t="str">
        <f>"苏兴雅"</f>
        <v>苏兴雅</v>
      </c>
      <c r="F2668" s="6" t="str">
        <f t="shared" si="178"/>
        <v>女</v>
      </c>
    </row>
    <row r="2669" spans="1:6" ht="30" customHeight="1">
      <c r="A2669" s="6">
        <v>2667</v>
      </c>
      <c r="B2669" s="6" t="str">
        <f>"53002023052912404491893"</f>
        <v>53002023052912404491893</v>
      </c>
      <c r="C2669" s="6" t="str">
        <f t="shared" si="176"/>
        <v>0208</v>
      </c>
      <c r="D2669" s="6" t="s">
        <v>28</v>
      </c>
      <c r="E2669" s="6" t="str">
        <f>"陈诗韵"</f>
        <v>陈诗韵</v>
      </c>
      <c r="F2669" s="6" t="str">
        <f t="shared" si="178"/>
        <v>女</v>
      </c>
    </row>
    <row r="2670" spans="1:6" ht="30" customHeight="1">
      <c r="A2670" s="6">
        <v>2668</v>
      </c>
      <c r="B2670" s="6" t="str">
        <f>"53002023052809490786911"</f>
        <v>53002023052809490786911</v>
      </c>
      <c r="C2670" s="6" t="str">
        <f t="shared" si="176"/>
        <v>0208</v>
      </c>
      <c r="D2670" s="6" t="s">
        <v>28</v>
      </c>
      <c r="E2670" s="6" t="str">
        <f>"苏雅"</f>
        <v>苏雅</v>
      </c>
      <c r="F2670" s="6" t="str">
        <f t="shared" si="178"/>
        <v>女</v>
      </c>
    </row>
    <row r="2671" spans="1:6" ht="30" customHeight="1">
      <c r="A2671" s="6">
        <v>2669</v>
      </c>
      <c r="B2671" s="6" t="str">
        <f>"530020230601161921107603"</f>
        <v>530020230601161921107603</v>
      </c>
      <c r="C2671" s="6" t="str">
        <f t="shared" si="176"/>
        <v>0208</v>
      </c>
      <c r="D2671" s="6" t="s">
        <v>28</v>
      </c>
      <c r="E2671" s="6" t="str">
        <f>"秦小洁"</f>
        <v>秦小洁</v>
      </c>
      <c r="F2671" s="6" t="str">
        <f t="shared" si="178"/>
        <v>女</v>
      </c>
    </row>
    <row r="2672" spans="1:6" ht="30" customHeight="1">
      <c r="A2672" s="6">
        <v>2670</v>
      </c>
      <c r="B2672" s="6" t="str">
        <f>"530020230601220446108779"</f>
        <v>530020230601220446108779</v>
      </c>
      <c r="C2672" s="6" t="str">
        <f t="shared" si="176"/>
        <v>0208</v>
      </c>
      <c r="D2672" s="6" t="s">
        <v>28</v>
      </c>
      <c r="E2672" s="6" t="str">
        <f>"陈燕腊"</f>
        <v>陈燕腊</v>
      </c>
      <c r="F2672" s="6" t="str">
        <f t="shared" si="178"/>
        <v>女</v>
      </c>
    </row>
    <row r="2673" spans="1:6" ht="30" customHeight="1">
      <c r="A2673" s="6">
        <v>2671</v>
      </c>
      <c r="B2673" s="6" t="str">
        <f>"530020230601225821108983"</f>
        <v>530020230601225821108983</v>
      </c>
      <c r="C2673" s="6" t="str">
        <f t="shared" si="176"/>
        <v>0208</v>
      </c>
      <c r="D2673" s="6" t="s">
        <v>28</v>
      </c>
      <c r="E2673" s="6" t="str">
        <f>"吴尚奋"</f>
        <v>吴尚奋</v>
      </c>
      <c r="F2673" s="6" t="str">
        <f t="shared" si="178"/>
        <v>女</v>
      </c>
    </row>
    <row r="2674" spans="1:6" ht="30" customHeight="1">
      <c r="A2674" s="6">
        <v>2672</v>
      </c>
      <c r="B2674" s="6" t="str">
        <f>"530020230601232254109046"</f>
        <v>530020230601232254109046</v>
      </c>
      <c r="C2674" s="6" t="str">
        <f t="shared" si="176"/>
        <v>0208</v>
      </c>
      <c r="D2674" s="6" t="s">
        <v>28</v>
      </c>
      <c r="E2674" s="6" t="str">
        <f>"陈爱芯"</f>
        <v>陈爱芯</v>
      </c>
      <c r="F2674" s="6" t="str">
        <f t="shared" si="178"/>
        <v>女</v>
      </c>
    </row>
    <row r="2675" spans="1:6" ht="30" customHeight="1">
      <c r="A2675" s="6">
        <v>2673</v>
      </c>
      <c r="B2675" s="6" t="str">
        <f>"530020230602005457109201"</f>
        <v>530020230602005457109201</v>
      </c>
      <c r="C2675" s="6" t="str">
        <f t="shared" si="176"/>
        <v>0208</v>
      </c>
      <c r="D2675" s="6" t="s">
        <v>28</v>
      </c>
      <c r="E2675" s="6" t="str">
        <f>"唐彪"</f>
        <v>唐彪</v>
      </c>
      <c r="F2675" s="6" t="str">
        <f>"男"</f>
        <v>男</v>
      </c>
    </row>
    <row r="2676" spans="1:6" ht="30" customHeight="1">
      <c r="A2676" s="6">
        <v>2674</v>
      </c>
      <c r="B2676" s="6" t="str">
        <f>"530020230601235511109120"</f>
        <v>530020230601235511109120</v>
      </c>
      <c r="C2676" s="6" t="str">
        <f t="shared" si="176"/>
        <v>0208</v>
      </c>
      <c r="D2676" s="6" t="s">
        <v>28</v>
      </c>
      <c r="E2676" s="6" t="str">
        <f>"洪丽丽"</f>
        <v>洪丽丽</v>
      </c>
      <c r="F2676" s="6" t="str">
        <f>"女"</f>
        <v>女</v>
      </c>
    </row>
    <row r="2677" spans="1:6" ht="30" customHeight="1">
      <c r="A2677" s="6">
        <v>2675</v>
      </c>
      <c r="B2677" s="6" t="str">
        <f>"530020230601182609108088"</f>
        <v>530020230601182609108088</v>
      </c>
      <c r="C2677" s="6" t="str">
        <f t="shared" si="176"/>
        <v>0208</v>
      </c>
      <c r="D2677" s="6" t="s">
        <v>28</v>
      </c>
      <c r="E2677" s="6" t="str">
        <f>"符昊"</f>
        <v>符昊</v>
      </c>
      <c r="F2677" s="6" t="str">
        <f>"男"</f>
        <v>男</v>
      </c>
    </row>
    <row r="2678" spans="1:6" ht="30" customHeight="1">
      <c r="A2678" s="6">
        <v>2676</v>
      </c>
      <c r="B2678" s="6" t="str">
        <f>"530020230602073459109288"</f>
        <v>530020230602073459109288</v>
      </c>
      <c r="C2678" s="6" t="str">
        <f t="shared" si="176"/>
        <v>0208</v>
      </c>
      <c r="D2678" s="6" t="s">
        <v>28</v>
      </c>
      <c r="E2678" s="6" t="str">
        <f>"王华汉"</f>
        <v>王华汉</v>
      </c>
      <c r="F2678" s="6" t="str">
        <f>"男"</f>
        <v>男</v>
      </c>
    </row>
    <row r="2679" spans="1:6" ht="30" customHeight="1">
      <c r="A2679" s="6">
        <v>2677</v>
      </c>
      <c r="B2679" s="6" t="str">
        <f>"530020230602081027109324"</f>
        <v>530020230602081027109324</v>
      </c>
      <c r="C2679" s="6" t="str">
        <f t="shared" si="176"/>
        <v>0208</v>
      </c>
      <c r="D2679" s="6" t="s">
        <v>28</v>
      </c>
      <c r="E2679" s="6" t="str">
        <f>"陈奕高"</f>
        <v>陈奕高</v>
      </c>
      <c r="F2679" s="6" t="str">
        <f>"男"</f>
        <v>男</v>
      </c>
    </row>
    <row r="2680" spans="1:6" ht="30" customHeight="1">
      <c r="A2680" s="6">
        <v>2678</v>
      </c>
      <c r="B2680" s="6" t="str">
        <f>"530020230601220317108768"</f>
        <v>530020230601220317108768</v>
      </c>
      <c r="C2680" s="6" t="str">
        <f t="shared" si="176"/>
        <v>0208</v>
      </c>
      <c r="D2680" s="6" t="s">
        <v>28</v>
      </c>
      <c r="E2680" s="6" t="str">
        <f>"孔颖"</f>
        <v>孔颖</v>
      </c>
      <c r="F2680" s="6" t="str">
        <f>"女"</f>
        <v>女</v>
      </c>
    </row>
    <row r="2681" spans="1:6" ht="30" customHeight="1">
      <c r="A2681" s="6">
        <v>2679</v>
      </c>
      <c r="B2681" s="6" t="str">
        <f>"530020230602082858109364"</f>
        <v>530020230602082858109364</v>
      </c>
      <c r="C2681" s="6" t="str">
        <f t="shared" si="176"/>
        <v>0208</v>
      </c>
      <c r="D2681" s="6" t="s">
        <v>28</v>
      </c>
      <c r="E2681" s="6" t="str">
        <f>"何銮"</f>
        <v>何銮</v>
      </c>
      <c r="F2681" s="6" t="str">
        <f>"女"</f>
        <v>女</v>
      </c>
    </row>
    <row r="2682" spans="1:6" ht="30" customHeight="1">
      <c r="A2682" s="6">
        <v>2680</v>
      </c>
      <c r="B2682" s="6" t="str">
        <f>"530020230602101336109745"</f>
        <v>530020230602101336109745</v>
      </c>
      <c r="C2682" s="6" t="str">
        <f t="shared" si="176"/>
        <v>0208</v>
      </c>
      <c r="D2682" s="6" t="s">
        <v>28</v>
      </c>
      <c r="E2682" s="6" t="str">
        <f>"符娇莹"</f>
        <v>符娇莹</v>
      </c>
      <c r="F2682" s="6" t="str">
        <f>"女"</f>
        <v>女</v>
      </c>
    </row>
    <row r="2683" spans="1:6" ht="30" customHeight="1">
      <c r="A2683" s="6">
        <v>2681</v>
      </c>
      <c r="B2683" s="6" t="str">
        <f>"530020230602110540110000"</f>
        <v>530020230602110540110000</v>
      </c>
      <c r="C2683" s="6" t="str">
        <f t="shared" si="176"/>
        <v>0208</v>
      </c>
      <c r="D2683" s="6" t="s">
        <v>28</v>
      </c>
      <c r="E2683" s="6" t="str">
        <f>"陈明程"</f>
        <v>陈明程</v>
      </c>
      <c r="F2683" s="6" t="str">
        <f>"男"</f>
        <v>男</v>
      </c>
    </row>
    <row r="2684" spans="1:6" ht="30" customHeight="1">
      <c r="A2684" s="6">
        <v>2682</v>
      </c>
      <c r="B2684" s="6" t="str">
        <f>"530020230602104942109909"</f>
        <v>530020230602104942109909</v>
      </c>
      <c r="C2684" s="6" t="str">
        <f t="shared" si="176"/>
        <v>0208</v>
      </c>
      <c r="D2684" s="6" t="s">
        <v>28</v>
      </c>
      <c r="E2684" s="6" t="str">
        <f>"符其农"</f>
        <v>符其农</v>
      </c>
      <c r="F2684" s="6" t="str">
        <f aca="true" t="shared" si="179" ref="F2684:F2695">"女"</f>
        <v>女</v>
      </c>
    </row>
    <row r="2685" spans="1:6" ht="30" customHeight="1">
      <c r="A2685" s="6">
        <v>2683</v>
      </c>
      <c r="B2685" s="6" t="str">
        <f>"53002023052908532289654"</f>
        <v>53002023052908532289654</v>
      </c>
      <c r="C2685" s="6" t="str">
        <f t="shared" si="176"/>
        <v>0208</v>
      </c>
      <c r="D2685" s="6" t="s">
        <v>28</v>
      </c>
      <c r="E2685" s="6" t="str">
        <f>"邓水青"</f>
        <v>邓水青</v>
      </c>
      <c r="F2685" s="6" t="str">
        <f t="shared" si="179"/>
        <v>女</v>
      </c>
    </row>
    <row r="2686" spans="1:6" ht="30" customHeight="1">
      <c r="A2686" s="6">
        <v>2684</v>
      </c>
      <c r="B2686" s="6" t="str">
        <f>"53002023052710085183928"</f>
        <v>53002023052710085183928</v>
      </c>
      <c r="C2686" s="6" t="str">
        <f aca="true" t="shared" si="180" ref="C2686:C2749">"0209"</f>
        <v>0209</v>
      </c>
      <c r="D2686" s="6" t="s">
        <v>29</v>
      </c>
      <c r="E2686" s="6" t="str">
        <f>"吴多珍"</f>
        <v>吴多珍</v>
      </c>
      <c r="F2686" s="6" t="str">
        <f t="shared" si="179"/>
        <v>女</v>
      </c>
    </row>
    <row r="2687" spans="1:6" ht="30" customHeight="1">
      <c r="A2687" s="6">
        <v>2685</v>
      </c>
      <c r="B2687" s="6" t="str">
        <f>"53002023052709585583876"</f>
        <v>53002023052709585583876</v>
      </c>
      <c r="C2687" s="6" t="str">
        <f t="shared" si="180"/>
        <v>0209</v>
      </c>
      <c r="D2687" s="6" t="s">
        <v>29</v>
      </c>
      <c r="E2687" s="6" t="str">
        <f>"何益玲"</f>
        <v>何益玲</v>
      </c>
      <c r="F2687" s="6" t="str">
        <f t="shared" si="179"/>
        <v>女</v>
      </c>
    </row>
    <row r="2688" spans="1:6" ht="30" customHeight="1">
      <c r="A2688" s="6">
        <v>2686</v>
      </c>
      <c r="B2688" s="6" t="str">
        <f>"53002023052710281484022"</f>
        <v>53002023052710281484022</v>
      </c>
      <c r="C2688" s="6" t="str">
        <f t="shared" si="180"/>
        <v>0209</v>
      </c>
      <c r="D2688" s="6" t="s">
        <v>29</v>
      </c>
      <c r="E2688" s="6" t="str">
        <f>"苏家露"</f>
        <v>苏家露</v>
      </c>
      <c r="F2688" s="6" t="str">
        <f t="shared" si="179"/>
        <v>女</v>
      </c>
    </row>
    <row r="2689" spans="1:6" ht="30" customHeight="1">
      <c r="A2689" s="6">
        <v>2687</v>
      </c>
      <c r="B2689" s="6" t="str">
        <f>"53002023052714482184965"</f>
        <v>53002023052714482184965</v>
      </c>
      <c r="C2689" s="6" t="str">
        <f t="shared" si="180"/>
        <v>0209</v>
      </c>
      <c r="D2689" s="6" t="s">
        <v>29</v>
      </c>
      <c r="E2689" s="6" t="str">
        <f>"符霞"</f>
        <v>符霞</v>
      </c>
      <c r="F2689" s="6" t="str">
        <f t="shared" si="179"/>
        <v>女</v>
      </c>
    </row>
    <row r="2690" spans="1:6" ht="30" customHeight="1">
      <c r="A2690" s="6">
        <v>2688</v>
      </c>
      <c r="B2690" s="6" t="str">
        <f>"53002023052719073585766"</f>
        <v>53002023052719073585766</v>
      </c>
      <c r="C2690" s="6" t="str">
        <f t="shared" si="180"/>
        <v>0209</v>
      </c>
      <c r="D2690" s="6" t="s">
        <v>29</v>
      </c>
      <c r="E2690" s="6" t="str">
        <f>"尹文凯"</f>
        <v>尹文凯</v>
      </c>
      <c r="F2690" s="6" t="str">
        <f t="shared" si="179"/>
        <v>女</v>
      </c>
    </row>
    <row r="2691" spans="1:6" ht="30" customHeight="1">
      <c r="A2691" s="6">
        <v>2689</v>
      </c>
      <c r="B2691" s="6" t="str">
        <f>"53002023052721241186212"</f>
        <v>53002023052721241186212</v>
      </c>
      <c r="C2691" s="6" t="str">
        <f t="shared" si="180"/>
        <v>0209</v>
      </c>
      <c r="D2691" s="6" t="s">
        <v>29</v>
      </c>
      <c r="E2691" s="6" t="str">
        <f>"张旭秀"</f>
        <v>张旭秀</v>
      </c>
      <c r="F2691" s="6" t="str">
        <f t="shared" si="179"/>
        <v>女</v>
      </c>
    </row>
    <row r="2692" spans="1:6" ht="30" customHeight="1">
      <c r="A2692" s="6">
        <v>2690</v>
      </c>
      <c r="B2692" s="6" t="str">
        <f>"53002023052722105686350"</f>
        <v>53002023052722105686350</v>
      </c>
      <c r="C2692" s="6" t="str">
        <f t="shared" si="180"/>
        <v>0209</v>
      </c>
      <c r="D2692" s="6" t="s">
        <v>29</v>
      </c>
      <c r="E2692" s="6" t="str">
        <f>"符昌君"</f>
        <v>符昌君</v>
      </c>
      <c r="F2692" s="6" t="str">
        <f t="shared" si="179"/>
        <v>女</v>
      </c>
    </row>
    <row r="2693" spans="1:6" ht="30" customHeight="1">
      <c r="A2693" s="6">
        <v>2691</v>
      </c>
      <c r="B2693" s="6" t="str">
        <f>"53002023052809523386919"</f>
        <v>53002023052809523386919</v>
      </c>
      <c r="C2693" s="6" t="str">
        <f t="shared" si="180"/>
        <v>0209</v>
      </c>
      <c r="D2693" s="6" t="s">
        <v>29</v>
      </c>
      <c r="E2693" s="6" t="str">
        <f>"王悦妃"</f>
        <v>王悦妃</v>
      </c>
      <c r="F2693" s="6" t="str">
        <f t="shared" si="179"/>
        <v>女</v>
      </c>
    </row>
    <row r="2694" spans="1:6" ht="30" customHeight="1">
      <c r="A2694" s="6">
        <v>2692</v>
      </c>
      <c r="B2694" s="6" t="str">
        <f>"53002023052813103387427"</f>
        <v>53002023052813103387427</v>
      </c>
      <c r="C2694" s="6" t="str">
        <f t="shared" si="180"/>
        <v>0209</v>
      </c>
      <c r="D2694" s="6" t="s">
        <v>29</v>
      </c>
      <c r="E2694" s="6" t="str">
        <f>"陈颖"</f>
        <v>陈颖</v>
      </c>
      <c r="F2694" s="6" t="str">
        <f t="shared" si="179"/>
        <v>女</v>
      </c>
    </row>
    <row r="2695" spans="1:6" ht="30" customHeight="1">
      <c r="A2695" s="6">
        <v>2693</v>
      </c>
      <c r="B2695" s="6" t="str">
        <f>"53002023052816073787871"</f>
        <v>53002023052816073787871</v>
      </c>
      <c r="C2695" s="6" t="str">
        <f t="shared" si="180"/>
        <v>0209</v>
      </c>
      <c r="D2695" s="6" t="s">
        <v>29</v>
      </c>
      <c r="E2695" s="6" t="str">
        <f>"符振乐"</f>
        <v>符振乐</v>
      </c>
      <c r="F2695" s="6" t="str">
        <f t="shared" si="179"/>
        <v>女</v>
      </c>
    </row>
    <row r="2696" spans="1:6" ht="30" customHeight="1">
      <c r="A2696" s="6">
        <v>2694</v>
      </c>
      <c r="B2696" s="6" t="str">
        <f>"53002023052710591084164"</f>
        <v>53002023052710591084164</v>
      </c>
      <c r="C2696" s="6" t="str">
        <f t="shared" si="180"/>
        <v>0209</v>
      </c>
      <c r="D2696" s="6" t="s">
        <v>29</v>
      </c>
      <c r="E2696" s="6" t="str">
        <f>"唐涛"</f>
        <v>唐涛</v>
      </c>
      <c r="F2696" s="6" t="str">
        <f>"男"</f>
        <v>男</v>
      </c>
    </row>
    <row r="2697" spans="1:6" ht="30" customHeight="1">
      <c r="A2697" s="6">
        <v>2695</v>
      </c>
      <c r="B2697" s="6" t="str">
        <f>"53002023052817100588055"</f>
        <v>53002023052817100588055</v>
      </c>
      <c r="C2697" s="6" t="str">
        <f t="shared" si="180"/>
        <v>0209</v>
      </c>
      <c r="D2697" s="6" t="s">
        <v>29</v>
      </c>
      <c r="E2697" s="6" t="str">
        <f>"吉婷婷"</f>
        <v>吉婷婷</v>
      </c>
      <c r="F2697" s="6" t="str">
        <f>"女"</f>
        <v>女</v>
      </c>
    </row>
    <row r="2698" spans="1:6" ht="30" customHeight="1">
      <c r="A2698" s="6">
        <v>2696</v>
      </c>
      <c r="B2698" s="6" t="str">
        <f>"53002023052817160988073"</f>
        <v>53002023052817160988073</v>
      </c>
      <c r="C2698" s="6" t="str">
        <f t="shared" si="180"/>
        <v>0209</v>
      </c>
      <c r="D2698" s="6" t="s">
        <v>29</v>
      </c>
      <c r="E2698" s="6" t="str">
        <f>"王艳妃"</f>
        <v>王艳妃</v>
      </c>
      <c r="F2698" s="6" t="str">
        <f>"女"</f>
        <v>女</v>
      </c>
    </row>
    <row r="2699" spans="1:6" ht="30" customHeight="1">
      <c r="A2699" s="6">
        <v>2697</v>
      </c>
      <c r="B2699" s="6" t="str">
        <f>"53002023052816444387982"</f>
        <v>53002023052816444387982</v>
      </c>
      <c r="C2699" s="6" t="str">
        <f t="shared" si="180"/>
        <v>0209</v>
      </c>
      <c r="D2699" s="6" t="s">
        <v>29</v>
      </c>
      <c r="E2699" s="6" t="str">
        <f>"龙籍艺"</f>
        <v>龙籍艺</v>
      </c>
      <c r="F2699" s="6" t="str">
        <f>"男"</f>
        <v>男</v>
      </c>
    </row>
    <row r="2700" spans="1:6" ht="30" customHeight="1">
      <c r="A2700" s="6">
        <v>2698</v>
      </c>
      <c r="B2700" s="6" t="str">
        <f>"53002023052809401786884"</f>
        <v>53002023052809401786884</v>
      </c>
      <c r="C2700" s="6" t="str">
        <f t="shared" si="180"/>
        <v>0209</v>
      </c>
      <c r="D2700" s="6" t="s">
        <v>29</v>
      </c>
      <c r="E2700" s="6" t="str">
        <f>"苏晓婷"</f>
        <v>苏晓婷</v>
      </c>
      <c r="F2700" s="6" t="str">
        <f>"女"</f>
        <v>女</v>
      </c>
    </row>
    <row r="2701" spans="1:6" ht="30" customHeight="1">
      <c r="A2701" s="6">
        <v>2699</v>
      </c>
      <c r="B2701" s="6" t="str">
        <f>"53002023052820174588627"</f>
        <v>53002023052820174588627</v>
      </c>
      <c r="C2701" s="6" t="str">
        <f t="shared" si="180"/>
        <v>0209</v>
      </c>
      <c r="D2701" s="6" t="s">
        <v>29</v>
      </c>
      <c r="E2701" s="6" t="str">
        <f>"李兰菊"</f>
        <v>李兰菊</v>
      </c>
      <c r="F2701" s="6" t="str">
        <f>"女"</f>
        <v>女</v>
      </c>
    </row>
    <row r="2702" spans="1:6" ht="30" customHeight="1">
      <c r="A2702" s="6">
        <v>2700</v>
      </c>
      <c r="B2702" s="6" t="str">
        <f>"53002023052821202188851"</f>
        <v>53002023052821202188851</v>
      </c>
      <c r="C2702" s="6" t="str">
        <f t="shared" si="180"/>
        <v>0209</v>
      </c>
      <c r="D2702" s="6" t="s">
        <v>29</v>
      </c>
      <c r="E2702" s="6" t="str">
        <f>"翁先洁"</f>
        <v>翁先洁</v>
      </c>
      <c r="F2702" s="6" t="str">
        <f>"女"</f>
        <v>女</v>
      </c>
    </row>
    <row r="2703" spans="1:6" ht="30" customHeight="1">
      <c r="A2703" s="6">
        <v>2701</v>
      </c>
      <c r="B2703" s="6" t="str">
        <f>"53002023052711521984384"</f>
        <v>53002023052711521984384</v>
      </c>
      <c r="C2703" s="6" t="str">
        <f t="shared" si="180"/>
        <v>0209</v>
      </c>
      <c r="D2703" s="6" t="s">
        <v>29</v>
      </c>
      <c r="E2703" s="6" t="str">
        <f>"王惠敏"</f>
        <v>王惠敏</v>
      </c>
      <c r="F2703" s="6" t="str">
        <f>"女"</f>
        <v>女</v>
      </c>
    </row>
    <row r="2704" spans="1:6" ht="30" customHeight="1">
      <c r="A2704" s="6">
        <v>2702</v>
      </c>
      <c r="B2704" s="6" t="str">
        <f>"53002023052822085789025"</f>
        <v>53002023052822085789025</v>
      </c>
      <c r="C2704" s="6" t="str">
        <f t="shared" si="180"/>
        <v>0209</v>
      </c>
      <c r="D2704" s="6" t="s">
        <v>29</v>
      </c>
      <c r="E2704" s="6" t="str">
        <f>"毛丹妮"</f>
        <v>毛丹妮</v>
      </c>
      <c r="F2704" s="6" t="str">
        <f>"女"</f>
        <v>女</v>
      </c>
    </row>
    <row r="2705" spans="1:6" ht="30" customHeight="1">
      <c r="A2705" s="6">
        <v>2703</v>
      </c>
      <c r="B2705" s="6" t="str">
        <f>"53002023052822185489061"</f>
        <v>53002023052822185489061</v>
      </c>
      <c r="C2705" s="6" t="str">
        <f t="shared" si="180"/>
        <v>0209</v>
      </c>
      <c r="D2705" s="6" t="s">
        <v>29</v>
      </c>
      <c r="E2705" s="6" t="str">
        <f>"符家浩"</f>
        <v>符家浩</v>
      </c>
      <c r="F2705" s="6" t="str">
        <f>"男"</f>
        <v>男</v>
      </c>
    </row>
    <row r="2706" spans="1:6" ht="30" customHeight="1">
      <c r="A2706" s="6">
        <v>2704</v>
      </c>
      <c r="B2706" s="6" t="str">
        <f>"53002023052823010189200"</f>
        <v>53002023052823010189200</v>
      </c>
      <c r="C2706" s="6" t="str">
        <f t="shared" si="180"/>
        <v>0209</v>
      </c>
      <c r="D2706" s="6" t="s">
        <v>29</v>
      </c>
      <c r="E2706" s="6" t="str">
        <f>"黄慧环"</f>
        <v>黄慧环</v>
      </c>
      <c r="F2706" s="6" t="str">
        <f aca="true" t="shared" si="181" ref="F2706:F2717">"女"</f>
        <v>女</v>
      </c>
    </row>
    <row r="2707" spans="1:6" ht="30" customHeight="1">
      <c r="A2707" s="6">
        <v>2705</v>
      </c>
      <c r="B2707" s="6" t="str">
        <f>"53002023052823003789198"</f>
        <v>53002023052823003789198</v>
      </c>
      <c r="C2707" s="6" t="str">
        <f t="shared" si="180"/>
        <v>0209</v>
      </c>
      <c r="D2707" s="6" t="s">
        <v>29</v>
      </c>
      <c r="E2707" s="6" t="str">
        <f>"梁石慧"</f>
        <v>梁石慧</v>
      </c>
      <c r="F2707" s="6" t="str">
        <f t="shared" si="181"/>
        <v>女</v>
      </c>
    </row>
    <row r="2708" spans="1:6" ht="30" customHeight="1">
      <c r="A2708" s="6">
        <v>2706</v>
      </c>
      <c r="B2708" s="6" t="str">
        <f>"53002023052822514989173"</f>
        <v>53002023052822514989173</v>
      </c>
      <c r="C2708" s="6" t="str">
        <f t="shared" si="180"/>
        <v>0209</v>
      </c>
      <c r="D2708" s="6" t="s">
        <v>29</v>
      </c>
      <c r="E2708" s="6" t="str">
        <f>"曾小慧"</f>
        <v>曾小慧</v>
      </c>
      <c r="F2708" s="6" t="str">
        <f t="shared" si="181"/>
        <v>女</v>
      </c>
    </row>
    <row r="2709" spans="1:6" ht="30" customHeight="1">
      <c r="A2709" s="6">
        <v>2707</v>
      </c>
      <c r="B2709" s="6" t="str">
        <f>"53002023052823305789278"</f>
        <v>53002023052823305789278</v>
      </c>
      <c r="C2709" s="6" t="str">
        <f t="shared" si="180"/>
        <v>0209</v>
      </c>
      <c r="D2709" s="6" t="s">
        <v>29</v>
      </c>
      <c r="E2709" s="6" t="str">
        <f>"符裕珍"</f>
        <v>符裕珍</v>
      </c>
      <c r="F2709" s="6" t="str">
        <f t="shared" si="181"/>
        <v>女</v>
      </c>
    </row>
    <row r="2710" spans="1:6" ht="30" customHeight="1">
      <c r="A2710" s="6">
        <v>2708</v>
      </c>
      <c r="B2710" s="6" t="str">
        <f>"53002023052823394689299"</f>
        <v>53002023052823394689299</v>
      </c>
      <c r="C2710" s="6" t="str">
        <f t="shared" si="180"/>
        <v>0209</v>
      </c>
      <c r="D2710" s="6" t="s">
        <v>29</v>
      </c>
      <c r="E2710" s="6" t="str">
        <f>"赵彩伶"</f>
        <v>赵彩伶</v>
      </c>
      <c r="F2710" s="6" t="str">
        <f t="shared" si="181"/>
        <v>女</v>
      </c>
    </row>
    <row r="2711" spans="1:6" ht="30" customHeight="1">
      <c r="A2711" s="6">
        <v>2709</v>
      </c>
      <c r="B2711" s="6" t="str">
        <f>"53002023052907335089431"</f>
        <v>53002023052907335089431</v>
      </c>
      <c r="C2711" s="6" t="str">
        <f t="shared" si="180"/>
        <v>0209</v>
      </c>
      <c r="D2711" s="6" t="s">
        <v>29</v>
      </c>
      <c r="E2711" s="6" t="str">
        <f>"黎学莉"</f>
        <v>黎学莉</v>
      </c>
      <c r="F2711" s="6" t="str">
        <f t="shared" si="181"/>
        <v>女</v>
      </c>
    </row>
    <row r="2712" spans="1:6" ht="30" customHeight="1">
      <c r="A2712" s="6">
        <v>2710</v>
      </c>
      <c r="B2712" s="6" t="str">
        <f>"53002023052908030389473"</f>
        <v>53002023052908030389473</v>
      </c>
      <c r="C2712" s="6" t="str">
        <f t="shared" si="180"/>
        <v>0209</v>
      </c>
      <c r="D2712" s="6" t="s">
        <v>29</v>
      </c>
      <c r="E2712" s="6" t="str">
        <f>"何福花"</f>
        <v>何福花</v>
      </c>
      <c r="F2712" s="6" t="str">
        <f t="shared" si="181"/>
        <v>女</v>
      </c>
    </row>
    <row r="2713" spans="1:6" ht="30" customHeight="1">
      <c r="A2713" s="6">
        <v>2711</v>
      </c>
      <c r="B2713" s="6" t="str">
        <f>"53002023052909180489961"</f>
        <v>53002023052909180489961</v>
      </c>
      <c r="C2713" s="6" t="str">
        <f t="shared" si="180"/>
        <v>0209</v>
      </c>
      <c r="D2713" s="6" t="s">
        <v>29</v>
      </c>
      <c r="E2713" s="6" t="str">
        <f>"韩玉娟"</f>
        <v>韩玉娟</v>
      </c>
      <c r="F2713" s="6" t="str">
        <f t="shared" si="181"/>
        <v>女</v>
      </c>
    </row>
    <row r="2714" spans="1:6" ht="30" customHeight="1">
      <c r="A2714" s="6">
        <v>2712</v>
      </c>
      <c r="B2714" s="6" t="str">
        <f>"53002023052909042689769"</f>
        <v>53002023052909042689769</v>
      </c>
      <c r="C2714" s="6" t="str">
        <f t="shared" si="180"/>
        <v>0209</v>
      </c>
      <c r="D2714" s="6" t="s">
        <v>29</v>
      </c>
      <c r="E2714" s="6" t="str">
        <f>"符坤礼"</f>
        <v>符坤礼</v>
      </c>
      <c r="F2714" s="6" t="str">
        <f t="shared" si="181"/>
        <v>女</v>
      </c>
    </row>
    <row r="2715" spans="1:6" ht="30" customHeight="1">
      <c r="A2715" s="6">
        <v>2713</v>
      </c>
      <c r="B2715" s="6" t="str">
        <f>"53002023052909565390405"</f>
        <v>53002023052909565390405</v>
      </c>
      <c r="C2715" s="6" t="str">
        <f t="shared" si="180"/>
        <v>0209</v>
      </c>
      <c r="D2715" s="6" t="s">
        <v>29</v>
      </c>
      <c r="E2715" s="6" t="str">
        <f>"成静"</f>
        <v>成静</v>
      </c>
      <c r="F2715" s="6" t="str">
        <f t="shared" si="181"/>
        <v>女</v>
      </c>
    </row>
    <row r="2716" spans="1:6" ht="30" customHeight="1">
      <c r="A2716" s="6">
        <v>2714</v>
      </c>
      <c r="B2716" s="6" t="str">
        <f>"53002023052818532088408"</f>
        <v>53002023052818532088408</v>
      </c>
      <c r="C2716" s="6" t="str">
        <f t="shared" si="180"/>
        <v>0209</v>
      </c>
      <c r="D2716" s="6" t="s">
        <v>29</v>
      </c>
      <c r="E2716" s="6" t="str">
        <f>"许林芳"</f>
        <v>许林芳</v>
      </c>
      <c r="F2716" s="6" t="str">
        <f t="shared" si="181"/>
        <v>女</v>
      </c>
    </row>
    <row r="2717" spans="1:6" ht="30" customHeight="1">
      <c r="A2717" s="6">
        <v>2715</v>
      </c>
      <c r="B2717" s="6" t="str">
        <f>"53002023052909365290172"</f>
        <v>53002023052909365290172</v>
      </c>
      <c r="C2717" s="6" t="str">
        <f t="shared" si="180"/>
        <v>0209</v>
      </c>
      <c r="D2717" s="6" t="s">
        <v>29</v>
      </c>
      <c r="E2717" s="6" t="str">
        <f>"黄亚媛"</f>
        <v>黄亚媛</v>
      </c>
      <c r="F2717" s="6" t="str">
        <f t="shared" si="181"/>
        <v>女</v>
      </c>
    </row>
    <row r="2718" spans="1:6" ht="30" customHeight="1">
      <c r="A2718" s="6">
        <v>2716</v>
      </c>
      <c r="B2718" s="6" t="str">
        <f>"53002023052912494891955"</f>
        <v>53002023052912494891955</v>
      </c>
      <c r="C2718" s="6" t="str">
        <f t="shared" si="180"/>
        <v>0209</v>
      </c>
      <c r="D2718" s="6" t="s">
        <v>29</v>
      </c>
      <c r="E2718" s="6" t="str">
        <f>"潘孝德"</f>
        <v>潘孝德</v>
      </c>
      <c r="F2718" s="6" t="str">
        <f>"男"</f>
        <v>男</v>
      </c>
    </row>
    <row r="2719" spans="1:6" ht="30" customHeight="1">
      <c r="A2719" s="6">
        <v>2717</v>
      </c>
      <c r="B2719" s="6" t="str">
        <f>"53002023052914514292599"</f>
        <v>53002023052914514292599</v>
      </c>
      <c r="C2719" s="6" t="str">
        <f t="shared" si="180"/>
        <v>0209</v>
      </c>
      <c r="D2719" s="6" t="s">
        <v>29</v>
      </c>
      <c r="E2719" s="6" t="str">
        <f>"曹杨琪"</f>
        <v>曹杨琪</v>
      </c>
      <c r="F2719" s="6" t="str">
        <f>"女"</f>
        <v>女</v>
      </c>
    </row>
    <row r="2720" spans="1:6" ht="30" customHeight="1">
      <c r="A2720" s="6">
        <v>2718</v>
      </c>
      <c r="B2720" s="6" t="str">
        <f>"53002023052915080292712"</f>
        <v>53002023052915080292712</v>
      </c>
      <c r="C2720" s="6" t="str">
        <f t="shared" si="180"/>
        <v>0209</v>
      </c>
      <c r="D2720" s="6" t="s">
        <v>29</v>
      </c>
      <c r="E2720" s="6" t="str">
        <f>"周美君"</f>
        <v>周美君</v>
      </c>
      <c r="F2720" s="6" t="str">
        <f>"女"</f>
        <v>女</v>
      </c>
    </row>
    <row r="2721" spans="1:6" ht="30" customHeight="1">
      <c r="A2721" s="6">
        <v>2719</v>
      </c>
      <c r="B2721" s="6" t="str">
        <f>"53002023052915161392773"</f>
        <v>53002023052915161392773</v>
      </c>
      <c r="C2721" s="6" t="str">
        <f t="shared" si="180"/>
        <v>0209</v>
      </c>
      <c r="D2721" s="6" t="s">
        <v>29</v>
      </c>
      <c r="E2721" s="6" t="str">
        <f>"凌小仪"</f>
        <v>凌小仪</v>
      </c>
      <c r="F2721" s="6" t="str">
        <f>"女"</f>
        <v>女</v>
      </c>
    </row>
    <row r="2722" spans="1:6" ht="30" customHeight="1">
      <c r="A2722" s="6">
        <v>2720</v>
      </c>
      <c r="B2722" s="6" t="str">
        <f>"53002023052916105793205"</f>
        <v>53002023052916105793205</v>
      </c>
      <c r="C2722" s="6" t="str">
        <f t="shared" si="180"/>
        <v>0209</v>
      </c>
      <c r="D2722" s="6" t="s">
        <v>29</v>
      </c>
      <c r="E2722" s="6" t="str">
        <f>"陈朝龙"</f>
        <v>陈朝龙</v>
      </c>
      <c r="F2722" s="6" t="str">
        <f>"男"</f>
        <v>男</v>
      </c>
    </row>
    <row r="2723" spans="1:6" ht="30" customHeight="1">
      <c r="A2723" s="6">
        <v>2721</v>
      </c>
      <c r="B2723" s="6" t="str">
        <f>"53002023052917363193766"</f>
        <v>53002023052917363193766</v>
      </c>
      <c r="C2723" s="6" t="str">
        <f t="shared" si="180"/>
        <v>0209</v>
      </c>
      <c r="D2723" s="6" t="s">
        <v>29</v>
      </c>
      <c r="E2723" s="6" t="str">
        <f>"文陈华"</f>
        <v>文陈华</v>
      </c>
      <c r="F2723" s="6" t="str">
        <f aca="true" t="shared" si="182" ref="F2723:F2728">"女"</f>
        <v>女</v>
      </c>
    </row>
    <row r="2724" spans="1:6" ht="30" customHeight="1">
      <c r="A2724" s="6">
        <v>2722</v>
      </c>
      <c r="B2724" s="6" t="str">
        <f>"53002023052918402094074"</f>
        <v>53002023052918402094074</v>
      </c>
      <c r="C2724" s="6" t="str">
        <f t="shared" si="180"/>
        <v>0209</v>
      </c>
      <c r="D2724" s="6" t="s">
        <v>29</v>
      </c>
      <c r="E2724" s="6" t="str">
        <f>"王正颖"</f>
        <v>王正颖</v>
      </c>
      <c r="F2724" s="6" t="str">
        <f t="shared" si="182"/>
        <v>女</v>
      </c>
    </row>
    <row r="2725" spans="1:6" ht="30" customHeight="1">
      <c r="A2725" s="6">
        <v>2723</v>
      </c>
      <c r="B2725" s="6" t="str">
        <f>"53002023052920263394533"</f>
        <v>53002023052920263394533</v>
      </c>
      <c r="C2725" s="6" t="str">
        <f t="shared" si="180"/>
        <v>0209</v>
      </c>
      <c r="D2725" s="6" t="s">
        <v>29</v>
      </c>
      <c r="E2725" s="6" t="str">
        <f>"黄知"</f>
        <v>黄知</v>
      </c>
      <c r="F2725" s="6" t="str">
        <f t="shared" si="182"/>
        <v>女</v>
      </c>
    </row>
    <row r="2726" spans="1:6" ht="30" customHeight="1">
      <c r="A2726" s="6">
        <v>2724</v>
      </c>
      <c r="B2726" s="6" t="str">
        <f>"53002023052921165094811"</f>
        <v>53002023052921165094811</v>
      </c>
      <c r="C2726" s="6" t="str">
        <f t="shared" si="180"/>
        <v>0209</v>
      </c>
      <c r="D2726" s="6" t="s">
        <v>29</v>
      </c>
      <c r="E2726" s="6" t="str">
        <f>"刘伯映"</f>
        <v>刘伯映</v>
      </c>
      <c r="F2726" s="6" t="str">
        <f t="shared" si="182"/>
        <v>女</v>
      </c>
    </row>
    <row r="2727" spans="1:6" ht="30" customHeight="1">
      <c r="A2727" s="6">
        <v>2725</v>
      </c>
      <c r="B2727" s="6" t="str">
        <f>"53002023052923332195545"</f>
        <v>53002023052923332195545</v>
      </c>
      <c r="C2727" s="6" t="str">
        <f t="shared" si="180"/>
        <v>0209</v>
      </c>
      <c r="D2727" s="6" t="s">
        <v>29</v>
      </c>
      <c r="E2727" s="6" t="str">
        <f>"王娜"</f>
        <v>王娜</v>
      </c>
      <c r="F2727" s="6" t="str">
        <f t="shared" si="182"/>
        <v>女</v>
      </c>
    </row>
    <row r="2728" spans="1:6" ht="30" customHeight="1">
      <c r="A2728" s="6">
        <v>2726</v>
      </c>
      <c r="B2728" s="6" t="str">
        <f>"53002023052908463289621"</f>
        <v>53002023052908463289621</v>
      </c>
      <c r="C2728" s="6" t="str">
        <f t="shared" si="180"/>
        <v>0209</v>
      </c>
      <c r="D2728" s="6" t="s">
        <v>29</v>
      </c>
      <c r="E2728" s="6" t="str">
        <f>"梁秀娥"</f>
        <v>梁秀娥</v>
      </c>
      <c r="F2728" s="6" t="str">
        <f t="shared" si="182"/>
        <v>女</v>
      </c>
    </row>
    <row r="2729" spans="1:6" ht="30" customHeight="1">
      <c r="A2729" s="6">
        <v>2727</v>
      </c>
      <c r="B2729" s="6" t="str">
        <f>"53002023052808303086775"</f>
        <v>53002023052808303086775</v>
      </c>
      <c r="C2729" s="6" t="str">
        <f t="shared" si="180"/>
        <v>0209</v>
      </c>
      <c r="D2729" s="6" t="s">
        <v>29</v>
      </c>
      <c r="E2729" s="6" t="str">
        <f>"王乾"</f>
        <v>王乾</v>
      </c>
      <c r="F2729" s="6" t="str">
        <f>"男"</f>
        <v>男</v>
      </c>
    </row>
    <row r="2730" spans="1:6" ht="30" customHeight="1">
      <c r="A2730" s="6">
        <v>2728</v>
      </c>
      <c r="B2730" s="6" t="str">
        <f>"53002023053010005396457"</f>
        <v>53002023053010005396457</v>
      </c>
      <c r="C2730" s="6" t="str">
        <f t="shared" si="180"/>
        <v>0209</v>
      </c>
      <c r="D2730" s="6" t="s">
        <v>29</v>
      </c>
      <c r="E2730" s="6" t="str">
        <f>"叶芷芹"</f>
        <v>叶芷芹</v>
      </c>
      <c r="F2730" s="6" t="str">
        <f aca="true" t="shared" si="183" ref="F2730:F2739">"女"</f>
        <v>女</v>
      </c>
    </row>
    <row r="2731" spans="1:6" ht="30" customHeight="1">
      <c r="A2731" s="6">
        <v>2729</v>
      </c>
      <c r="B2731" s="6" t="str">
        <f>"53002023053010590896939"</f>
        <v>53002023053010590896939</v>
      </c>
      <c r="C2731" s="6" t="str">
        <f t="shared" si="180"/>
        <v>0209</v>
      </c>
      <c r="D2731" s="6" t="s">
        <v>29</v>
      </c>
      <c r="E2731" s="6" t="str">
        <f>"颜光钰"</f>
        <v>颜光钰</v>
      </c>
      <c r="F2731" s="6" t="str">
        <f t="shared" si="183"/>
        <v>女</v>
      </c>
    </row>
    <row r="2732" spans="1:6" ht="30" customHeight="1">
      <c r="A2732" s="6">
        <v>2730</v>
      </c>
      <c r="B2732" s="6" t="str">
        <f>"53002023052810280386997"</f>
        <v>53002023052810280386997</v>
      </c>
      <c r="C2732" s="6" t="str">
        <f t="shared" si="180"/>
        <v>0209</v>
      </c>
      <c r="D2732" s="6" t="s">
        <v>29</v>
      </c>
      <c r="E2732" s="6" t="str">
        <f>"郑家善"</f>
        <v>郑家善</v>
      </c>
      <c r="F2732" s="6" t="str">
        <f t="shared" si="183"/>
        <v>女</v>
      </c>
    </row>
    <row r="2733" spans="1:6" ht="30" customHeight="1">
      <c r="A2733" s="6">
        <v>2731</v>
      </c>
      <c r="B2733" s="6" t="str">
        <f>"53002023053010544696903"</f>
        <v>53002023053010544696903</v>
      </c>
      <c r="C2733" s="6" t="str">
        <f t="shared" si="180"/>
        <v>0209</v>
      </c>
      <c r="D2733" s="6" t="s">
        <v>29</v>
      </c>
      <c r="E2733" s="6" t="str">
        <f>"蔡婉怡"</f>
        <v>蔡婉怡</v>
      </c>
      <c r="F2733" s="6" t="str">
        <f t="shared" si="183"/>
        <v>女</v>
      </c>
    </row>
    <row r="2734" spans="1:6" ht="30" customHeight="1">
      <c r="A2734" s="6">
        <v>2732</v>
      </c>
      <c r="B2734" s="6" t="str">
        <f>"53002023053011410997287"</f>
        <v>53002023053011410997287</v>
      </c>
      <c r="C2734" s="6" t="str">
        <f t="shared" si="180"/>
        <v>0209</v>
      </c>
      <c r="D2734" s="6" t="s">
        <v>29</v>
      </c>
      <c r="E2734" s="6" t="str">
        <f>"骆晓晶"</f>
        <v>骆晓晶</v>
      </c>
      <c r="F2734" s="6" t="str">
        <f t="shared" si="183"/>
        <v>女</v>
      </c>
    </row>
    <row r="2735" spans="1:6" ht="30" customHeight="1">
      <c r="A2735" s="6">
        <v>2733</v>
      </c>
      <c r="B2735" s="6" t="str">
        <f>"53002023053010304196690"</f>
        <v>53002023053010304196690</v>
      </c>
      <c r="C2735" s="6" t="str">
        <f t="shared" si="180"/>
        <v>0209</v>
      </c>
      <c r="D2735" s="6" t="s">
        <v>29</v>
      </c>
      <c r="E2735" s="6" t="str">
        <f>"赵日梅"</f>
        <v>赵日梅</v>
      </c>
      <c r="F2735" s="6" t="str">
        <f t="shared" si="183"/>
        <v>女</v>
      </c>
    </row>
    <row r="2736" spans="1:6" ht="30" customHeight="1">
      <c r="A2736" s="6">
        <v>2734</v>
      </c>
      <c r="B2736" s="6" t="str">
        <f>"53002023053015465298594"</f>
        <v>53002023053015465298594</v>
      </c>
      <c r="C2736" s="6" t="str">
        <f t="shared" si="180"/>
        <v>0209</v>
      </c>
      <c r="D2736" s="6" t="s">
        <v>29</v>
      </c>
      <c r="E2736" s="6" t="str">
        <f>"蔡桂花"</f>
        <v>蔡桂花</v>
      </c>
      <c r="F2736" s="6" t="str">
        <f t="shared" si="183"/>
        <v>女</v>
      </c>
    </row>
    <row r="2737" spans="1:6" ht="30" customHeight="1">
      <c r="A2737" s="6">
        <v>2735</v>
      </c>
      <c r="B2737" s="6" t="str">
        <f>"53002023052907400789435"</f>
        <v>53002023052907400789435</v>
      </c>
      <c r="C2737" s="6" t="str">
        <f t="shared" si="180"/>
        <v>0209</v>
      </c>
      <c r="D2737" s="6" t="s">
        <v>29</v>
      </c>
      <c r="E2737" s="6" t="str">
        <f>"黎木养"</f>
        <v>黎木养</v>
      </c>
      <c r="F2737" s="6" t="str">
        <f t="shared" si="183"/>
        <v>女</v>
      </c>
    </row>
    <row r="2738" spans="1:6" ht="30" customHeight="1">
      <c r="A2738" s="6">
        <v>2736</v>
      </c>
      <c r="B2738" s="6" t="str">
        <f>"53002023053016083798730"</f>
        <v>53002023053016083798730</v>
      </c>
      <c r="C2738" s="6" t="str">
        <f t="shared" si="180"/>
        <v>0209</v>
      </c>
      <c r="D2738" s="6" t="s">
        <v>29</v>
      </c>
      <c r="E2738" s="6" t="str">
        <f>"罗妍艾"</f>
        <v>罗妍艾</v>
      </c>
      <c r="F2738" s="6" t="str">
        <f t="shared" si="183"/>
        <v>女</v>
      </c>
    </row>
    <row r="2739" spans="1:6" ht="30" customHeight="1">
      <c r="A2739" s="6">
        <v>2737</v>
      </c>
      <c r="B2739" s="6" t="str">
        <f>"53002023053008413495903"</f>
        <v>53002023053008413495903</v>
      </c>
      <c r="C2739" s="6" t="str">
        <f t="shared" si="180"/>
        <v>0209</v>
      </c>
      <c r="D2739" s="6" t="s">
        <v>29</v>
      </c>
      <c r="E2739" s="6" t="str">
        <f>"符卓翠"</f>
        <v>符卓翠</v>
      </c>
      <c r="F2739" s="6" t="str">
        <f t="shared" si="183"/>
        <v>女</v>
      </c>
    </row>
    <row r="2740" spans="1:6" ht="30" customHeight="1">
      <c r="A2740" s="6">
        <v>2738</v>
      </c>
      <c r="B2740" s="6" t="str">
        <f>"53002023053009182096131"</f>
        <v>53002023053009182096131</v>
      </c>
      <c r="C2740" s="6" t="str">
        <f t="shared" si="180"/>
        <v>0209</v>
      </c>
      <c r="D2740" s="6" t="s">
        <v>29</v>
      </c>
      <c r="E2740" s="6" t="str">
        <f>"林天雄"</f>
        <v>林天雄</v>
      </c>
      <c r="F2740" s="6" t="str">
        <f>"男"</f>
        <v>男</v>
      </c>
    </row>
    <row r="2741" spans="1:6" ht="30" customHeight="1">
      <c r="A2741" s="6">
        <v>2739</v>
      </c>
      <c r="B2741" s="6" t="str">
        <f>"53002023052920042894434"</f>
        <v>53002023052920042894434</v>
      </c>
      <c r="C2741" s="6" t="str">
        <f t="shared" si="180"/>
        <v>0209</v>
      </c>
      <c r="D2741" s="6" t="s">
        <v>29</v>
      </c>
      <c r="E2741" s="6" t="str">
        <f>"石奇凡"</f>
        <v>石奇凡</v>
      </c>
      <c r="F2741" s="6" t="str">
        <f>"女"</f>
        <v>女</v>
      </c>
    </row>
    <row r="2742" spans="1:6" ht="30" customHeight="1">
      <c r="A2742" s="6">
        <v>2740</v>
      </c>
      <c r="B2742" s="6" t="str">
        <f>"53002023053019094499659"</f>
        <v>53002023053019094499659</v>
      </c>
      <c r="C2742" s="6" t="str">
        <f t="shared" si="180"/>
        <v>0209</v>
      </c>
      <c r="D2742" s="6" t="s">
        <v>29</v>
      </c>
      <c r="E2742" s="6" t="str">
        <f>"杨舒花"</f>
        <v>杨舒花</v>
      </c>
      <c r="F2742" s="6" t="str">
        <f>"女"</f>
        <v>女</v>
      </c>
    </row>
    <row r="2743" spans="1:6" ht="30" customHeight="1">
      <c r="A2743" s="6">
        <v>2741</v>
      </c>
      <c r="B2743" s="6" t="str">
        <f>"53002023053015253998435"</f>
        <v>53002023053015253998435</v>
      </c>
      <c r="C2743" s="6" t="str">
        <f t="shared" si="180"/>
        <v>0209</v>
      </c>
      <c r="D2743" s="6" t="s">
        <v>29</v>
      </c>
      <c r="E2743" s="6" t="str">
        <f>"黎秀珍"</f>
        <v>黎秀珍</v>
      </c>
      <c r="F2743" s="6" t="str">
        <f>"女"</f>
        <v>女</v>
      </c>
    </row>
    <row r="2744" spans="1:6" ht="30" customHeight="1">
      <c r="A2744" s="6">
        <v>2742</v>
      </c>
      <c r="B2744" s="6" t="str">
        <f>"530020230530203154100054"</f>
        <v>530020230530203154100054</v>
      </c>
      <c r="C2744" s="6" t="str">
        <f t="shared" si="180"/>
        <v>0209</v>
      </c>
      <c r="D2744" s="6" t="s">
        <v>29</v>
      </c>
      <c r="E2744" s="6" t="str">
        <f>"刘妹"</f>
        <v>刘妹</v>
      </c>
      <c r="F2744" s="6" t="str">
        <f>"女"</f>
        <v>女</v>
      </c>
    </row>
    <row r="2745" spans="1:6" ht="30" customHeight="1">
      <c r="A2745" s="6">
        <v>2743</v>
      </c>
      <c r="B2745" s="6" t="str">
        <f>"53002023053011102897046"</f>
        <v>53002023053011102897046</v>
      </c>
      <c r="C2745" s="6" t="str">
        <f t="shared" si="180"/>
        <v>0209</v>
      </c>
      <c r="D2745" s="6" t="s">
        <v>29</v>
      </c>
      <c r="E2745" s="6" t="str">
        <f>"冯迪"</f>
        <v>冯迪</v>
      </c>
      <c r="F2745" s="6" t="str">
        <f>"女"</f>
        <v>女</v>
      </c>
    </row>
    <row r="2746" spans="1:6" ht="30" customHeight="1">
      <c r="A2746" s="6">
        <v>2744</v>
      </c>
      <c r="B2746" s="6" t="str">
        <f>"53002023052920405194615"</f>
        <v>53002023052920405194615</v>
      </c>
      <c r="C2746" s="6" t="str">
        <f t="shared" si="180"/>
        <v>0209</v>
      </c>
      <c r="D2746" s="6" t="s">
        <v>29</v>
      </c>
      <c r="E2746" s="6" t="str">
        <f>"吴清存"</f>
        <v>吴清存</v>
      </c>
      <c r="F2746" s="6" t="str">
        <f>"男"</f>
        <v>男</v>
      </c>
    </row>
    <row r="2747" spans="1:6" ht="30" customHeight="1">
      <c r="A2747" s="6">
        <v>2745</v>
      </c>
      <c r="B2747" s="6" t="str">
        <f>"53002023052922490595346"</f>
        <v>53002023052922490595346</v>
      </c>
      <c r="C2747" s="6" t="str">
        <f t="shared" si="180"/>
        <v>0209</v>
      </c>
      <c r="D2747" s="6" t="s">
        <v>29</v>
      </c>
      <c r="E2747" s="6" t="str">
        <f>"王朝"</f>
        <v>王朝</v>
      </c>
      <c r="F2747" s="6" t="str">
        <f>"男"</f>
        <v>男</v>
      </c>
    </row>
    <row r="2748" spans="1:6" ht="30" customHeight="1">
      <c r="A2748" s="6">
        <v>2746</v>
      </c>
      <c r="B2748" s="6" t="str">
        <f>"530020230530213953100354"</f>
        <v>530020230530213953100354</v>
      </c>
      <c r="C2748" s="6" t="str">
        <f t="shared" si="180"/>
        <v>0209</v>
      </c>
      <c r="D2748" s="6" t="s">
        <v>29</v>
      </c>
      <c r="E2748" s="6" t="str">
        <f>"叶珍云"</f>
        <v>叶珍云</v>
      </c>
      <c r="F2748" s="6" t="str">
        <f>"女"</f>
        <v>女</v>
      </c>
    </row>
    <row r="2749" spans="1:6" ht="30" customHeight="1">
      <c r="A2749" s="6">
        <v>2747</v>
      </c>
      <c r="B2749" s="6" t="str">
        <f>"530020230530230445100777"</f>
        <v>530020230530230445100777</v>
      </c>
      <c r="C2749" s="6" t="str">
        <f t="shared" si="180"/>
        <v>0209</v>
      </c>
      <c r="D2749" s="6" t="s">
        <v>29</v>
      </c>
      <c r="E2749" s="6" t="str">
        <f>"麦小琴"</f>
        <v>麦小琴</v>
      </c>
      <c r="F2749" s="6" t="str">
        <f>"女"</f>
        <v>女</v>
      </c>
    </row>
    <row r="2750" spans="1:6" ht="30" customHeight="1">
      <c r="A2750" s="6">
        <v>2748</v>
      </c>
      <c r="B2750" s="6" t="str">
        <f>"530020230531002700100981"</f>
        <v>530020230531002700100981</v>
      </c>
      <c r="C2750" s="6" t="str">
        <f aca="true" t="shared" si="184" ref="C2750:C2799">"0209"</f>
        <v>0209</v>
      </c>
      <c r="D2750" s="6" t="s">
        <v>29</v>
      </c>
      <c r="E2750" s="6" t="str">
        <f>"黄小钊"</f>
        <v>黄小钊</v>
      </c>
      <c r="F2750" s="6" t="str">
        <f>"女"</f>
        <v>女</v>
      </c>
    </row>
    <row r="2751" spans="1:6" ht="30" customHeight="1">
      <c r="A2751" s="6">
        <v>2749</v>
      </c>
      <c r="B2751" s="6" t="str">
        <f>"53002023052909095889854"</f>
        <v>53002023052909095889854</v>
      </c>
      <c r="C2751" s="6" t="str">
        <f t="shared" si="184"/>
        <v>0209</v>
      </c>
      <c r="D2751" s="6" t="s">
        <v>29</v>
      </c>
      <c r="E2751" s="6" t="str">
        <f>"陈雪"</f>
        <v>陈雪</v>
      </c>
      <c r="F2751" s="6" t="str">
        <f>"女"</f>
        <v>女</v>
      </c>
    </row>
    <row r="2752" spans="1:6" ht="30" customHeight="1">
      <c r="A2752" s="6">
        <v>2750</v>
      </c>
      <c r="B2752" s="6" t="str">
        <f>"530020230531091641101445"</f>
        <v>530020230531091641101445</v>
      </c>
      <c r="C2752" s="6" t="str">
        <f t="shared" si="184"/>
        <v>0209</v>
      </c>
      <c r="D2752" s="6" t="s">
        <v>29</v>
      </c>
      <c r="E2752" s="6" t="str">
        <f>"王乃威"</f>
        <v>王乃威</v>
      </c>
      <c r="F2752" s="6" t="str">
        <f>"男"</f>
        <v>男</v>
      </c>
    </row>
    <row r="2753" spans="1:6" ht="30" customHeight="1">
      <c r="A2753" s="6">
        <v>2751</v>
      </c>
      <c r="B2753" s="6" t="str">
        <f>"53002023052821011188790"</f>
        <v>53002023052821011188790</v>
      </c>
      <c r="C2753" s="6" t="str">
        <f t="shared" si="184"/>
        <v>0209</v>
      </c>
      <c r="D2753" s="6" t="s">
        <v>29</v>
      </c>
      <c r="E2753" s="6" t="str">
        <f>"林曼曼"</f>
        <v>林曼曼</v>
      </c>
      <c r="F2753" s="6" t="str">
        <f>"女"</f>
        <v>女</v>
      </c>
    </row>
    <row r="2754" spans="1:6" ht="30" customHeight="1">
      <c r="A2754" s="6">
        <v>2752</v>
      </c>
      <c r="B2754" s="6" t="str">
        <f>"530020230531093430101568"</f>
        <v>530020230531093430101568</v>
      </c>
      <c r="C2754" s="6" t="str">
        <f t="shared" si="184"/>
        <v>0209</v>
      </c>
      <c r="D2754" s="6" t="s">
        <v>29</v>
      </c>
      <c r="E2754" s="6" t="str">
        <f>"洪雅"</f>
        <v>洪雅</v>
      </c>
      <c r="F2754" s="6" t="str">
        <f>"女"</f>
        <v>女</v>
      </c>
    </row>
    <row r="2755" spans="1:6" ht="30" customHeight="1">
      <c r="A2755" s="6">
        <v>2753</v>
      </c>
      <c r="B2755" s="6" t="str">
        <f>"530020230531093620101588"</f>
        <v>530020230531093620101588</v>
      </c>
      <c r="C2755" s="6" t="str">
        <f t="shared" si="184"/>
        <v>0209</v>
      </c>
      <c r="D2755" s="6" t="s">
        <v>29</v>
      </c>
      <c r="E2755" s="6" t="str">
        <f>"邢潇斤"</f>
        <v>邢潇斤</v>
      </c>
      <c r="F2755" s="6" t="str">
        <f>"女"</f>
        <v>女</v>
      </c>
    </row>
    <row r="2756" spans="1:6" ht="30" customHeight="1">
      <c r="A2756" s="6">
        <v>2754</v>
      </c>
      <c r="B2756" s="6" t="str">
        <f>"53002023053011401397278"</f>
        <v>53002023053011401397278</v>
      </c>
      <c r="C2756" s="6" t="str">
        <f t="shared" si="184"/>
        <v>0209</v>
      </c>
      <c r="D2756" s="6" t="s">
        <v>29</v>
      </c>
      <c r="E2756" s="6" t="str">
        <f>"吴宏宇"</f>
        <v>吴宏宇</v>
      </c>
      <c r="F2756" s="6" t="str">
        <f>"男"</f>
        <v>男</v>
      </c>
    </row>
    <row r="2757" spans="1:6" ht="30" customHeight="1">
      <c r="A2757" s="6">
        <v>2755</v>
      </c>
      <c r="B2757" s="6" t="str">
        <f>"530020230531102631101958"</f>
        <v>530020230531102631101958</v>
      </c>
      <c r="C2757" s="6" t="str">
        <f t="shared" si="184"/>
        <v>0209</v>
      </c>
      <c r="D2757" s="6" t="s">
        <v>29</v>
      </c>
      <c r="E2757" s="6" t="str">
        <f>"王鼎日"</f>
        <v>王鼎日</v>
      </c>
      <c r="F2757" s="6" t="str">
        <f>"女"</f>
        <v>女</v>
      </c>
    </row>
    <row r="2758" spans="1:6" ht="30" customHeight="1">
      <c r="A2758" s="6">
        <v>2756</v>
      </c>
      <c r="B2758" s="6" t="str">
        <f>"530020230531091805101456"</f>
        <v>530020230531091805101456</v>
      </c>
      <c r="C2758" s="6" t="str">
        <f t="shared" si="184"/>
        <v>0209</v>
      </c>
      <c r="D2758" s="6" t="s">
        <v>29</v>
      </c>
      <c r="E2758" s="6" t="str">
        <f>"张振伟"</f>
        <v>张振伟</v>
      </c>
      <c r="F2758" s="6" t="str">
        <f>"男"</f>
        <v>男</v>
      </c>
    </row>
    <row r="2759" spans="1:6" ht="30" customHeight="1">
      <c r="A2759" s="6">
        <v>2757</v>
      </c>
      <c r="B2759" s="6" t="str">
        <f>"530020230531142753103081"</f>
        <v>530020230531142753103081</v>
      </c>
      <c r="C2759" s="6" t="str">
        <f t="shared" si="184"/>
        <v>0209</v>
      </c>
      <c r="D2759" s="6" t="s">
        <v>29</v>
      </c>
      <c r="E2759" s="6" t="str">
        <f>"符莲俐"</f>
        <v>符莲俐</v>
      </c>
      <c r="F2759" s="6" t="str">
        <f>"女"</f>
        <v>女</v>
      </c>
    </row>
    <row r="2760" spans="1:6" ht="30" customHeight="1">
      <c r="A2760" s="6">
        <v>2758</v>
      </c>
      <c r="B2760" s="6" t="str">
        <f>"530020230531154759103440"</f>
        <v>530020230531154759103440</v>
      </c>
      <c r="C2760" s="6" t="str">
        <f t="shared" si="184"/>
        <v>0209</v>
      </c>
      <c r="D2760" s="6" t="s">
        <v>29</v>
      </c>
      <c r="E2760" s="6" t="str">
        <f>"刘晓霜"</f>
        <v>刘晓霜</v>
      </c>
      <c r="F2760" s="6" t="str">
        <f>"女"</f>
        <v>女</v>
      </c>
    </row>
    <row r="2761" spans="1:6" ht="30" customHeight="1">
      <c r="A2761" s="6">
        <v>2759</v>
      </c>
      <c r="B2761" s="6" t="str">
        <f>"530020230531160926103548"</f>
        <v>530020230531160926103548</v>
      </c>
      <c r="C2761" s="6" t="str">
        <f t="shared" si="184"/>
        <v>0209</v>
      </c>
      <c r="D2761" s="6" t="s">
        <v>29</v>
      </c>
      <c r="E2761" s="6" t="str">
        <f>"林英"</f>
        <v>林英</v>
      </c>
      <c r="F2761" s="6" t="str">
        <f>"女"</f>
        <v>女</v>
      </c>
    </row>
    <row r="2762" spans="1:6" ht="30" customHeight="1">
      <c r="A2762" s="6">
        <v>2760</v>
      </c>
      <c r="B2762" s="6" t="str">
        <f>"530020230531170952103856"</f>
        <v>530020230531170952103856</v>
      </c>
      <c r="C2762" s="6" t="str">
        <f t="shared" si="184"/>
        <v>0209</v>
      </c>
      <c r="D2762" s="6" t="s">
        <v>29</v>
      </c>
      <c r="E2762" s="6" t="str">
        <f>"唐万霞"</f>
        <v>唐万霞</v>
      </c>
      <c r="F2762" s="6" t="str">
        <f>"女"</f>
        <v>女</v>
      </c>
    </row>
    <row r="2763" spans="1:6" ht="30" customHeight="1">
      <c r="A2763" s="6">
        <v>2761</v>
      </c>
      <c r="B2763" s="6" t="str">
        <f>"53002023053020103699931"</f>
        <v>53002023053020103699931</v>
      </c>
      <c r="C2763" s="6" t="str">
        <f t="shared" si="184"/>
        <v>0209</v>
      </c>
      <c r="D2763" s="6" t="s">
        <v>29</v>
      </c>
      <c r="E2763" s="6" t="str">
        <f>"符传林"</f>
        <v>符传林</v>
      </c>
      <c r="F2763" s="6" t="str">
        <f>"男"</f>
        <v>男</v>
      </c>
    </row>
    <row r="2764" spans="1:6" ht="30" customHeight="1">
      <c r="A2764" s="6">
        <v>2762</v>
      </c>
      <c r="B2764" s="6" t="str">
        <f>"530020230531164846103756"</f>
        <v>530020230531164846103756</v>
      </c>
      <c r="C2764" s="6" t="str">
        <f t="shared" si="184"/>
        <v>0209</v>
      </c>
      <c r="D2764" s="6" t="s">
        <v>29</v>
      </c>
      <c r="E2764" s="6" t="str">
        <f>"李智明"</f>
        <v>李智明</v>
      </c>
      <c r="F2764" s="6" t="str">
        <f>"男"</f>
        <v>男</v>
      </c>
    </row>
    <row r="2765" spans="1:6" ht="30" customHeight="1">
      <c r="A2765" s="6">
        <v>2763</v>
      </c>
      <c r="B2765" s="6" t="str">
        <f>"530020230531184549104170"</f>
        <v>530020230531184549104170</v>
      </c>
      <c r="C2765" s="6" t="str">
        <f t="shared" si="184"/>
        <v>0209</v>
      </c>
      <c r="D2765" s="6" t="s">
        <v>29</v>
      </c>
      <c r="E2765" s="6" t="str">
        <f>"王金丹"</f>
        <v>王金丹</v>
      </c>
      <c r="F2765" s="6" t="str">
        <f aca="true" t="shared" si="185" ref="F2765:F2770">"女"</f>
        <v>女</v>
      </c>
    </row>
    <row r="2766" spans="1:6" ht="30" customHeight="1">
      <c r="A2766" s="6">
        <v>2764</v>
      </c>
      <c r="B2766" s="6" t="str">
        <f>"530020230531212921104671"</f>
        <v>530020230531212921104671</v>
      </c>
      <c r="C2766" s="6" t="str">
        <f t="shared" si="184"/>
        <v>0209</v>
      </c>
      <c r="D2766" s="6" t="s">
        <v>29</v>
      </c>
      <c r="E2766" s="6" t="str">
        <f>"蒲月丽"</f>
        <v>蒲月丽</v>
      </c>
      <c r="F2766" s="6" t="str">
        <f t="shared" si="185"/>
        <v>女</v>
      </c>
    </row>
    <row r="2767" spans="1:6" ht="30" customHeight="1">
      <c r="A2767" s="6">
        <v>2765</v>
      </c>
      <c r="B2767" s="6" t="str">
        <f>"530020230531001000100957"</f>
        <v>530020230531001000100957</v>
      </c>
      <c r="C2767" s="6" t="str">
        <f t="shared" si="184"/>
        <v>0209</v>
      </c>
      <c r="D2767" s="6" t="s">
        <v>29</v>
      </c>
      <c r="E2767" s="6" t="str">
        <f>"陈小钰"</f>
        <v>陈小钰</v>
      </c>
      <c r="F2767" s="6" t="str">
        <f t="shared" si="185"/>
        <v>女</v>
      </c>
    </row>
    <row r="2768" spans="1:6" ht="30" customHeight="1">
      <c r="A2768" s="6">
        <v>2766</v>
      </c>
      <c r="B2768" s="6" t="str">
        <f>"530020230531103850102035"</f>
        <v>530020230531103850102035</v>
      </c>
      <c r="C2768" s="6" t="str">
        <f t="shared" si="184"/>
        <v>0209</v>
      </c>
      <c r="D2768" s="6" t="s">
        <v>29</v>
      </c>
      <c r="E2768" s="6" t="str">
        <f>"李玟"</f>
        <v>李玟</v>
      </c>
      <c r="F2768" s="6" t="str">
        <f t="shared" si="185"/>
        <v>女</v>
      </c>
    </row>
    <row r="2769" spans="1:6" ht="30" customHeight="1">
      <c r="A2769" s="6">
        <v>2767</v>
      </c>
      <c r="B2769" s="6" t="str">
        <f>"530020230601080459105244"</f>
        <v>530020230601080459105244</v>
      </c>
      <c r="C2769" s="6" t="str">
        <f t="shared" si="184"/>
        <v>0209</v>
      </c>
      <c r="D2769" s="6" t="s">
        <v>29</v>
      </c>
      <c r="E2769" s="6" t="str">
        <f>"吴晶"</f>
        <v>吴晶</v>
      </c>
      <c r="F2769" s="6" t="str">
        <f t="shared" si="185"/>
        <v>女</v>
      </c>
    </row>
    <row r="2770" spans="1:6" ht="30" customHeight="1">
      <c r="A2770" s="6">
        <v>2768</v>
      </c>
      <c r="B2770" s="6" t="str">
        <f>"530020230601082420105285"</f>
        <v>530020230601082420105285</v>
      </c>
      <c r="C2770" s="6" t="str">
        <f t="shared" si="184"/>
        <v>0209</v>
      </c>
      <c r="D2770" s="6" t="s">
        <v>29</v>
      </c>
      <c r="E2770" s="6" t="str">
        <f>"林小夏"</f>
        <v>林小夏</v>
      </c>
      <c r="F2770" s="6" t="str">
        <f t="shared" si="185"/>
        <v>女</v>
      </c>
    </row>
    <row r="2771" spans="1:6" ht="30" customHeight="1">
      <c r="A2771" s="6">
        <v>2769</v>
      </c>
      <c r="B2771" s="6" t="str">
        <f>"530020230601084215105331"</f>
        <v>530020230601084215105331</v>
      </c>
      <c r="C2771" s="6" t="str">
        <f t="shared" si="184"/>
        <v>0209</v>
      </c>
      <c r="D2771" s="6" t="s">
        <v>29</v>
      </c>
      <c r="E2771" s="6" t="str">
        <f>"李博蕃"</f>
        <v>李博蕃</v>
      </c>
      <c r="F2771" s="6" t="str">
        <f>"男"</f>
        <v>男</v>
      </c>
    </row>
    <row r="2772" spans="1:6" ht="30" customHeight="1">
      <c r="A2772" s="6">
        <v>2770</v>
      </c>
      <c r="B2772" s="6" t="str">
        <f>"530020230601101025105913"</f>
        <v>530020230601101025105913</v>
      </c>
      <c r="C2772" s="6" t="str">
        <f t="shared" si="184"/>
        <v>0209</v>
      </c>
      <c r="D2772" s="6" t="s">
        <v>29</v>
      </c>
      <c r="E2772" s="6" t="str">
        <f>"林敏敏"</f>
        <v>林敏敏</v>
      </c>
      <c r="F2772" s="6" t="str">
        <f aca="true" t="shared" si="186" ref="F2772:F2780">"女"</f>
        <v>女</v>
      </c>
    </row>
    <row r="2773" spans="1:6" ht="30" customHeight="1">
      <c r="A2773" s="6">
        <v>2771</v>
      </c>
      <c r="B2773" s="6" t="str">
        <f>"530020230601122246106667"</f>
        <v>530020230601122246106667</v>
      </c>
      <c r="C2773" s="6" t="str">
        <f t="shared" si="184"/>
        <v>0209</v>
      </c>
      <c r="D2773" s="6" t="s">
        <v>29</v>
      </c>
      <c r="E2773" s="6" t="str">
        <f>"郭红杏"</f>
        <v>郭红杏</v>
      </c>
      <c r="F2773" s="6" t="str">
        <f t="shared" si="186"/>
        <v>女</v>
      </c>
    </row>
    <row r="2774" spans="1:6" ht="30" customHeight="1">
      <c r="A2774" s="6">
        <v>2772</v>
      </c>
      <c r="B2774" s="6" t="str">
        <f>"530020230601131908106887"</f>
        <v>530020230601131908106887</v>
      </c>
      <c r="C2774" s="6" t="str">
        <f t="shared" si="184"/>
        <v>0209</v>
      </c>
      <c r="D2774" s="6" t="s">
        <v>29</v>
      </c>
      <c r="E2774" s="6" t="str">
        <f>"罗文雅"</f>
        <v>罗文雅</v>
      </c>
      <c r="F2774" s="6" t="str">
        <f t="shared" si="186"/>
        <v>女</v>
      </c>
    </row>
    <row r="2775" spans="1:6" ht="30" customHeight="1">
      <c r="A2775" s="6">
        <v>2773</v>
      </c>
      <c r="B2775" s="6" t="str">
        <f>"530020230601115808106554"</f>
        <v>530020230601115808106554</v>
      </c>
      <c r="C2775" s="6" t="str">
        <f t="shared" si="184"/>
        <v>0209</v>
      </c>
      <c r="D2775" s="6" t="s">
        <v>29</v>
      </c>
      <c r="E2775" s="6" t="str">
        <f>"张芳菊"</f>
        <v>张芳菊</v>
      </c>
      <c r="F2775" s="6" t="str">
        <f t="shared" si="186"/>
        <v>女</v>
      </c>
    </row>
    <row r="2776" spans="1:6" ht="30" customHeight="1">
      <c r="A2776" s="6">
        <v>2774</v>
      </c>
      <c r="B2776" s="6" t="str">
        <f>"530020230601151259107303"</f>
        <v>530020230601151259107303</v>
      </c>
      <c r="C2776" s="6" t="str">
        <f t="shared" si="184"/>
        <v>0209</v>
      </c>
      <c r="D2776" s="6" t="s">
        <v>29</v>
      </c>
      <c r="E2776" s="6" t="str">
        <f>"邢惠清"</f>
        <v>邢惠清</v>
      </c>
      <c r="F2776" s="6" t="str">
        <f t="shared" si="186"/>
        <v>女</v>
      </c>
    </row>
    <row r="2777" spans="1:6" ht="30" customHeight="1">
      <c r="A2777" s="6">
        <v>2775</v>
      </c>
      <c r="B2777" s="6" t="str">
        <f>"530020230601153330107392"</f>
        <v>530020230601153330107392</v>
      </c>
      <c r="C2777" s="6" t="str">
        <f t="shared" si="184"/>
        <v>0209</v>
      </c>
      <c r="D2777" s="6" t="s">
        <v>29</v>
      </c>
      <c r="E2777" s="6" t="str">
        <f>"吴小芬"</f>
        <v>吴小芬</v>
      </c>
      <c r="F2777" s="6" t="str">
        <f t="shared" si="186"/>
        <v>女</v>
      </c>
    </row>
    <row r="2778" spans="1:6" ht="30" customHeight="1">
      <c r="A2778" s="6">
        <v>2776</v>
      </c>
      <c r="B2778" s="6" t="str">
        <f>"530020230601162055107611"</f>
        <v>530020230601162055107611</v>
      </c>
      <c r="C2778" s="6" t="str">
        <f t="shared" si="184"/>
        <v>0209</v>
      </c>
      <c r="D2778" s="6" t="s">
        <v>29</v>
      </c>
      <c r="E2778" s="6" t="str">
        <f>"袁萍"</f>
        <v>袁萍</v>
      </c>
      <c r="F2778" s="6" t="str">
        <f t="shared" si="186"/>
        <v>女</v>
      </c>
    </row>
    <row r="2779" spans="1:6" ht="30" customHeight="1">
      <c r="A2779" s="6">
        <v>2777</v>
      </c>
      <c r="B2779" s="6" t="str">
        <f>"530020230601165344107759"</f>
        <v>530020230601165344107759</v>
      </c>
      <c r="C2779" s="6" t="str">
        <f t="shared" si="184"/>
        <v>0209</v>
      </c>
      <c r="D2779" s="6" t="s">
        <v>29</v>
      </c>
      <c r="E2779" s="6" t="str">
        <f>"董英怀"</f>
        <v>董英怀</v>
      </c>
      <c r="F2779" s="6" t="str">
        <f t="shared" si="186"/>
        <v>女</v>
      </c>
    </row>
    <row r="2780" spans="1:6" ht="30" customHeight="1">
      <c r="A2780" s="6">
        <v>2778</v>
      </c>
      <c r="B2780" s="6" t="str">
        <f>"530020230531130018102795"</f>
        <v>530020230531130018102795</v>
      </c>
      <c r="C2780" s="6" t="str">
        <f t="shared" si="184"/>
        <v>0209</v>
      </c>
      <c r="D2780" s="6" t="s">
        <v>29</v>
      </c>
      <c r="E2780" s="6" t="str">
        <f>"谢青彤"</f>
        <v>谢青彤</v>
      </c>
      <c r="F2780" s="6" t="str">
        <f t="shared" si="186"/>
        <v>女</v>
      </c>
    </row>
    <row r="2781" spans="1:6" ht="30" customHeight="1">
      <c r="A2781" s="6">
        <v>2779</v>
      </c>
      <c r="B2781" s="6" t="str">
        <f>"53002023053019401499789"</f>
        <v>53002023053019401499789</v>
      </c>
      <c r="C2781" s="6" t="str">
        <f t="shared" si="184"/>
        <v>0209</v>
      </c>
      <c r="D2781" s="6" t="s">
        <v>29</v>
      </c>
      <c r="E2781" s="6" t="str">
        <f>"吴根万"</f>
        <v>吴根万</v>
      </c>
      <c r="F2781" s="6" t="str">
        <f>"男"</f>
        <v>男</v>
      </c>
    </row>
    <row r="2782" spans="1:6" ht="30" customHeight="1">
      <c r="A2782" s="6">
        <v>2780</v>
      </c>
      <c r="B2782" s="6" t="str">
        <f>"530020230601120047106566"</f>
        <v>530020230601120047106566</v>
      </c>
      <c r="C2782" s="6" t="str">
        <f t="shared" si="184"/>
        <v>0209</v>
      </c>
      <c r="D2782" s="6" t="s">
        <v>29</v>
      </c>
      <c r="E2782" s="6" t="str">
        <f>"林丽丹"</f>
        <v>林丽丹</v>
      </c>
      <c r="F2782" s="6" t="str">
        <f aca="true" t="shared" si="187" ref="F2782:F2791">"女"</f>
        <v>女</v>
      </c>
    </row>
    <row r="2783" spans="1:6" ht="30" customHeight="1">
      <c r="A2783" s="6">
        <v>2781</v>
      </c>
      <c r="B2783" s="6" t="str">
        <f>"530020230601200106108343"</f>
        <v>530020230601200106108343</v>
      </c>
      <c r="C2783" s="6" t="str">
        <f t="shared" si="184"/>
        <v>0209</v>
      </c>
      <c r="D2783" s="6" t="s">
        <v>29</v>
      </c>
      <c r="E2783" s="6" t="str">
        <f>"李玉妹"</f>
        <v>李玉妹</v>
      </c>
      <c r="F2783" s="6" t="str">
        <f t="shared" si="187"/>
        <v>女</v>
      </c>
    </row>
    <row r="2784" spans="1:6" ht="30" customHeight="1">
      <c r="A2784" s="6">
        <v>2782</v>
      </c>
      <c r="B2784" s="6" t="str">
        <f>"530020230601203748108458"</f>
        <v>530020230601203748108458</v>
      </c>
      <c r="C2784" s="6" t="str">
        <f t="shared" si="184"/>
        <v>0209</v>
      </c>
      <c r="D2784" s="6" t="s">
        <v>29</v>
      </c>
      <c r="E2784" s="6" t="str">
        <f>"王梅"</f>
        <v>王梅</v>
      </c>
      <c r="F2784" s="6" t="str">
        <f t="shared" si="187"/>
        <v>女</v>
      </c>
    </row>
    <row r="2785" spans="1:6" ht="30" customHeight="1">
      <c r="A2785" s="6">
        <v>2783</v>
      </c>
      <c r="B2785" s="6" t="str">
        <f>"530020230601203107108437"</f>
        <v>530020230601203107108437</v>
      </c>
      <c r="C2785" s="6" t="str">
        <f t="shared" si="184"/>
        <v>0209</v>
      </c>
      <c r="D2785" s="6" t="s">
        <v>29</v>
      </c>
      <c r="E2785" s="6" t="str">
        <f>"蔡飘飘"</f>
        <v>蔡飘飘</v>
      </c>
      <c r="F2785" s="6" t="str">
        <f t="shared" si="187"/>
        <v>女</v>
      </c>
    </row>
    <row r="2786" spans="1:6" ht="30" customHeight="1">
      <c r="A2786" s="6">
        <v>2784</v>
      </c>
      <c r="B2786" s="6" t="str">
        <f>"530020230601155422107497"</f>
        <v>530020230601155422107497</v>
      </c>
      <c r="C2786" s="6" t="str">
        <f t="shared" si="184"/>
        <v>0209</v>
      </c>
      <c r="D2786" s="6" t="s">
        <v>29</v>
      </c>
      <c r="E2786" s="6" t="str">
        <f>"陈秀珠"</f>
        <v>陈秀珠</v>
      </c>
      <c r="F2786" s="6" t="str">
        <f t="shared" si="187"/>
        <v>女</v>
      </c>
    </row>
    <row r="2787" spans="1:6" ht="30" customHeight="1">
      <c r="A2787" s="6">
        <v>2785</v>
      </c>
      <c r="B2787" s="6" t="str">
        <f>"530020230601212613108619"</f>
        <v>530020230601212613108619</v>
      </c>
      <c r="C2787" s="6" t="str">
        <f t="shared" si="184"/>
        <v>0209</v>
      </c>
      <c r="D2787" s="6" t="s">
        <v>29</v>
      </c>
      <c r="E2787" s="6" t="str">
        <f>"黄柳"</f>
        <v>黄柳</v>
      </c>
      <c r="F2787" s="6" t="str">
        <f t="shared" si="187"/>
        <v>女</v>
      </c>
    </row>
    <row r="2788" spans="1:6" ht="30" customHeight="1">
      <c r="A2788" s="6">
        <v>2786</v>
      </c>
      <c r="B2788" s="6" t="str">
        <f>"530020230601001321105107"</f>
        <v>530020230601001321105107</v>
      </c>
      <c r="C2788" s="6" t="str">
        <f t="shared" si="184"/>
        <v>0209</v>
      </c>
      <c r="D2788" s="6" t="s">
        <v>29</v>
      </c>
      <c r="E2788" s="6" t="str">
        <f>"韦云娟"</f>
        <v>韦云娟</v>
      </c>
      <c r="F2788" s="6" t="str">
        <f t="shared" si="187"/>
        <v>女</v>
      </c>
    </row>
    <row r="2789" spans="1:6" ht="30" customHeight="1">
      <c r="A2789" s="6">
        <v>2787</v>
      </c>
      <c r="B2789" s="6" t="str">
        <f>"530020230601231727109041"</f>
        <v>530020230601231727109041</v>
      </c>
      <c r="C2789" s="6" t="str">
        <f t="shared" si="184"/>
        <v>0209</v>
      </c>
      <c r="D2789" s="6" t="s">
        <v>29</v>
      </c>
      <c r="E2789" s="6" t="str">
        <f>"唐燕萍"</f>
        <v>唐燕萍</v>
      </c>
      <c r="F2789" s="6" t="str">
        <f t="shared" si="187"/>
        <v>女</v>
      </c>
    </row>
    <row r="2790" spans="1:6" ht="30" customHeight="1">
      <c r="A2790" s="6">
        <v>2788</v>
      </c>
      <c r="B2790" s="6" t="str">
        <f>"530020230601233204109073"</f>
        <v>530020230601233204109073</v>
      </c>
      <c r="C2790" s="6" t="str">
        <f t="shared" si="184"/>
        <v>0209</v>
      </c>
      <c r="D2790" s="6" t="s">
        <v>29</v>
      </c>
      <c r="E2790" s="6" t="str">
        <f>"苏媛"</f>
        <v>苏媛</v>
      </c>
      <c r="F2790" s="6" t="str">
        <f t="shared" si="187"/>
        <v>女</v>
      </c>
    </row>
    <row r="2791" spans="1:6" ht="30" customHeight="1">
      <c r="A2791" s="6">
        <v>2789</v>
      </c>
      <c r="B2791" s="6" t="str">
        <f>"53002023053015500398613"</f>
        <v>53002023053015500398613</v>
      </c>
      <c r="C2791" s="6" t="str">
        <f t="shared" si="184"/>
        <v>0209</v>
      </c>
      <c r="D2791" s="6" t="s">
        <v>29</v>
      </c>
      <c r="E2791" s="6" t="str">
        <f>"吴海红"</f>
        <v>吴海红</v>
      </c>
      <c r="F2791" s="6" t="str">
        <f t="shared" si="187"/>
        <v>女</v>
      </c>
    </row>
    <row r="2792" spans="1:6" ht="30" customHeight="1">
      <c r="A2792" s="6">
        <v>2790</v>
      </c>
      <c r="B2792" s="6" t="str">
        <f>"530020230531152801103336"</f>
        <v>530020230531152801103336</v>
      </c>
      <c r="C2792" s="6" t="str">
        <f t="shared" si="184"/>
        <v>0209</v>
      </c>
      <c r="D2792" s="6" t="s">
        <v>29</v>
      </c>
      <c r="E2792" s="6" t="str">
        <f>"符庸富"</f>
        <v>符庸富</v>
      </c>
      <c r="F2792" s="6" t="str">
        <f>"男"</f>
        <v>男</v>
      </c>
    </row>
    <row r="2793" spans="1:6" ht="30" customHeight="1">
      <c r="A2793" s="6">
        <v>2791</v>
      </c>
      <c r="B2793" s="6" t="str">
        <f>"530020230602093025109576"</f>
        <v>530020230602093025109576</v>
      </c>
      <c r="C2793" s="6" t="str">
        <f t="shared" si="184"/>
        <v>0209</v>
      </c>
      <c r="D2793" s="6" t="s">
        <v>29</v>
      </c>
      <c r="E2793" s="6" t="str">
        <f>"李欣"</f>
        <v>李欣</v>
      </c>
      <c r="F2793" s="6" t="str">
        <f aca="true" t="shared" si="188" ref="F2793:F2799">"女"</f>
        <v>女</v>
      </c>
    </row>
    <row r="2794" spans="1:6" ht="30" customHeight="1">
      <c r="A2794" s="6">
        <v>2792</v>
      </c>
      <c r="B2794" s="6" t="str">
        <f>"530020230602083141109370"</f>
        <v>530020230602083141109370</v>
      </c>
      <c r="C2794" s="6" t="str">
        <f t="shared" si="184"/>
        <v>0209</v>
      </c>
      <c r="D2794" s="6" t="s">
        <v>29</v>
      </c>
      <c r="E2794" s="6" t="str">
        <f>"曾妹玲"</f>
        <v>曾妹玲</v>
      </c>
      <c r="F2794" s="6" t="str">
        <f t="shared" si="188"/>
        <v>女</v>
      </c>
    </row>
    <row r="2795" spans="1:6" ht="30" customHeight="1">
      <c r="A2795" s="6">
        <v>2793</v>
      </c>
      <c r="B2795" s="6" t="str">
        <f>"530020230601125236106795"</f>
        <v>530020230601125236106795</v>
      </c>
      <c r="C2795" s="6" t="str">
        <f t="shared" si="184"/>
        <v>0209</v>
      </c>
      <c r="D2795" s="6" t="s">
        <v>29</v>
      </c>
      <c r="E2795" s="6" t="str">
        <f>"覃钰童"</f>
        <v>覃钰童</v>
      </c>
      <c r="F2795" s="6" t="str">
        <f t="shared" si="188"/>
        <v>女</v>
      </c>
    </row>
    <row r="2796" spans="1:6" ht="30" customHeight="1">
      <c r="A2796" s="6">
        <v>2794</v>
      </c>
      <c r="B2796" s="6" t="str">
        <f>"530020230602111103110026"</f>
        <v>530020230602111103110026</v>
      </c>
      <c r="C2796" s="6" t="str">
        <f t="shared" si="184"/>
        <v>0209</v>
      </c>
      <c r="D2796" s="6" t="s">
        <v>29</v>
      </c>
      <c r="E2796" s="6" t="str">
        <f>"罗彩玲"</f>
        <v>罗彩玲</v>
      </c>
      <c r="F2796" s="6" t="str">
        <f t="shared" si="188"/>
        <v>女</v>
      </c>
    </row>
    <row r="2797" spans="1:6" ht="30" customHeight="1">
      <c r="A2797" s="6">
        <v>2795</v>
      </c>
      <c r="B2797" s="6" t="str">
        <f>"530020230601074626105219"</f>
        <v>530020230601074626105219</v>
      </c>
      <c r="C2797" s="6" t="str">
        <f t="shared" si="184"/>
        <v>0209</v>
      </c>
      <c r="D2797" s="6" t="s">
        <v>29</v>
      </c>
      <c r="E2797" s="6" t="str">
        <f>"杜红丹"</f>
        <v>杜红丹</v>
      </c>
      <c r="F2797" s="6" t="str">
        <f t="shared" si="188"/>
        <v>女</v>
      </c>
    </row>
    <row r="2798" spans="1:6" ht="30" customHeight="1">
      <c r="A2798" s="6">
        <v>2796</v>
      </c>
      <c r="B2798" s="6" t="str">
        <f>"530020230602113719110129"</f>
        <v>530020230602113719110129</v>
      </c>
      <c r="C2798" s="6" t="str">
        <f t="shared" si="184"/>
        <v>0209</v>
      </c>
      <c r="D2798" s="6" t="s">
        <v>29</v>
      </c>
      <c r="E2798" s="6" t="str">
        <f>"王卿"</f>
        <v>王卿</v>
      </c>
      <c r="F2798" s="6" t="str">
        <f t="shared" si="188"/>
        <v>女</v>
      </c>
    </row>
    <row r="2799" spans="1:6" ht="30" customHeight="1">
      <c r="A2799" s="6">
        <v>2797</v>
      </c>
      <c r="B2799" s="6" t="str">
        <f>"530020230602115139110177"</f>
        <v>530020230602115139110177</v>
      </c>
      <c r="C2799" s="6" t="str">
        <f t="shared" si="184"/>
        <v>0209</v>
      </c>
      <c r="D2799" s="6" t="s">
        <v>29</v>
      </c>
      <c r="E2799" s="6" t="str">
        <f>"王慧玲"</f>
        <v>王慧玲</v>
      </c>
      <c r="F2799" s="6" t="str">
        <f t="shared" si="188"/>
        <v>女</v>
      </c>
    </row>
    <row r="2800" spans="1:6" ht="30" customHeight="1">
      <c r="A2800" s="6">
        <v>2798</v>
      </c>
      <c r="B2800" s="6" t="str">
        <f>"53002023052709015883660"</f>
        <v>53002023052709015883660</v>
      </c>
      <c r="C2800" s="6" t="str">
        <f aca="true" t="shared" si="189" ref="C2800:C2863">"0210"</f>
        <v>0210</v>
      </c>
      <c r="D2800" s="6" t="s">
        <v>30</v>
      </c>
      <c r="E2800" s="6" t="str">
        <f>"许伟允"</f>
        <v>许伟允</v>
      </c>
      <c r="F2800" s="6" t="str">
        <f>"男"</f>
        <v>男</v>
      </c>
    </row>
    <row r="2801" spans="1:6" ht="30" customHeight="1">
      <c r="A2801" s="6">
        <v>2799</v>
      </c>
      <c r="B2801" s="6" t="str">
        <f>"53002023052709012783656"</f>
        <v>53002023052709012783656</v>
      </c>
      <c r="C2801" s="6" t="str">
        <f t="shared" si="189"/>
        <v>0210</v>
      </c>
      <c r="D2801" s="6" t="s">
        <v>30</v>
      </c>
      <c r="E2801" s="6" t="str">
        <f>"韩福凌"</f>
        <v>韩福凌</v>
      </c>
      <c r="F2801" s="6" t="str">
        <f>"男"</f>
        <v>男</v>
      </c>
    </row>
    <row r="2802" spans="1:6" ht="30" customHeight="1">
      <c r="A2802" s="6">
        <v>2800</v>
      </c>
      <c r="B2802" s="6" t="str">
        <f>"53002023052709082883689"</f>
        <v>53002023052709082883689</v>
      </c>
      <c r="C2802" s="6" t="str">
        <f t="shared" si="189"/>
        <v>0210</v>
      </c>
      <c r="D2802" s="6" t="s">
        <v>30</v>
      </c>
      <c r="E2802" s="6" t="str">
        <f>"吴永乐"</f>
        <v>吴永乐</v>
      </c>
      <c r="F2802" s="6" t="str">
        <f>"男"</f>
        <v>男</v>
      </c>
    </row>
    <row r="2803" spans="1:6" ht="30" customHeight="1">
      <c r="A2803" s="6">
        <v>2801</v>
      </c>
      <c r="B2803" s="6" t="str">
        <f>"53002023052709082383687"</f>
        <v>53002023052709082383687</v>
      </c>
      <c r="C2803" s="6" t="str">
        <f t="shared" si="189"/>
        <v>0210</v>
      </c>
      <c r="D2803" s="6" t="s">
        <v>30</v>
      </c>
      <c r="E2803" s="6" t="str">
        <f>"赵玉"</f>
        <v>赵玉</v>
      </c>
      <c r="F2803" s="6" t="str">
        <f>"女"</f>
        <v>女</v>
      </c>
    </row>
    <row r="2804" spans="1:6" ht="30" customHeight="1">
      <c r="A2804" s="6">
        <v>2802</v>
      </c>
      <c r="B2804" s="6" t="str">
        <f>"53002023052709575583869"</f>
        <v>53002023052709575583869</v>
      </c>
      <c r="C2804" s="6" t="str">
        <f t="shared" si="189"/>
        <v>0210</v>
      </c>
      <c r="D2804" s="6" t="s">
        <v>30</v>
      </c>
      <c r="E2804" s="6" t="str">
        <f>"洪柳英"</f>
        <v>洪柳英</v>
      </c>
      <c r="F2804" s="6" t="str">
        <f>"女"</f>
        <v>女</v>
      </c>
    </row>
    <row r="2805" spans="1:6" ht="30" customHeight="1">
      <c r="A2805" s="6">
        <v>2803</v>
      </c>
      <c r="B2805" s="6" t="str">
        <f>"53002023052709595483880"</f>
        <v>53002023052709595483880</v>
      </c>
      <c r="C2805" s="6" t="str">
        <f t="shared" si="189"/>
        <v>0210</v>
      </c>
      <c r="D2805" s="6" t="s">
        <v>30</v>
      </c>
      <c r="E2805" s="6" t="str">
        <f>"陆玉康"</f>
        <v>陆玉康</v>
      </c>
      <c r="F2805" s="6" t="str">
        <f>"男"</f>
        <v>男</v>
      </c>
    </row>
    <row r="2806" spans="1:6" ht="30" customHeight="1">
      <c r="A2806" s="6">
        <v>2804</v>
      </c>
      <c r="B2806" s="6" t="str">
        <f>"53002023052710441384093"</f>
        <v>53002023052710441384093</v>
      </c>
      <c r="C2806" s="6" t="str">
        <f t="shared" si="189"/>
        <v>0210</v>
      </c>
      <c r="D2806" s="6" t="s">
        <v>30</v>
      </c>
      <c r="E2806" s="6" t="str">
        <f>"吴翠妹"</f>
        <v>吴翠妹</v>
      </c>
      <c r="F2806" s="6" t="str">
        <f>"女"</f>
        <v>女</v>
      </c>
    </row>
    <row r="2807" spans="1:6" ht="30" customHeight="1">
      <c r="A2807" s="6">
        <v>2805</v>
      </c>
      <c r="B2807" s="6" t="str">
        <f>"53002023052710093183931"</f>
        <v>53002023052710093183931</v>
      </c>
      <c r="C2807" s="6" t="str">
        <f t="shared" si="189"/>
        <v>0210</v>
      </c>
      <c r="D2807" s="6" t="s">
        <v>30</v>
      </c>
      <c r="E2807" s="6" t="str">
        <f>"洪起泽"</f>
        <v>洪起泽</v>
      </c>
      <c r="F2807" s="6" t="str">
        <f aca="true" t="shared" si="190" ref="F2807:F2816">"男"</f>
        <v>男</v>
      </c>
    </row>
    <row r="2808" spans="1:6" ht="30" customHeight="1">
      <c r="A2808" s="6">
        <v>2806</v>
      </c>
      <c r="B2808" s="6" t="str">
        <f>"53002023052712012384413"</f>
        <v>53002023052712012384413</v>
      </c>
      <c r="C2808" s="6" t="str">
        <f t="shared" si="189"/>
        <v>0210</v>
      </c>
      <c r="D2808" s="6" t="s">
        <v>30</v>
      </c>
      <c r="E2808" s="6" t="str">
        <f>"何人亿"</f>
        <v>何人亿</v>
      </c>
      <c r="F2808" s="6" t="str">
        <f t="shared" si="190"/>
        <v>男</v>
      </c>
    </row>
    <row r="2809" spans="1:6" ht="30" customHeight="1">
      <c r="A2809" s="6">
        <v>2807</v>
      </c>
      <c r="B2809" s="6" t="str">
        <f>"53002023052711413784345"</f>
        <v>53002023052711413784345</v>
      </c>
      <c r="C2809" s="6" t="str">
        <f t="shared" si="189"/>
        <v>0210</v>
      </c>
      <c r="D2809" s="6" t="s">
        <v>30</v>
      </c>
      <c r="E2809" s="6" t="str">
        <f>"郭永君"</f>
        <v>郭永君</v>
      </c>
      <c r="F2809" s="6" t="str">
        <f t="shared" si="190"/>
        <v>男</v>
      </c>
    </row>
    <row r="2810" spans="1:6" ht="30" customHeight="1">
      <c r="A2810" s="6">
        <v>2808</v>
      </c>
      <c r="B2810" s="6" t="str">
        <f>"53002023052712291884514"</f>
        <v>53002023052712291884514</v>
      </c>
      <c r="C2810" s="6" t="str">
        <f t="shared" si="189"/>
        <v>0210</v>
      </c>
      <c r="D2810" s="6" t="s">
        <v>30</v>
      </c>
      <c r="E2810" s="6" t="str">
        <f>"符乃羡"</f>
        <v>符乃羡</v>
      </c>
      <c r="F2810" s="6" t="str">
        <f t="shared" si="190"/>
        <v>男</v>
      </c>
    </row>
    <row r="2811" spans="1:6" ht="30" customHeight="1">
      <c r="A2811" s="6">
        <v>2809</v>
      </c>
      <c r="B2811" s="6" t="str">
        <f>"53002023052713131184655"</f>
        <v>53002023052713131184655</v>
      </c>
      <c r="C2811" s="6" t="str">
        <f t="shared" si="189"/>
        <v>0210</v>
      </c>
      <c r="D2811" s="6" t="s">
        <v>30</v>
      </c>
      <c r="E2811" s="6" t="str">
        <f>"潘仁功"</f>
        <v>潘仁功</v>
      </c>
      <c r="F2811" s="6" t="str">
        <f t="shared" si="190"/>
        <v>男</v>
      </c>
    </row>
    <row r="2812" spans="1:6" ht="30" customHeight="1">
      <c r="A2812" s="6">
        <v>2810</v>
      </c>
      <c r="B2812" s="6" t="str">
        <f>"53002023052713440384769"</f>
        <v>53002023052713440384769</v>
      </c>
      <c r="C2812" s="6" t="str">
        <f t="shared" si="189"/>
        <v>0210</v>
      </c>
      <c r="D2812" s="6" t="s">
        <v>30</v>
      </c>
      <c r="E2812" s="6" t="str">
        <f>"王政森"</f>
        <v>王政森</v>
      </c>
      <c r="F2812" s="6" t="str">
        <f t="shared" si="190"/>
        <v>男</v>
      </c>
    </row>
    <row r="2813" spans="1:6" ht="30" customHeight="1">
      <c r="A2813" s="6">
        <v>2811</v>
      </c>
      <c r="B2813" s="6" t="str">
        <f>"53002023052712192684480"</f>
        <v>53002023052712192684480</v>
      </c>
      <c r="C2813" s="6" t="str">
        <f t="shared" si="189"/>
        <v>0210</v>
      </c>
      <c r="D2813" s="6" t="s">
        <v>30</v>
      </c>
      <c r="E2813" s="6" t="str">
        <f>"毛亚忠"</f>
        <v>毛亚忠</v>
      </c>
      <c r="F2813" s="6" t="str">
        <f t="shared" si="190"/>
        <v>男</v>
      </c>
    </row>
    <row r="2814" spans="1:6" ht="30" customHeight="1">
      <c r="A2814" s="6">
        <v>2812</v>
      </c>
      <c r="B2814" s="6" t="str">
        <f>"53002023052715265385108"</f>
        <v>53002023052715265385108</v>
      </c>
      <c r="C2814" s="6" t="str">
        <f t="shared" si="189"/>
        <v>0210</v>
      </c>
      <c r="D2814" s="6" t="s">
        <v>30</v>
      </c>
      <c r="E2814" s="6" t="str">
        <f>"李应珠"</f>
        <v>李应珠</v>
      </c>
      <c r="F2814" s="6" t="str">
        <f t="shared" si="190"/>
        <v>男</v>
      </c>
    </row>
    <row r="2815" spans="1:6" ht="30" customHeight="1">
      <c r="A2815" s="6">
        <v>2813</v>
      </c>
      <c r="B2815" s="6" t="str">
        <f>"53002023052714420184942"</f>
        <v>53002023052714420184942</v>
      </c>
      <c r="C2815" s="6" t="str">
        <f t="shared" si="189"/>
        <v>0210</v>
      </c>
      <c r="D2815" s="6" t="s">
        <v>30</v>
      </c>
      <c r="E2815" s="6" t="str">
        <f>"曾传真"</f>
        <v>曾传真</v>
      </c>
      <c r="F2815" s="6" t="str">
        <f t="shared" si="190"/>
        <v>男</v>
      </c>
    </row>
    <row r="2816" spans="1:6" ht="30" customHeight="1">
      <c r="A2816" s="6">
        <v>2814</v>
      </c>
      <c r="B2816" s="6" t="str">
        <f>"53002023052716160085269"</f>
        <v>53002023052716160085269</v>
      </c>
      <c r="C2816" s="6" t="str">
        <f t="shared" si="189"/>
        <v>0210</v>
      </c>
      <c r="D2816" s="6" t="s">
        <v>30</v>
      </c>
      <c r="E2816" s="6" t="str">
        <f>"黄诚"</f>
        <v>黄诚</v>
      </c>
      <c r="F2816" s="6" t="str">
        <f t="shared" si="190"/>
        <v>男</v>
      </c>
    </row>
    <row r="2817" spans="1:6" ht="30" customHeight="1">
      <c r="A2817" s="6">
        <v>2815</v>
      </c>
      <c r="B2817" s="6" t="str">
        <f>"53002023052716280185305"</f>
        <v>53002023052716280185305</v>
      </c>
      <c r="C2817" s="6" t="str">
        <f t="shared" si="189"/>
        <v>0210</v>
      </c>
      <c r="D2817" s="6" t="s">
        <v>30</v>
      </c>
      <c r="E2817" s="6" t="str">
        <f>"阳柳清"</f>
        <v>阳柳清</v>
      </c>
      <c r="F2817" s="6" t="str">
        <f>"女"</f>
        <v>女</v>
      </c>
    </row>
    <row r="2818" spans="1:6" ht="30" customHeight="1">
      <c r="A2818" s="6">
        <v>2816</v>
      </c>
      <c r="B2818" s="6" t="str">
        <f>"53002023052717383485548"</f>
        <v>53002023052717383485548</v>
      </c>
      <c r="C2818" s="6" t="str">
        <f t="shared" si="189"/>
        <v>0210</v>
      </c>
      <c r="D2818" s="6" t="s">
        <v>30</v>
      </c>
      <c r="E2818" s="6" t="str">
        <f>"张纪泽"</f>
        <v>张纪泽</v>
      </c>
      <c r="F2818" s="6" t="str">
        <f>"男"</f>
        <v>男</v>
      </c>
    </row>
    <row r="2819" spans="1:6" ht="30" customHeight="1">
      <c r="A2819" s="6">
        <v>2817</v>
      </c>
      <c r="B2819" s="6" t="str">
        <f>"53002023052718383185685"</f>
        <v>53002023052718383185685</v>
      </c>
      <c r="C2819" s="6" t="str">
        <f t="shared" si="189"/>
        <v>0210</v>
      </c>
      <c r="D2819" s="6" t="s">
        <v>30</v>
      </c>
      <c r="E2819" s="6" t="str">
        <f>"吴伯伟"</f>
        <v>吴伯伟</v>
      </c>
      <c r="F2819" s="6" t="str">
        <f>"男"</f>
        <v>男</v>
      </c>
    </row>
    <row r="2820" spans="1:6" ht="30" customHeight="1">
      <c r="A2820" s="6">
        <v>2818</v>
      </c>
      <c r="B2820" s="6" t="str">
        <f>"53002023052709471483827"</f>
        <v>53002023052709471483827</v>
      </c>
      <c r="C2820" s="6" t="str">
        <f t="shared" si="189"/>
        <v>0210</v>
      </c>
      <c r="D2820" s="6" t="s">
        <v>30</v>
      </c>
      <c r="E2820" s="6" t="str">
        <f>"符家贺"</f>
        <v>符家贺</v>
      </c>
      <c r="F2820" s="6" t="str">
        <f>"男"</f>
        <v>男</v>
      </c>
    </row>
    <row r="2821" spans="1:6" ht="30" customHeight="1">
      <c r="A2821" s="6">
        <v>2819</v>
      </c>
      <c r="B2821" s="6" t="str">
        <f>"53002023052719001485749"</f>
        <v>53002023052719001485749</v>
      </c>
      <c r="C2821" s="6" t="str">
        <f t="shared" si="189"/>
        <v>0210</v>
      </c>
      <c r="D2821" s="6" t="s">
        <v>30</v>
      </c>
      <c r="E2821" s="6" t="str">
        <f>"文雨妃"</f>
        <v>文雨妃</v>
      </c>
      <c r="F2821" s="6" t="str">
        <f>"女"</f>
        <v>女</v>
      </c>
    </row>
    <row r="2822" spans="1:6" ht="30" customHeight="1">
      <c r="A2822" s="6">
        <v>2820</v>
      </c>
      <c r="B2822" s="6" t="str">
        <f>"53002023052721450286271"</f>
        <v>53002023052721450286271</v>
      </c>
      <c r="C2822" s="6" t="str">
        <f t="shared" si="189"/>
        <v>0210</v>
      </c>
      <c r="D2822" s="6" t="s">
        <v>30</v>
      </c>
      <c r="E2822" s="6" t="str">
        <f>"谢燕萱"</f>
        <v>谢燕萱</v>
      </c>
      <c r="F2822" s="6" t="str">
        <f>"女"</f>
        <v>女</v>
      </c>
    </row>
    <row r="2823" spans="1:6" ht="30" customHeight="1">
      <c r="A2823" s="6">
        <v>2821</v>
      </c>
      <c r="B2823" s="6" t="str">
        <f>"53002023052809525386922"</f>
        <v>53002023052809525386922</v>
      </c>
      <c r="C2823" s="6" t="str">
        <f t="shared" si="189"/>
        <v>0210</v>
      </c>
      <c r="D2823" s="6" t="s">
        <v>30</v>
      </c>
      <c r="E2823" s="6" t="str">
        <f>"梁金鸿"</f>
        <v>梁金鸿</v>
      </c>
      <c r="F2823" s="6" t="str">
        <f>"男"</f>
        <v>男</v>
      </c>
    </row>
    <row r="2824" spans="1:6" ht="30" customHeight="1">
      <c r="A2824" s="6">
        <v>2822</v>
      </c>
      <c r="B2824" s="6" t="str">
        <f>"53002023052811155487114"</f>
        <v>53002023052811155487114</v>
      </c>
      <c r="C2824" s="6" t="str">
        <f t="shared" si="189"/>
        <v>0210</v>
      </c>
      <c r="D2824" s="6" t="s">
        <v>30</v>
      </c>
      <c r="E2824" s="6" t="str">
        <f>"南杨"</f>
        <v>南杨</v>
      </c>
      <c r="F2824" s="6" t="str">
        <f>"男"</f>
        <v>男</v>
      </c>
    </row>
    <row r="2825" spans="1:6" ht="30" customHeight="1">
      <c r="A2825" s="6">
        <v>2823</v>
      </c>
      <c r="B2825" s="6" t="str">
        <f>"53002023052812582487388"</f>
        <v>53002023052812582487388</v>
      </c>
      <c r="C2825" s="6" t="str">
        <f t="shared" si="189"/>
        <v>0210</v>
      </c>
      <c r="D2825" s="6" t="s">
        <v>30</v>
      </c>
      <c r="E2825" s="6" t="str">
        <f>"梁朝娜"</f>
        <v>梁朝娜</v>
      </c>
      <c r="F2825" s="6" t="str">
        <f>"女"</f>
        <v>女</v>
      </c>
    </row>
    <row r="2826" spans="1:6" ht="30" customHeight="1">
      <c r="A2826" s="6">
        <v>2824</v>
      </c>
      <c r="B2826" s="6" t="str">
        <f>"53002023052812430287338"</f>
        <v>53002023052812430287338</v>
      </c>
      <c r="C2826" s="6" t="str">
        <f t="shared" si="189"/>
        <v>0210</v>
      </c>
      <c r="D2826" s="6" t="s">
        <v>30</v>
      </c>
      <c r="E2826" s="6" t="str">
        <f>"吉育伟"</f>
        <v>吉育伟</v>
      </c>
      <c r="F2826" s="6" t="str">
        <f>"男"</f>
        <v>男</v>
      </c>
    </row>
    <row r="2827" spans="1:6" ht="30" customHeight="1">
      <c r="A2827" s="6">
        <v>2825</v>
      </c>
      <c r="B2827" s="6" t="str">
        <f>"53002023052814083087569"</f>
        <v>53002023052814083087569</v>
      </c>
      <c r="C2827" s="6" t="str">
        <f t="shared" si="189"/>
        <v>0210</v>
      </c>
      <c r="D2827" s="6" t="s">
        <v>30</v>
      </c>
      <c r="E2827" s="6" t="str">
        <f>"张永祥"</f>
        <v>张永祥</v>
      </c>
      <c r="F2827" s="6" t="str">
        <f>"男"</f>
        <v>男</v>
      </c>
    </row>
    <row r="2828" spans="1:6" ht="30" customHeight="1">
      <c r="A2828" s="6">
        <v>2826</v>
      </c>
      <c r="B2828" s="6" t="str">
        <f>"53002023052814232487604"</f>
        <v>53002023052814232487604</v>
      </c>
      <c r="C2828" s="6" t="str">
        <f t="shared" si="189"/>
        <v>0210</v>
      </c>
      <c r="D2828" s="6" t="s">
        <v>30</v>
      </c>
      <c r="E2828" s="6" t="str">
        <f>"刘必钟"</f>
        <v>刘必钟</v>
      </c>
      <c r="F2828" s="6" t="str">
        <f>"男"</f>
        <v>男</v>
      </c>
    </row>
    <row r="2829" spans="1:6" ht="30" customHeight="1">
      <c r="A2829" s="6">
        <v>2827</v>
      </c>
      <c r="B2829" s="6" t="str">
        <f>"53002023052812213187283"</f>
        <v>53002023052812213187283</v>
      </c>
      <c r="C2829" s="6" t="str">
        <f t="shared" si="189"/>
        <v>0210</v>
      </c>
      <c r="D2829" s="6" t="s">
        <v>30</v>
      </c>
      <c r="E2829" s="6" t="str">
        <f>"黎启道"</f>
        <v>黎启道</v>
      </c>
      <c r="F2829" s="6" t="str">
        <f>"男"</f>
        <v>男</v>
      </c>
    </row>
    <row r="2830" spans="1:6" ht="30" customHeight="1">
      <c r="A2830" s="6">
        <v>2828</v>
      </c>
      <c r="B2830" s="6" t="str">
        <f>"53002023052814523887664"</f>
        <v>53002023052814523887664</v>
      </c>
      <c r="C2830" s="6" t="str">
        <f t="shared" si="189"/>
        <v>0210</v>
      </c>
      <c r="D2830" s="6" t="s">
        <v>30</v>
      </c>
      <c r="E2830" s="6" t="str">
        <f>"计威威"</f>
        <v>计威威</v>
      </c>
      <c r="F2830" s="6" t="str">
        <f>"女"</f>
        <v>女</v>
      </c>
    </row>
    <row r="2831" spans="1:6" ht="30" customHeight="1">
      <c r="A2831" s="6">
        <v>2829</v>
      </c>
      <c r="B2831" s="6" t="str">
        <f>"53002023052812000887231"</f>
        <v>53002023052812000887231</v>
      </c>
      <c r="C2831" s="6" t="str">
        <f t="shared" si="189"/>
        <v>0210</v>
      </c>
      <c r="D2831" s="6" t="s">
        <v>30</v>
      </c>
      <c r="E2831" s="6" t="str">
        <f>"吴定博"</f>
        <v>吴定博</v>
      </c>
      <c r="F2831" s="6" t="str">
        <f aca="true" t="shared" si="191" ref="F2831:F2841">"男"</f>
        <v>男</v>
      </c>
    </row>
    <row r="2832" spans="1:6" ht="30" customHeight="1">
      <c r="A2832" s="6">
        <v>2830</v>
      </c>
      <c r="B2832" s="6" t="str">
        <f>"53002023052816362487957"</f>
        <v>53002023052816362487957</v>
      </c>
      <c r="C2832" s="6" t="str">
        <f t="shared" si="189"/>
        <v>0210</v>
      </c>
      <c r="D2832" s="6" t="s">
        <v>30</v>
      </c>
      <c r="E2832" s="6" t="str">
        <f>"李明源"</f>
        <v>李明源</v>
      </c>
      <c r="F2832" s="6" t="str">
        <f t="shared" si="191"/>
        <v>男</v>
      </c>
    </row>
    <row r="2833" spans="1:6" ht="30" customHeight="1">
      <c r="A2833" s="6">
        <v>2831</v>
      </c>
      <c r="B2833" s="6" t="str">
        <f>"53002023052817204888086"</f>
        <v>53002023052817204888086</v>
      </c>
      <c r="C2833" s="6" t="str">
        <f t="shared" si="189"/>
        <v>0210</v>
      </c>
      <c r="D2833" s="6" t="s">
        <v>30</v>
      </c>
      <c r="E2833" s="6" t="str">
        <f>"黄朝磊"</f>
        <v>黄朝磊</v>
      </c>
      <c r="F2833" s="6" t="str">
        <f t="shared" si="191"/>
        <v>男</v>
      </c>
    </row>
    <row r="2834" spans="1:6" ht="30" customHeight="1">
      <c r="A2834" s="6">
        <v>2832</v>
      </c>
      <c r="B2834" s="6" t="str">
        <f>"53002023052818273688354"</f>
        <v>53002023052818273688354</v>
      </c>
      <c r="C2834" s="6" t="str">
        <f t="shared" si="189"/>
        <v>0210</v>
      </c>
      <c r="D2834" s="6" t="s">
        <v>30</v>
      </c>
      <c r="E2834" s="6" t="str">
        <f>"陈锋"</f>
        <v>陈锋</v>
      </c>
      <c r="F2834" s="6" t="str">
        <f t="shared" si="191"/>
        <v>男</v>
      </c>
    </row>
    <row r="2835" spans="1:6" ht="30" customHeight="1">
      <c r="A2835" s="6">
        <v>2833</v>
      </c>
      <c r="B2835" s="6" t="str">
        <f>"53002023052819243088499"</f>
        <v>53002023052819243088499</v>
      </c>
      <c r="C2835" s="6" t="str">
        <f t="shared" si="189"/>
        <v>0210</v>
      </c>
      <c r="D2835" s="6" t="s">
        <v>30</v>
      </c>
      <c r="E2835" s="6" t="str">
        <f>"何纯宝"</f>
        <v>何纯宝</v>
      </c>
      <c r="F2835" s="6" t="str">
        <f t="shared" si="191"/>
        <v>男</v>
      </c>
    </row>
    <row r="2836" spans="1:6" ht="30" customHeight="1">
      <c r="A2836" s="6">
        <v>2834</v>
      </c>
      <c r="B2836" s="6" t="str">
        <f>"53002023052819242888498"</f>
        <v>53002023052819242888498</v>
      </c>
      <c r="C2836" s="6" t="str">
        <f t="shared" si="189"/>
        <v>0210</v>
      </c>
      <c r="D2836" s="6" t="s">
        <v>30</v>
      </c>
      <c r="E2836" s="6" t="str">
        <f>"胡井龙"</f>
        <v>胡井龙</v>
      </c>
      <c r="F2836" s="6" t="str">
        <f t="shared" si="191"/>
        <v>男</v>
      </c>
    </row>
    <row r="2837" spans="1:6" ht="30" customHeight="1">
      <c r="A2837" s="6">
        <v>2835</v>
      </c>
      <c r="B2837" s="6" t="str">
        <f>"53002023052819302888512"</f>
        <v>53002023052819302888512</v>
      </c>
      <c r="C2837" s="6" t="str">
        <f t="shared" si="189"/>
        <v>0210</v>
      </c>
      <c r="D2837" s="6" t="s">
        <v>30</v>
      </c>
      <c r="E2837" s="6" t="str">
        <f>"廖湘军"</f>
        <v>廖湘军</v>
      </c>
      <c r="F2837" s="6" t="str">
        <f t="shared" si="191"/>
        <v>男</v>
      </c>
    </row>
    <row r="2838" spans="1:6" ht="30" customHeight="1">
      <c r="A2838" s="6">
        <v>2836</v>
      </c>
      <c r="B2838" s="6" t="str">
        <f>"53002023052820155288618"</f>
        <v>53002023052820155288618</v>
      </c>
      <c r="C2838" s="6" t="str">
        <f t="shared" si="189"/>
        <v>0210</v>
      </c>
      <c r="D2838" s="6" t="s">
        <v>30</v>
      </c>
      <c r="E2838" s="6" t="str">
        <f>"王凡"</f>
        <v>王凡</v>
      </c>
      <c r="F2838" s="6" t="str">
        <f t="shared" si="191"/>
        <v>男</v>
      </c>
    </row>
    <row r="2839" spans="1:6" ht="30" customHeight="1">
      <c r="A2839" s="6">
        <v>2837</v>
      </c>
      <c r="B2839" s="6" t="str">
        <f>"53002023052821092688814"</f>
        <v>53002023052821092688814</v>
      </c>
      <c r="C2839" s="6" t="str">
        <f t="shared" si="189"/>
        <v>0210</v>
      </c>
      <c r="D2839" s="6" t="s">
        <v>30</v>
      </c>
      <c r="E2839" s="6" t="str">
        <f>"高泽琼"</f>
        <v>高泽琼</v>
      </c>
      <c r="F2839" s="6" t="str">
        <f t="shared" si="191"/>
        <v>男</v>
      </c>
    </row>
    <row r="2840" spans="1:6" ht="30" customHeight="1">
      <c r="A2840" s="6">
        <v>2838</v>
      </c>
      <c r="B2840" s="6" t="str">
        <f>"53002023052822013988995"</f>
        <v>53002023052822013988995</v>
      </c>
      <c r="C2840" s="6" t="str">
        <f t="shared" si="189"/>
        <v>0210</v>
      </c>
      <c r="D2840" s="6" t="s">
        <v>30</v>
      </c>
      <c r="E2840" s="6" t="str">
        <f>"谭杰"</f>
        <v>谭杰</v>
      </c>
      <c r="F2840" s="6" t="str">
        <f t="shared" si="191"/>
        <v>男</v>
      </c>
    </row>
    <row r="2841" spans="1:6" ht="30" customHeight="1">
      <c r="A2841" s="6">
        <v>2839</v>
      </c>
      <c r="B2841" s="6" t="str">
        <f>"53002023052822171889056"</f>
        <v>53002023052822171889056</v>
      </c>
      <c r="C2841" s="6" t="str">
        <f t="shared" si="189"/>
        <v>0210</v>
      </c>
      <c r="D2841" s="6" t="s">
        <v>30</v>
      </c>
      <c r="E2841" s="6" t="str">
        <f>"李运恒"</f>
        <v>李运恒</v>
      </c>
      <c r="F2841" s="6" t="str">
        <f t="shared" si="191"/>
        <v>男</v>
      </c>
    </row>
    <row r="2842" spans="1:6" ht="30" customHeight="1">
      <c r="A2842" s="6">
        <v>2840</v>
      </c>
      <c r="B2842" s="6" t="str">
        <f>"53002023052900201789344"</f>
        <v>53002023052900201789344</v>
      </c>
      <c r="C2842" s="6" t="str">
        <f t="shared" si="189"/>
        <v>0210</v>
      </c>
      <c r="D2842" s="6" t="s">
        <v>30</v>
      </c>
      <c r="E2842" s="6" t="str">
        <f>"杨婷婷"</f>
        <v>杨婷婷</v>
      </c>
      <c r="F2842" s="6" t="str">
        <f>"女"</f>
        <v>女</v>
      </c>
    </row>
    <row r="2843" spans="1:6" ht="30" customHeight="1">
      <c r="A2843" s="6">
        <v>2841</v>
      </c>
      <c r="B2843" s="6" t="str">
        <f>"53002023052815582987841"</f>
        <v>53002023052815582987841</v>
      </c>
      <c r="C2843" s="6" t="str">
        <f t="shared" si="189"/>
        <v>0210</v>
      </c>
      <c r="D2843" s="6" t="s">
        <v>30</v>
      </c>
      <c r="E2843" s="6" t="str">
        <f>"黄清林"</f>
        <v>黄清林</v>
      </c>
      <c r="F2843" s="6" t="str">
        <f>"男"</f>
        <v>男</v>
      </c>
    </row>
    <row r="2844" spans="1:6" ht="30" customHeight="1">
      <c r="A2844" s="6">
        <v>2842</v>
      </c>
      <c r="B2844" s="6" t="str">
        <f>"53002023052817225888092"</f>
        <v>53002023052817225888092</v>
      </c>
      <c r="C2844" s="6" t="str">
        <f t="shared" si="189"/>
        <v>0210</v>
      </c>
      <c r="D2844" s="6" t="s">
        <v>30</v>
      </c>
      <c r="E2844" s="6" t="str">
        <f>"陈益浮"</f>
        <v>陈益浮</v>
      </c>
      <c r="F2844" s="6" t="str">
        <f>"男"</f>
        <v>男</v>
      </c>
    </row>
    <row r="2845" spans="1:6" ht="30" customHeight="1">
      <c r="A2845" s="6">
        <v>2843</v>
      </c>
      <c r="B2845" s="6" t="str">
        <f>"53002023052908134589511"</f>
        <v>53002023052908134589511</v>
      </c>
      <c r="C2845" s="6" t="str">
        <f t="shared" si="189"/>
        <v>0210</v>
      </c>
      <c r="D2845" s="6" t="s">
        <v>30</v>
      </c>
      <c r="E2845" s="6" t="str">
        <f>"梁少玲"</f>
        <v>梁少玲</v>
      </c>
      <c r="F2845" s="6" t="str">
        <f>"女"</f>
        <v>女</v>
      </c>
    </row>
    <row r="2846" spans="1:6" ht="30" customHeight="1">
      <c r="A2846" s="6">
        <v>2844</v>
      </c>
      <c r="B2846" s="6" t="str">
        <f>"53002023052908230989539"</f>
        <v>53002023052908230989539</v>
      </c>
      <c r="C2846" s="6" t="str">
        <f t="shared" si="189"/>
        <v>0210</v>
      </c>
      <c r="D2846" s="6" t="s">
        <v>30</v>
      </c>
      <c r="E2846" s="6" t="str">
        <f>"吴有祥"</f>
        <v>吴有祥</v>
      </c>
      <c r="F2846" s="6" t="str">
        <f aca="true" t="shared" si="192" ref="F2846:F2856">"男"</f>
        <v>男</v>
      </c>
    </row>
    <row r="2847" spans="1:6" ht="30" customHeight="1">
      <c r="A2847" s="6">
        <v>2845</v>
      </c>
      <c r="B2847" s="6" t="str">
        <f>"53002023052908293289557"</f>
        <v>53002023052908293289557</v>
      </c>
      <c r="C2847" s="6" t="str">
        <f t="shared" si="189"/>
        <v>0210</v>
      </c>
      <c r="D2847" s="6" t="s">
        <v>30</v>
      </c>
      <c r="E2847" s="6" t="str">
        <f>"桂卫雄"</f>
        <v>桂卫雄</v>
      </c>
      <c r="F2847" s="6" t="str">
        <f t="shared" si="192"/>
        <v>男</v>
      </c>
    </row>
    <row r="2848" spans="1:6" ht="30" customHeight="1">
      <c r="A2848" s="6">
        <v>2846</v>
      </c>
      <c r="B2848" s="6" t="str">
        <f>"53002023052908552389662"</f>
        <v>53002023052908552389662</v>
      </c>
      <c r="C2848" s="6" t="str">
        <f t="shared" si="189"/>
        <v>0210</v>
      </c>
      <c r="D2848" s="6" t="s">
        <v>30</v>
      </c>
      <c r="E2848" s="6" t="str">
        <f>"陈进影"</f>
        <v>陈进影</v>
      </c>
      <c r="F2848" s="6" t="str">
        <f t="shared" si="192"/>
        <v>男</v>
      </c>
    </row>
    <row r="2849" spans="1:6" ht="30" customHeight="1">
      <c r="A2849" s="6">
        <v>2847</v>
      </c>
      <c r="B2849" s="6" t="str">
        <f>"53002023052909031689746"</f>
        <v>53002023052909031689746</v>
      </c>
      <c r="C2849" s="6" t="str">
        <f t="shared" si="189"/>
        <v>0210</v>
      </c>
      <c r="D2849" s="6" t="s">
        <v>30</v>
      </c>
      <c r="E2849" s="6" t="str">
        <f>"符启彦"</f>
        <v>符启彦</v>
      </c>
      <c r="F2849" s="6" t="str">
        <f t="shared" si="192"/>
        <v>男</v>
      </c>
    </row>
    <row r="2850" spans="1:6" ht="30" customHeight="1">
      <c r="A2850" s="6">
        <v>2848</v>
      </c>
      <c r="B2850" s="6" t="str">
        <f>"53002023052909241190022"</f>
        <v>53002023052909241190022</v>
      </c>
      <c r="C2850" s="6" t="str">
        <f t="shared" si="189"/>
        <v>0210</v>
      </c>
      <c r="D2850" s="6" t="s">
        <v>30</v>
      </c>
      <c r="E2850" s="6" t="str">
        <f>"简天泽"</f>
        <v>简天泽</v>
      </c>
      <c r="F2850" s="6" t="str">
        <f t="shared" si="192"/>
        <v>男</v>
      </c>
    </row>
    <row r="2851" spans="1:6" ht="30" customHeight="1">
      <c r="A2851" s="6">
        <v>2849</v>
      </c>
      <c r="B2851" s="6" t="str">
        <f>"53002023052821035588796"</f>
        <v>53002023052821035588796</v>
      </c>
      <c r="C2851" s="6" t="str">
        <f t="shared" si="189"/>
        <v>0210</v>
      </c>
      <c r="D2851" s="6" t="s">
        <v>30</v>
      </c>
      <c r="E2851" s="6" t="str">
        <f>"李豪"</f>
        <v>李豪</v>
      </c>
      <c r="F2851" s="6" t="str">
        <f t="shared" si="192"/>
        <v>男</v>
      </c>
    </row>
    <row r="2852" spans="1:6" ht="30" customHeight="1">
      <c r="A2852" s="6">
        <v>2850</v>
      </c>
      <c r="B2852" s="6" t="str">
        <f>"53002023052820250088658"</f>
        <v>53002023052820250088658</v>
      </c>
      <c r="C2852" s="6" t="str">
        <f t="shared" si="189"/>
        <v>0210</v>
      </c>
      <c r="D2852" s="6" t="s">
        <v>30</v>
      </c>
      <c r="E2852" s="6" t="str">
        <f>"王文君"</f>
        <v>王文君</v>
      </c>
      <c r="F2852" s="6" t="str">
        <f t="shared" si="192"/>
        <v>男</v>
      </c>
    </row>
    <row r="2853" spans="1:6" ht="30" customHeight="1">
      <c r="A2853" s="6">
        <v>2851</v>
      </c>
      <c r="B2853" s="6" t="str">
        <f>"53002023052910130190587"</f>
        <v>53002023052910130190587</v>
      </c>
      <c r="C2853" s="6" t="str">
        <f t="shared" si="189"/>
        <v>0210</v>
      </c>
      <c r="D2853" s="6" t="s">
        <v>30</v>
      </c>
      <c r="E2853" s="6" t="str">
        <f>"孙耀玮"</f>
        <v>孙耀玮</v>
      </c>
      <c r="F2853" s="6" t="str">
        <f t="shared" si="192"/>
        <v>男</v>
      </c>
    </row>
    <row r="2854" spans="1:6" ht="30" customHeight="1">
      <c r="A2854" s="6">
        <v>2852</v>
      </c>
      <c r="B2854" s="6" t="str">
        <f>"53002023052909374790187"</f>
        <v>53002023052909374790187</v>
      </c>
      <c r="C2854" s="6" t="str">
        <f t="shared" si="189"/>
        <v>0210</v>
      </c>
      <c r="D2854" s="6" t="s">
        <v>30</v>
      </c>
      <c r="E2854" s="6" t="str">
        <f>"李昌寅"</f>
        <v>李昌寅</v>
      </c>
      <c r="F2854" s="6" t="str">
        <f t="shared" si="192"/>
        <v>男</v>
      </c>
    </row>
    <row r="2855" spans="1:6" ht="30" customHeight="1">
      <c r="A2855" s="6">
        <v>2853</v>
      </c>
      <c r="B2855" s="6" t="str">
        <f>"53002023052911530391578"</f>
        <v>53002023052911530391578</v>
      </c>
      <c r="C2855" s="6" t="str">
        <f t="shared" si="189"/>
        <v>0210</v>
      </c>
      <c r="D2855" s="6" t="s">
        <v>30</v>
      </c>
      <c r="E2855" s="6" t="str">
        <f>"陈显松"</f>
        <v>陈显松</v>
      </c>
      <c r="F2855" s="6" t="str">
        <f t="shared" si="192"/>
        <v>男</v>
      </c>
    </row>
    <row r="2856" spans="1:6" ht="30" customHeight="1">
      <c r="A2856" s="6">
        <v>2854</v>
      </c>
      <c r="B2856" s="6" t="str">
        <f>"53002023052910395390906"</f>
        <v>53002023052910395390906</v>
      </c>
      <c r="C2856" s="6" t="str">
        <f t="shared" si="189"/>
        <v>0210</v>
      </c>
      <c r="D2856" s="6" t="s">
        <v>30</v>
      </c>
      <c r="E2856" s="6" t="str">
        <f>"周中荣"</f>
        <v>周中荣</v>
      </c>
      <c r="F2856" s="6" t="str">
        <f t="shared" si="192"/>
        <v>男</v>
      </c>
    </row>
    <row r="2857" spans="1:6" ht="30" customHeight="1">
      <c r="A2857" s="6">
        <v>2855</v>
      </c>
      <c r="B2857" s="6" t="str">
        <f>"53002023052910342290839"</f>
        <v>53002023052910342290839</v>
      </c>
      <c r="C2857" s="6" t="str">
        <f t="shared" si="189"/>
        <v>0210</v>
      </c>
      <c r="D2857" s="6" t="s">
        <v>30</v>
      </c>
      <c r="E2857" s="6" t="str">
        <f>"黄加佳"</f>
        <v>黄加佳</v>
      </c>
      <c r="F2857" s="6" t="str">
        <f>"女"</f>
        <v>女</v>
      </c>
    </row>
    <row r="2858" spans="1:6" ht="30" customHeight="1">
      <c r="A2858" s="6">
        <v>2856</v>
      </c>
      <c r="B2858" s="6" t="str">
        <f>"53002023052912165191759"</f>
        <v>53002023052912165191759</v>
      </c>
      <c r="C2858" s="6" t="str">
        <f t="shared" si="189"/>
        <v>0210</v>
      </c>
      <c r="D2858" s="6" t="s">
        <v>30</v>
      </c>
      <c r="E2858" s="6" t="str">
        <f>"吴启高"</f>
        <v>吴启高</v>
      </c>
      <c r="F2858" s="6" t="str">
        <f>"男"</f>
        <v>男</v>
      </c>
    </row>
    <row r="2859" spans="1:6" ht="30" customHeight="1">
      <c r="A2859" s="6">
        <v>2857</v>
      </c>
      <c r="B2859" s="6" t="str">
        <f>"53002023052812455287344"</f>
        <v>53002023052812455287344</v>
      </c>
      <c r="C2859" s="6" t="str">
        <f t="shared" si="189"/>
        <v>0210</v>
      </c>
      <c r="D2859" s="6" t="s">
        <v>30</v>
      </c>
      <c r="E2859" s="6" t="str">
        <f>"刘璐"</f>
        <v>刘璐</v>
      </c>
      <c r="F2859" s="6" t="str">
        <f>"女"</f>
        <v>女</v>
      </c>
    </row>
    <row r="2860" spans="1:6" ht="30" customHeight="1">
      <c r="A2860" s="6">
        <v>2858</v>
      </c>
      <c r="B2860" s="6" t="str">
        <f>"53002023052913130892105"</f>
        <v>53002023052913130892105</v>
      </c>
      <c r="C2860" s="6" t="str">
        <f t="shared" si="189"/>
        <v>0210</v>
      </c>
      <c r="D2860" s="6" t="s">
        <v>30</v>
      </c>
      <c r="E2860" s="6" t="str">
        <f>"王晨润"</f>
        <v>王晨润</v>
      </c>
      <c r="F2860" s="6" t="str">
        <f>"男"</f>
        <v>男</v>
      </c>
    </row>
    <row r="2861" spans="1:6" ht="30" customHeight="1">
      <c r="A2861" s="6">
        <v>2859</v>
      </c>
      <c r="B2861" s="6" t="str">
        <f>"53002023052907534489454"</f>
        <v>53002023052907534489454</v>
      </c>
      <c r="C2861" s="6" t="str">
        <f t="shared" si="189"/>
        <v>0210</v>
      </c>
      <c r="D2861" s="6" t="s">
        <v>30</v>
      </c>
      <c r="E2861" s="6" t="str">
        <f>"刘叶媛"</f>
        <v>刘叶媛</v>
      </c>
      <c r="F2861" s="6" t="str">
        <f>"女"</f>
        <v>女</v>
      </c>
    </row>
    <row r="2862" spans="1:6" ht="30" customHeight="1">
      <c r="A2862" s="6">
        <v>2860</v>
      </c>
      <c r="B2862" s="6" t="str">
        <f>"53002023052915102992725"</f>
        <v>53002023052915102992725</v>
      </c>
      <c r="C2862" s="6" t="str">
        <f t="shared" si="189"/>
        <v>0210</v>
      </c>
      <c r="D2862" s="6" t="s">
        <v>30</v>
      </c>
      <c r="E2862" s="6" t="str">
        <f>"杨洋"</f>
        <v>杨洋</v>
      </c>
      <c r="F2862" s="6" t="str">
        <f>"男"</f>
        <v>男</v>
      </c>
    </row>
    <row r="2863" spans="1:6" ht="30" customHeight="1">
      <c r="A2863" s="6">
        <v>2861</v>
      </c>
      <c r="B2863" s="6" t="str">
        <f>"53002023052916211093287"</f>
        <v>53002023052916211093287</v>
      </c>
      <c r="C2863" s="6" t="str">
        <f t="shared" si="189"/>
        <v>0210</v>
      </c>
      <c r="D2863" s="6" t="s">
        <v>30</v>
      </c>
      <c r="E2863" s="6" t="str">
        <f>"张万"</f>
        <v>张万</v>
      </c>
      <c r="F2863" s="6" t="str">
        <f>"女"</f>
        <v>女</v>
      </c>
    </row>
    <row r="2864" spans="1:6" ht="30" customHeight="1">
      <c r="A2864" s="6">
        <v>2862</v>
      </c>
      <c r="B2864" s="6" t="str">
        <f>"53002023052916244293322"</f>
        <v>53002023052916244293322</v>
      </c>
      <c r="C2864" s="6" t="str">
        <f aca="true" t="shared" si="193" ref="C2864:C2927">"0210"</f>
        <v>0210</v>
      </c>
      <c r="D2864" s="6" t="s">
        <v>30</v>
      </c>
      <c r="E2864" s="6" t="str">
        <f>"符大树"</f>
        <v>符大树</v>
      </c>
      <c r="F2864" s="6" t="str">
        <f aca="true" t="shared" si="194" ref="F2864:F2869">"男"</f>
        <v>男</v>
      </c>
    </row>
    <row r="2865" spans="1:6" ht="30" customHeight="1">
      <c r="A2865" s="6">
        <v>2863</v>
      </c>
      <c r="B2865" s="6" t="str">
        <f>"53002023052914583992652"</f>
        <v>53002023052914583992652</v>
      </c>
      <c r="C2865" s="6" t="str">
        <f t="shared" si="193"/>
        <v>0210</v>
      </c>
      <c r="D2865" s="6" t="s">
        <v>30</v>
      </c>
      <c r="E2865" s="6" t="str">
        <f>"符仕颖"</f>
        <v>符仕颖</v>
      </c>
      <c r="F2865" s="6" t="str">
        <f t="shared" si="194"/>
        <v>男</v>
      </c>
    </row>
    <row r="2866" spans="1:6" ht="30" customHeight="1">
      <c r="A2866" s="6">
        <v>2864</v>
      </c>
      <c r="B2866" s="6" t="str">
        <f>"53002023052916464393477"</f>
        <v>53002023052916464393477</v>
      </c>
      <c r="C2866" s="6" t="str">
        <f t="shared" si="193"/>
        <v>0210</v>
      </c>
      <c r="D2866" s="6" t="s">
        <v>30</v>
      </c>
      <c r="E2866" s="6" t="str">
        <f>"黄城程"</f>
        <v>黄城程</v>
      </c>
      <c r="F2866" s="6" t="str">
        <f t="shared" si="194"/>
        <v>男</v>
      </c>
    </row>
    <row r="2867" spans="1:6" ht="30" customHeight="1">
      <c r="A2867" s="6">
        <v>2865</v>
      </c>
      <c r="B2867" s="6" t="str">
        <f>"53002023052917091793626"</f>
        <v>53002023052917091793626</v>
      </c>
      <c r="C2867" s="6" t="str">
        <f t="shared" si="193"/>
        <v>0210</v>
      </c>
      <c r="D2867" s="6" t="s">
        <v>30</v>
      </c>
      <c r="E2867" s="6" t="str">
        <f>"董林杰"</f>
        <v>董林杰</v>
      </c>
      <c r="F2867" s="6" t="str">
        <f t="shared" si="194"/>
        <v>男</v>
      </c>
    </row>
    <row r="2868" spans="1:6" ht="30" customHeight="1">
      <c r="A2868" s="6">
        <v>2866</v>
      </c>
      <c r="B2868" s="6" t="str">
        <f>"53002023052710494284119"</f>
        <v>53002023052710494284119</v>
      </c>
      <c r="C2868" s="6" t="str">
        <f t="shared" si="193"/>
        <v>0210</v>
      </c>
      <c r="D2868" s="6" t="s">
        <v>30</v>
      </c>
      <c r="E2868" s="6" t="str">
        <f>"李精才"</f>
        <v>李精才</v>
      </c>
      <c r="F2868" s="6" t="str">
        <f t="shared" si="194"/>
        <v>男</v>
      </c>
    </row>
    <row r="2869" spans="1:6" ht="30" customHeight="1">
      <c r="A2869" s="6">
        <v>2867</v>
      </c>
      <c r="B2869" s="6" t="str">
        <f>"53002023052916181193265"</f>
        <v>53002023052916181193265</v>
      </c>
      <c r="C2869" s="6" t="str">
        <f t="shared" si="193"/>
        <v>0210</v>
      </c>
      <c r="D2869" s="6" t="s">
        <v>30</v>
      </c>
      <c r="E2869" s="6" t="str">
        <f>"林岩"</f>
        <v>林岩</v>
      </c>
      <c r="F2869" s="6" t="str">
        <f t="shared" si="194"/>
        <v>男</v>
      </c>
    </row>
    <row r="2870" spans="1:6" ht="30" customHeight="1">
      <c r="A2870" s="6">
        <v>2868</v>
      </c>
      <c r="B2870" s="6" t="str">
        <f>"53002023052919513294370"</f>
        <v>53002023052919513294370</v>
      </c>
      <c r="C2870" s="6" t="str">
        <f t="shared" si="193"/>
        <v>0210</v>
      </c>
      <c r="D2870" s="6" t="s">
        <v>30</v>
      </c>
      <c r="E2870" s="6" t="str">
        <f>"陈晓玲"</f>
        <v>陈晓玲</v>
      </c>
      <c r="F2870" s="6" t="str">
        <f>"女"</f>
        <v>女</v>
      </c>
    </row>
    <row r="2871" spans="1:6" ht="30" customHeight="1">
      <c r="A2871" s="6">
        <v>2869</v>
      </c>
      <c r="B2871" s="6" t="str">
        <f>"53002023052920170794486"</f>
        <v>53002023052920170794486</v>
      </c>
      <c r="C2871" s="6" t="str">
        <f t="shared" si="193"/>
        <v>0210</v>
      </c>
      <c r="D2871" s="6" t="s">
        <v>30</v>
      </c>
      <c r="E2871" s="6" t="str">
        <f>"朱荟声"</f>
        <v>朱荟声</v>
      </c>
      <c r="F2871" s="6" t="str">
        <f aca="true" t="shared" si="195" ref="F2871:F2876">"男"</f>
        <v>男</v>
      </c>
    </row>
    <row r="2872" spans="1:6" ht="30" customHeight="1">
      <c r="A2872" s="6">
        <v>2870</v>
      </c>
      <c r="B2872" s="6" t="str">
        <f>"53002023052920570594700"</f>
        <v>53002023052920570594700</v>
      </c>
      <c r="C2872" s="6" t="str">
        <f t="shared" si="193"/>
        <v>0210</v>
      </c>
      <c r="D2872" s="6" t="s">
        <v>30</v>
      </c>
      <c r="E2872" s="6" t="str">
        <f>"黄姿棉"</f>
        <v>黄姿棉</v>
      </c>
      <c r="F2872" s="6" t="str">
        <f t="shared" si="195"/>
        <v>男</v>
      </c>
    </row>
    <row r="2873" spans="1:6" ht="30" customHeight="1">
      <c r="A2873" s="6">
        <v>2871</v>
      </c>
      <c r="B2873" s="6" t="str">
        <f>"53002023052920031094426"</f>
        <v>53002023052920031094426</v>
      </c>
      <c r="C2873" s="6" t="str">
        <f t="shared" si="193"/>
        <v>0210</v>
      </c>
      <c r="D2873" s="6" t="s">
        <v>30</v>
      </c>
      <c r="E2873" s="6" t="str">
        <f>"符国杨"</f>
        <v>符国杨</v>
      </c>
      <c r="F2873" s="6" t="str">
        <f t="shared" si="195"/>
        <v>男</v>
      </c>
    </row>
    <row r="2874" spans="1:6" ht="30" customHeight="1">
      <c r="A2874" s="6">
        <v>2872</v>
      </c>
      <c r="B2874" s="6" t="str">
        <f>"53002023052916045893158"</f>
        <v>53002023052916045893158</v>
      </c>
      <c r="C2874" s="6" t="str">
        <f t="shared" si="193"/>
        <v>0210</v>
      </c>
      <c r="D2874" s="6" t="s">
        <v>30</v>
      </c>
      <c r="E2874" s="6" t="str">
        <f>"何昱辰"</f>
        <v>何昱辰</v>
      </c>
      <c r="F2874" s="6" t="str">
        <f t="shared" si="195"/>
        <v>男</v>
      </c>
    </row>
    <row r="2875" spans="1:6" ht="30" customHeight="1">
      <c r="A2875" s="6">
        <v>2873</v>
      </c>
      <c r="B2875" s="6" t="str">
        <f>"53002023052716234885290"</f>
        <v>53002023052716234885290</v>
      </c>
      <c r="C2875" s="6" t="str">
        <f t="shared" si="193"/>
        <v>0210</v>
      </c>
      <c r="D2875" s="6" t="s">
        <v>30</v>
      </c>
      <c r="E2875" s="6" t="str">
        <f>"雷宇健"</f>
        <v>雷宇健</v>
      </c>
      <c r="F2875" s="6" t="str">
        <f t="shared" si="195"/>
        <v>男</v>
      </c>
    </row>
    <row r="2876" spans="1:6" ht="30" customHeight="1">
      <c r="A2876" s="6">
        <v>2874</v>
      </c>
      <c r="B2876" s="6" t="str">
        <f>"53002023052921401594957"</f>
        <v>53002023052921401594957</v>
      </c>
      <c r="C2876" s="6" t="str">
        <f t="shared" si="193"/>
        <v>0210</v>
      </c>
      <c r="D2876" s="6" t="s">
        <v>30</v>
      </c>
      <c r="E2876" s="6" t="str">
        <f>"朱发东"</f>
        <v>朱发东</v>
      </c>
      <c r="F2876" s="6" t="str">
        <f t="shared" si="195"/>
        <v>男</v>
      </c>
    </row>
    <row r="2877" spans="1:6" ht="30" customHeight="1">
      <c r="A2877" s="6">
        <v>2875</v>
      </c>
      <c r="B2877" s="6" t="str">
        <f>"53002023052919512894368"</f>
        <v>53002023052919512894368</v>
      </c>
      <c r="C2877" s="6" t="str">
        <f t="shared" si="193"/>
        <v>0210</v>
      </c>
      <c r="D2877" s="6" t="s">
        <v>30</v>
      </c>
      <c r="E2877" s="6" t="str">
        <f>"贺佳欣"</f>
        <v>贺佳欣</v>
      </c>
      <c r="F2877" s="6" t="str">
        <f>"女"</f>
        <v>女</v>
      </c>
    </row>
    <row r="2878" spans="1:6" ht="30" customHeight="1">
      <c r="A2878" s="6">
        <v>2876</v>
      </c>
      <c r="B2878" s="6" t="str">
        <f>"53002023052922095495126"</f>
        <v>53002023052922095495126</v>
      </c>
      <c r="C2878" s="6" t="str">
        <f t="shared" si="193"/>
        <v>0210</v>
      </c>
      <c r="D2878" s="6" t="s">
        <v>30</v>
      </c>
      <c r="E2878" s="6" t="str">
        <f>"王文标"</f>
        <v>王文标</v>
      </c>
      <c r="F2878" s="6" t="str">
        <f>"男"</f>
        <v>男</v>
      </c>
    </row>
    <row r="2879" spans="1:6" ht="30" customHeight="1">
      <c r="A2879" s="6">
        <v>2877</v>
      </c>
      <c r="B2879" s="6" t="str">
        <f>"53002023052711175584245"</f>
        <v>53002023052711175584245</v>
      </c>
      <c r="C2879" s="6" t="str">
        <f t="shared" si="193"/>
        <v>0210</v>
      </c>
      <c r="D2879" s="6" t="s">
        <v>30</v>
      </c>
      <c r="E2879" s="6" t="str">
        <f>"黄启丽"</f>
        <v>黄启丽</v>
      </c>
      <c r="F2879" s="6" t="str">
        <f>"女"</f>
        <v>女</v>
      </c>
    </row>
    <row r="2880" spans="1:6" ht="30" customHeight="1">
      <c r="A2880" s="6">
        <v>2878</v>
      </c>
      <c r="B2880" s="6" t="str">
        <f>"53002023052922305095242"</f>
        <v>53002023052922305095242</v>
      </c>
      <c r="C2880" s="6" t="str">
        <f t="shared" si="193"/>
        <v>0210</v>
      </c>
      <c r="D2880" s="6" t="s">
        <v>30</v>
      </c>
      <c r="E2880" s="6" t="str">
        <f>"胡其伶"</f>
        <v>胡其伶</v>
      </c>
      <c r="F2880" s="6" t="str">
        <f>"男"</f>
        <v>男</v>
      </c>
    </row>
    <row r="2881" spans="1:6" ht="30" customHeight="1">
      <c r="A2881" s="6">
        <v>2879</v>
      </c>
      <c r="B2881" s="6" t="str">
        <f>"53002023052923081395448"</f>
        <v>53002023052923081395448</v>
      </c>
      <c r="C2881" s="6" t="str">
        <f t="shared" si="193"/>
        <v>0210</v>
      </c>
      <c r="D2881" s="6" t="s">
        <v>30</v>
      </c>
      <c r="E2881" s="6" t="str">
        <f>"王爽"</f>
        <v>王爽</v>
      </c>
      <c r="F2881" s="6" t="str">
        <f>"男"</f>
        <v>男</v>
      </c>
    </row>
    <row r="2882" spans="1:6" ht="30" customHeight="1">
      <c r="A2882" s="6">
        <v>2880</v>
      </c>
      <c r="B2882" s="6" t="str">
        <f>"53002023052923073595444"</f>
        <v>53002023052923073595444</v>
      </c>
      <c r="C2882" s="6" t="str">
        <f t="shared" si="193"/>
        <v>0210</v>
      </c>
      <c r="D2882" s="6" t="s">
        <v>30</v>
      </c>
      <c r="E2882" s="6" t="str">
        <f>"吉才得"</f>
        <v>吉才得</v>
      </c>
      <c r="F2882" s="6" t="str">
        <f>"男"</f>
        <v>男</v>
      </c>
    </row>
    <row r="2883" spans="1:6" ht="30" customHeight="1">
      <c r="A2883" s="6">
        <v>2881</v>
      </c>
      <c r="B2883" s="6" t="str">
        <f>"53002023052823551489316"</f>
        <v>53002023052823551489316</v>
      </c>
      <c r="C2883" s="6" t="str">
        <f t="shared" si="193"/>
        <v>0210</v>
      </c>
      <c r="D2883" s="6" t="s">
        <v>30</v>
      </c>
      <c r="E2883" s="6" t="str">
        <f>"肖丙璐"</f>
        <v>肖丙璐</v>
      </c>
      <c r="F2883" s="6" t="str">
        <f>"男"</f>
        <v>男</v>
      </c>
    </row>
    <row r="2884" spans="1:6" ht="30" customHeight="1">
      <c r="A2884" s="6">
        <v>2882</v>
      </c>
      <c r="B2884" s="6" t="str">
        <f>"53002023052915175292783"</f>
        <v>53002023052915175292783</v>
      </c>
      <c r="C2884" s="6" t="str">
        <f t="shared" si="193"/>
        <v>0210</v>
      </c>
      <c r="D2884" s="6" t="s">
        <v>30</v>
      </c>
      <c r="E2884" s="6" t="str">
        <f>"黄朝华"</f>
        <v>黄朝华</v>
      </c>
      <c r="F2884" s="6" t="str">
        <f>"男"</f>
        <v>男</v>
      </c>
    </row>
    <row r="2885" spans="1:6" ht="30" customHeight="1">
      <c r="A2885" s="6">
        <v>2883</v>
      </c>
      <c r="B2885" s="6" t="str">
        <f>"53002023053000313395681"</f>
        <v>53002023053000313395681</v>
      </c>
      <c r="C2885" s="6" t="str">
        <f t="shared" si="193"/>
        <v>0210</v>
      </c>
      <c r="D2885" s="6" t="s">
        <v>30</v>
      </c>
      <c r="E2885" s="6" t="str">
        <f>"符岸珠"</f>
        <v>符岸珠</v>
      </c>
      <c r="F2885" s="6" t="str">
        <f>"女"</f>
        <v>女</v>
      </c>
    </row>
    <row r="2886" spans="1:6" ht="30" customHeight="1">
      <c r="A2886" s="6">
        <v>2884</v>
      </c>
      <c r="B2886" s="6" t="str">
        <f>"53002023052715460785171"</f>
        <v>53002023052715460785171</v>
      </c>
      <c r="C2886" s="6" t="str">
        <f t="shared" si="193"/>
        <v>0210</v>
      </c>
      <c r="D2886" s="6" t="s">
        <v>30</v>
      </c>
      <c r="E2886" s="6" t="str">
        <f>"符杰珍"</f>
        <v>符杰珍</v>
      </c>
      <c r="F2886" s="6" t="str">
        <f aca="true" t="shared" si="196" ref="F2886:F2891">"男"</f>
        <v>男</v>
      </c>
    </row>
    <row r="2887" spans="1:6" ht="30" customHeight="1">
      <c r="A2887" s="6">
        <v>2885</v>
      </c>
      <c r="B2887" s="6" t="str">
        <f>"53002023053008041095809"</f>
        <v>53002023053008041095809</v>
      </c>
      <c r="C2887" s="6" t="str">
        <f t="shared" si="193"/>
        <v>0210</v>
      </c>
      <c r="D2887" s="6" t="s">
        <v>30</v>
      </c>
      <c r="E2887" s="6" t="str">
        <f>"黄永钢"</f>
        <v>黄永钢</v>
      </c>
      <c r="F2887" s="6" t="str">
        <f t="shared" si="196"/>
        <v>男</v>
      </c>
    </row>
    <row r="2888" spans="1:6" ht="30" customHeight="1">
      <c r="A2888" s="6">
        <v>2886</v>
      </c>
      <c r="B2888" s="6" t="str">
        <f>"53002023053008134195831"</f>
        <v>53002023053008134195831</v>
      </c>
      <c r="C2888" s="6" t="str">
        <f t="shared" si="193"/>
        <v>0210</v>
      </c>
      <c r="D2888" s="6" t="s">
        <v>30</v>
      </c>
      <c r="E2888" s="6" t="str">
        <f>"郑必强"</f>
        <v>郑必强</v>
      </c>
      <c r="F2888" s="6" t="str">
        <f t="shared" si="196"/>
        <v>男</v>
      </c>
    </row>
    <row r="2889" spans="1:6" ht="30" customHeight="1">
      <c r="A2889" s="6">
        <v>2887</v>
      </c>
      <c r="B2889" s="6" t="str">
        <f>"53002023053008272195862"</f>
        <v>53002023053008272195862</v>
      </c>
      <c r="C2889" s="6" t="str">
        <f t="shared" si="193"/>
        <v>0210</v>
      </c>
      <c r="D2889" s="6" t="s">
        <v>30</v>
      </c>
      <c r="E2889" s="6" t="str">
        <f>"莫翠山"</f>
        <v>莫翠山</v>
      </c>
      <c r="F2889" s="6" t="str">
        <f t="shared" si="196"/>
        <v>男</v>
      </c>
    </row>
    <row r="2890" spans="1:6" ht="30" customHeight="1">
      <c r="A2890" s="6">
        <v>2888</v>
      </c>
      <c r="B2890" s="6" t="str">
        <f>"53002023053009010395984"</f>
        <v>53002023053009010395984</v>
      </c>
      <c r="C2890" s="6" t="str">
        <f t="shared" si="193"/>
        <v>0210</v>
      </c>
      <c r="D2890" s="6" t="s">
        <v>30</v>
      </c>
      <c r="E2890" s="6" t="str">
        <f>"李运睿"</f>
        <v>李运睿</v>
      </c>
      <c r="F2890" s="6" t="str">
        <f t="shared" si="196"/>
        <v>男</v>
      </c>
    </row>
    <row r="2891" spans="1:6" ht="30" customHeight="1">
      <c r="A2891" s="6">
        <v>2889</v>
      </c>
      <c r="B2891" s="6" t="str">
        <f>"53002023052922243395212"</f>
        <v>53002023052922243395212</v>
      </c>
      <c r="C2891" s="6" t="str">
        <f t="shared" si="193"/>
        <v>0210</v>
      </c>
      <c r="D2891" s="6" t="s">
        <v>30</v>
      </c>
      <c r="E2891" s="6" t="str">
        <f>"陈万源"</f>
        <v>陈万源</v>
      </c>
      <c r="F2891" s="6" t="str">
        <f t="shared" si="196"/>
        <v>男</v>
      </c>
    </row>
    <row r="2892" spans="1:6" ht="30" customHeight="1">
      <c r="A2892" s="6">
        <v>2890</v>
      </c>
      <c r="B2892" s="6" t="str">
        <f>"53002023052809121086834"</f>
        <v>53002023052809121086834</v>
      </c>
      <c r="C2892" s="6" t="str">
        <f t="shared" si="193"/>
        <v>0210</v>
      </c>
      <c r="D2892" s="6" t="s">
        <v>30</v>
      </c>
      <c r="E2892" s="6" t="str">
        <f>"梁艳云"</f>
        <v>梁艳云</v>
      </c>
      <c r="F2892" s="6" t="str">
        <f>"女"</f>
        <v>女</v>
      </c>
    </row>
    <row r="2893" spans="1:6" ht="30" customHeight="1">
      <c r="A2893" s="6">
        <v>2891</v>
      </c>
      <c r="B2893" s="6" t="str">
        <f>"53002023053009211396158"</f>
        <v>53002023053009211396158</v>
      </c>
      <c r="C2893" s="6" t="str">
        <f t="shared" si="193"/>
        <v>0210</v>
      </c>
      <c r="D2893" s="6" t="s">
        <v>30</v>
      </c>
      <c r="E2893" s="6" t="str">
        <f>"何家良"</f>
        <v>何家良</v>
      </c>
      <c r="F2893" s="6" t="str">
        <f>"男"</f>
        <v>男</v>
      </c>
    </row>
    <row r="2894" spans="1:6" ht="30" customHeight="1">
      <c r="A2894" s="6">
        <v>2892</v>
      </c>
      <c r="B2894" s="6" t="str">
        <f>"53002023053009512996400"</f>
        <v>53002023053009512996400</v>
      </c>
      <c r="C2894" s="6" t="str">
        <f t="shared" si="193"/>
        <v>0210</v>
      </c>
      <c r="D2894" s="6" t="s">
        <v>30</v>
      </c>
      <c r="E2894" s="6" t="str">
        <f>"刘法浩"</f>
        <v>刘法浩</v>
      </c>
      <c r="F2894" s="6" t="str">
        <f>"男"</f>
        <v>男</v>
      </c>
    </row>
    <row r="2895" spans="1:6" ht="30" customHeight="1">
      <c r="A2895" s="6">
        <v>2893</v>
      </c>
      <c r="B2895" s="6" t="str">
        <f>"53002023052718211985651"</f>
        <v>53002023052718211985651</v>
      </c>
      <c r="C2895" s="6" t="str">
        <f t="shared" si="193"/>
        <v>0210</v>
      </c>
      <c r="D2895" s="6" t="s">
        <v>30</v>
      </c>
      <c r="E2895" s="6" t="str">
        <f>"吴定秋"</f>
        <v>吴定秋</v>
      </c>
      <c r="F2895" s="6" t="str">
        <f>"女"</f>
        <v>女</v>
      </c>
    </row>
    <row r="2896" spans="1:6" ht="30" customHeight="1">
      <c r="A2896" s="6">
        <v>2894</v>
      </c>
      <c r="B2896" s="6" t="str">
        <f>"53002023053009100896061"</f>
        <v>53002023053009100896061</v>
      </c>
      <c r="C2896" s="6" t="str">
        <f t="shared" si="193"/>
        <v>0210</v>
      </c>
      <c r="D2896" s="6" t="s">
        <v>30</v>
      </c>
      <c r="E2896" s="6" t="str">
        <f>"陈柏旭"</f>
        <v>陈柏旭</v>
      </c>
      <c r="F2896" s="6" t="str">
        <f>"男"</f>
        <v>男</v>
      </c>
    </row>
    <row r="2897" spans="1:6" ht="30" customHeight="1">
      <c r="A2897" s="6">
        <v>2895</v>
      </c>
      <c r="B2897" s="6" t="str">
        <f>"53002023053009383396289"</f>
        <v>53002023053009383396289</v>
      </c>
      <c r="C2897" s="6" t="str">
        <f t="shared" si="193"/>
        <v>0210</v>
      </c>
      <c r="D2897" s="6" t="s">
        <v>30</v>
      </c>
      <c r="E2897" s="6" t="str">
        <f>"林海威"</f>
        <v>林海威</v>
      </c>
      <c r="F2897" s="6" t="str">
        <f>"男"</f>
        <v>男</v>
      </c>
    </row>
    <row r="2898" spans="1:6" ht="30" customHeight="1">
      <c r="A2898" s="6">
        <v>2896</v>
      </c>
      <c r="B2898" s="6" t="str">
        <f>"53002023052820513288759"</f>
        <v>53002023052820513288759</v>
      </c>
      <c r="C2898" s="6" t="str">
        <f t="shared" si="193"/>
        <v>0210</v>
      </c>
      <c r="D2898" s="6" t="s">
        <v>30</v>
      </c>
      <c r="E2898" s="6" t="str">
        <f>"陈祖钰"</f>
        <v>陈祖钰</v>
      </c>
      <c r="F2898" s="6" t="str">
        <f>"男"</f>
        <v>男</v>
      </c>
    </row>
    <row r="2899" spans="1:6" ht="30" customHeight="1">
      <c r="A2899" s="6">
        <v>2897</v>
      </c>
      <c r="B2899" s="6" t="str">
        <f>"53002023053010553796908"</f>
        <v>53002023053010553796908</v>
      </c>
      <c r="C2899" s="6" t="str">
        <f t="shared" si="193"/>
        <v>0210</v>
      </c>
      <c r="D2899" s="6" t="s">
        <v>30</v>
      </c>
      <c r="E2899" s="6" t="str">
        <f>"马若君"</f>
        <v>马若君</v>
      </c>
      <c r="F2899" s="6" t="str">
        <f>"女"</f>
        <v>女</v>
      </c>
    </row>
    <row r="2900" spans="1:6" ht="30" customHeight="1">
      <c r="A2900" s="6">
        <v>2898</v>
      </c>
      <c r="B2900" s="6" t="str">
        <f>"53002023052711283784296"</f>
        <v>53002023052711283784296</v>
      </c>
      <c r="C2900" s="6" t="str">
        <f t="shared" si="193"/>
        <v>0210</v>
      </c>
      <c r="D2900" s="6" t="s">
        <v>30</v>
      </c>
      <c r="E2900" s="6" t="str">
        <f>"陈焕超"</f>
        <v>陈焕超</v>
      </c>
      <c r="F2900" s="6" t="str">
        <f>"男"</f>
        <v>男</v>
      </c>
    </row>
    <row r="2901" spans="1:6" ht="30" customHeight="1">
      <c r="A2901" s="6">
        <v>2899</v>
      </c>
      <c r="B2901" s="6" t="str">
        <f>"53002023053008370095886"</f>
        <v>53002023053008370095886</v>
      </c>
      <c r="C2901" s="6" t="str">
        <f t="shared" si="193"/>
        <v>0210</v>
      </c>
      <c r="D2901" s="6" t="s">
        <v>30</v>
      </c>
      <c r="E2901" s="6" t="str">
        <f>"袁苑"</f>
        <v>袁苑</v>
      </c>
      <c r="F2901" s="6" t="str">
        <f>"女"</f>
        <v>女</v>
      </c>
    </row>
    <row r="2902" spans="1:6" ht="30" customHeight="1">
      <c r="A2902" s="6">
        <v>2900</v>
      </c>
      <c r="B2902" s="6" t="str">
        <f>"53002023052714154584877"</f>
        <v>53002023052714154584877</v>
      </c>
      <c r="C2902" s="6" t="str">
        <f t="shared" si="193"/>
        <v>0210</v>
      </c>
      <c r="D2902" s="6" t="s">
        <v>30</v>
      </c>
      <c r="E2902" s="6" t="str">
        <f>"唐广昌"</f>
        <v>唐广昌</v>
      </c>
      <c r="F2902" s="6" t="str">
        <f>"男"</f>
        <v>男</v>
      </c>
    </row>
    <row r="2903" spans="1:6" ht="30" customHeight="1">
      <c r="A2903" s="6">
        <v>2901</v>
      </c>
      <c r="B2903" s="6" t="str">
        <f>"53002023053012465897642"</f>
        <v>53002023053012465897642</v>
      </c>
      <c r="C2903" s="6" t="str">
        <f t="shared" si="193"/>
        <v>0210</v>
      </c>
      <c r="D2903" s="6" t="s">
        <v>30</v>
      </c>
      <c r="E2903" s="6" t="str">
        <f>"黄泽翔"</f>
        <v>黄泽翔</v>
      </c>
      <c r="F2903" s="6" t="str">
        <f>"男"</f>
        <v>男</v>
      </c>
    </row>
    <row r="2904" spans="1:6" ht="30" customHeight="1">
      <c r="A2904" s="6">
        <v>2902</v>
      </c>
      <c r="B2904" s="6" t="str">
        <f>"53002023053012414297618"</f>
        <v>53002023053012414297618</v>
      </c>
      <c r="C2904" s="6" t="str">
        <f t="shared" si="193"/>
        <v>0210</v>
      </c>
      <c r="D2904" s="6" t="s">
        <v>30</v>
      </c>
      <c r="E2904" s="6" t="str">
        <f>"李兴军"</f>
        <v>李兴军</v>
      </c>
      <c r="F2904" s="6" t="str">
        <f>"男"</f>
        <v>男</v>
      </c>
    </row>
    <row r="2905" spans="1:6" ht="30" customHeight="1">
      <c r="A2905" s="6">
        <v>2903</v>
      </c>
      <c r="B2905" s="6" t="str">
        <f>"53002023053012504197663"</f>
        <v>53002023053012504197663</v>
      </c>
      <c r="C2905" s="6" t="str">
        <f t="shared" si="193"/>
        <v>0210</v>
      </c>
      <c r="D2905" s="6" t="s">
        <v>30</v>
      </c>
      <c r="E2905" s="6" t="str">
        <f>"冯倩燕"</f>
        <v>冯倩燕</v>
      </c>
      <c r="F2905" s="6" t="str">
        <f>"女"</f>
        <v>女</v>
      </c>
    </row>
    <row r="2906" spans="1:6" ht="30" customHeight="1">
      <c r="A2906" s="6">
        <v>2904</v>
      </c>
      <c r="B2906" s="6" t="str">
        <f>"53002023053013071097773"</f>
        <v>53002023053013071097773</v>
      </c>
      <c r="C2906" s="6" t="str">
        <f t="shared" si="193"/>
        <v>0210</v>
      </c>
      <c r="D2906" s="6" t="s">
        <v>30</v>
      </c>
      <c r="E2906" s="6" t="str">
        <f>"陈杰"</f>
        <v>陈杰</v>
      </c>
      <c r="F2906" s="6" t="str">
        <f aca="true" t="shared" si="197" ref="F2906:F2911">"男"</f>
        <v>男</v>
      </c>
    </row>
    <row r="2907" spans="1:6" ht="30" customHeight="1">
      <c r="A2907" s="6">
        <v>2905</v>
      </c>
      <c r="B2907" s="6" t="str">
        <f>"53002023053012591597724"</f>
        <v>53002023053012591597724</v>
      </c>
      <c r="C2907" s="6" t="str">
        <f t="shared" si="193"/>
        <v>0210</v>
      </c>
      <c r="D2907" s="6" t="s">
        <v>30</v>
      </c>
      <c r="E2907" s="6" t="str">
        <f>"蒲智善"</f>
        <v>蒲智善</v>
      </c>
      <c r="F2907" s="6" t="str">
        <f t="shared" si="197"/>
        <v>男</v>
      </c>
    </row>
    <row r="2908" spans="1:6" ht="30" customHeight="1">
      <c r="A2908" s="6">
        <v>2906</v>
      </c>
      <c r="B2908" s="6" t="str">
        <f>"53002023053013123297803"</f>
        <v>53002023053013123297803</v>
      </c>
      <c r="C2908" s="6" t="str">
        <f t="shared" si="193"/>
        <v>0210</v>
      </c>
      <c r="D2908" s="6" t="s">
        <v>30</v>
      </c>
      <c r="E2908" s="6" t="str">
        <f>"宋文涛"</f>
        <v>宋文涛</v>
      </c>
      <c r="F2908" s="6" t="str">
        <f t="shared" si="197"/>
        <v>男</v>
      </c>
    </row>
    <row r="2909" spans="1:6" ht="30" customHeight="1">
      <c r="A2909" s="6">
        <v>2907</v>
      </c>
      <c r="B2909" s="6" t="str">
        <f>"53002023052720014385927"</f>
        <v>53002023052720014385927</v>
      </c>
      <c r="C2909" s="6" t="str">
        <f t="shared" si="193"/>
        <v>0210</v>
      </c>
      <c r="D2909" s="6" t="s">
        <v>30</v>
      </c>
      <c r="E2909" s="6" t="str">
        <f>"黎耀知"</f>
        <v>黎耀知</v>
      </c>
      <c r="F2909" s="6" t="str">
        <f t="shared" si="197"/>
        <v>男</v>
      </c>
    </row>
    <row r="2910" spans="1:6" ht="30" customHeight="1">
      <c r="A2910" s="6">
        <v>2908</v>
      </c>
      <c r="B2910" s="6" t="str">
        <f>"53002023053009591896447"</f>
        <v>53002023053009591896447</v>
      </c>
      <c r="C2910" s="6" t="str">
        <f t="shared" si="193"/>
        <v>0210</v>
      </c>
      <c r="D2910" s="6" t="s">
        <v>30</v>
      </c>
      <c r="E2910" s="6" t="str">
        <f>"黄朝静"</f>
        <v>黄朝静</v>
      </c>
      <c r="F2910" s="6" t="str">
        <f t="shared" si="197"/>
        <v>男</v>
      </c>
    </row>
    <row r="2911" spans="1:6" ht="30" customHeight="1">
      <c r="A2911" s="6">
        <v>2909</v>
      </c>
      <c r="B2911" s="6" t="str">
        <f>"53002023052710180783973"</f>
        <v>53002023052710180783973</v>
      </c>
      <c r="C2911" s="6" t="str">
        <f t="shared" si="193"/>
        <v>0210</v>
      </c>
      <c r="D2911" s="6" t="s">
        <v>30</v>
      </c>
      <c r="E2911" s="6" t="str">
        <f>"吴多超"</f>
        <v>吴多超</v>
      </c>
      <c r="F2911" s="6" t="str">
        <f t="shared" si="197"/>
        <v>男</v>
      </c>
    </row>
    <row r="2912" spans="1:6" ht="30" customHeight="1">
      <c r="A2912" s="6">
        <v>2910</v>
      </c>
      <c r="B2912" s="6" t="str">
        <f>"53002023053012022797416"</f>
        <v>53002023053012022797416</v>
      </c>
      <c r="C2912" s="6" t="str">
        <f t="shared" si="193"/>
        <v>0210</v>
      </c>
      <c r="D2912" s="6" t="s">
        <v>30</v>
      </c>
      <c r="E2912" s="6" t="str">
        <f>"吴金霞"</f>
        <v>吴金霞</v>
      </c>
      <c r="F2912" s="6" t="str">
        <f>"女"</f>
        <v>女</v>
      </c>
    </row>
    <row r="2913" spans="1:6" ht="30" customHeight="1">
      <c r="A2913" s="6">
        <v>2911</v>
      </c>
      <c r="B2913" s="6" t="str">
        <f>"53002023052915455393008"</f>
        <v>53002023052915455393008</v>
      </c>
      <c r="C2913" s="6" t="str">
        <f t="shared" si="193"/>
        <v>0210</v>
      </c>
      <c r="D2913" s="6" t="s">
        <v>30</v>
      </c>
      <c r="E2913" s="6" t="str">
        <f>"罗洁"</f>
        <v>罗洁</v>
      </c>
      <c r="F2913" s="6" t="str">
        <f>"女"</f>
        <v>女</v>
      </c>
    </row>
    <row r="2914" spans="1:6" ht="30" customHeight="1">
      <c r="A2914" s="6">
        <v>2912</v>
      </c>
      <c r="B2914" s="6" t="str">
        <f>"53002023053015134698369"</f>
        <v>53002023053015134698369</v>
      </c>
      <c r="C2914" s="6" t="str">
        <f t="shared" si="193"/>
        <v>0210</v>
      </c>
      <c r="D2914" s="6" t="s">
        <v>30</v>
      </c>
      <c r="E2914" s="6" t="str">
        <f>"王晓程"</f>
        <v>王晓程</v>
      </c>
      <c r="F2914" s="6" t="str">
        <f>"女"</f>
        <v>女</v>
      </c>
    </row>
    <row r="2915" spans="1:6" ht="30" customHeight="1">
      <c r="A2915" s="6">
        <v>2913</v>
      </c>
      <c r="B2915" s="6" t="str">
        <f>"53002023052907502489448"</f>
        <v>53002023052907502489448</v>
      </c>
      <c r="C2915" s="6" t="str">
        <f t="shared" si="193"/>
        <v>0210</v>
      </c>
      <c r="D2915" s="6" t="s">
        <v>30</v>
      </c>
      <c r="E2915" s="6" t="str">
        <f>"杨剑"</f>
        <v>杨剑</v>
      </c>
      <c r="F2915" s="6" t="str">
        <f aca="true" t="shared" si="198" ref="F2915:F2921">"男"</f>
        <v>男</v>
      </c>
    </row>
    <row r="2916" spans="1:6" ht="30" customHeight="1">
      <c r="A2916" s="6">
        <v>2914</v>
      </c>
      <c r="B2916" s="6" t="str">
        <f>"53002023052923123895469"</f>
        <v>53002023052923123895469</v>
      </c>
      <c r="C2916" s="6" t="str">
        <f t="shared" si="193"/>
        <v>0210</v>
      </c>
      <c r="D2916" s="6" t="s">
        <v>30</v>
      </c>
      <c r="E2916" s="6" t="str">
        <f>"陈焕栋"</f>
        <v>陈焕栋</v>
      </c>
      <c r="F2916" s="6" t="str">
        <f t="shared" si="198"/>
        <v>男</v>
      </c>
    </row>
    <row r="2917" spans="1:6" ht="30" customHeight="1">
      <c r="A2917" s="6">
        <v>2915</v>
      </c>
      <c r="B2917" s="6" t="str">
        <f>"53002023052922433195318"</f>
        <v>53002023052922433195318</v>
      </c>
      <c r="C2917" s="6" t="str">
        <f t="shared" si="193"/>
        <v>0210</v>
      </c>
      <c r="D2917" s="6" t="s">
        <v>30</v>
      </c>
      <c r="E2917" s="6" t="str">
        <f>"王茂阳"</f>
        <v>王茂阳</v>
      </c>
      <c r="F2917" s="6" t="str">
        <f t="shared" si="198"/>
        <v>男</v>
      </c>
    </row>
    <row r="2918" spans="1:6" ht="30" customHeight="1">
      <c r="A2918" s="6">
        <v>2916</v>
      </c>
      <c r="B2918" s="6" t="str">
        <f>"53002023053016241498834"</f>
        <v>53002023053016241498834</v>
      </c>
      <c r="C2918" s="6" t="str">
        <f t="shared" si="193"/>
        <v>0210</v>
      </c>
      <c r="D2918" s="6" t="s">
        <v>30</v>
      </c>
      <c r="E2918" s="6" t="str">
        <f>"陈奕森"</f>
        <v>陈奕森</v>
      </c>
      <c r="F2918" s="6" t="str">
        <f t="shared" si="198"/>
        <v>男</v>
      </c>
    </row>
    <row r="2919" spans="1:6" ht="30" customHeight="1">
      <c r="A2919" s="6">
        <v>2917</v>
      </c>
      <c r="B2919" s="6" t="str">
        <f>"53002023053016535299030"</f>
        <v>53002023053016535299030</v>
      </c>
      <c r="C2919" s="6" t="str">
        <f t="shared" si="193"/>
        <v>0210</v>
      </c>
      <c r="D2919" s="6" t="s">
        <v>30</v>
      </c>
      <c r="E2919" s="6" t="str">
        <f>"王先清"</f>
        <v>王先清</v>
      </c>
      <c r="F2919" s="6" t="str">
        <f t="shared" si="198"/>
        <v>男</v>
      </c>
    </row>
    <row r="2920" spans="1:6" ht="30" customHeight="1">
      <c r="A2920" s="6">
        <v>2918</v>
      </c>
      <c r="B2920" s="6" t="str">
        <f>"53002023053016344898901"</f>
        <v>53002023053016344898901</v>
      </c>
      <c r="C2920" s="6" t="str">
        <f t="shared" si="193"/>
        <v>0210</v>
      </c>
      <c r="D2920" s="6" t="s">
        <v>30</v>
      </c>
      <c r="E2920" s="6" t="str">
        <f>"何文华"</f>
        <v>何文华</v>
      </c>
      <c r="F2920" s="6" t="str">
        <f t="shared" si="198"/>
        <v>男</v>
      </c>
    </row>
    <row r="2921" spans="1:6" ht="30" customHeight="1">
      <c r="A2921" s="6">
        <v>2919</v>
      </c>
      <c r="B2921" s="6" t="str">
        <f>"53002023053015203498405"</f>
        <v>53002023053015203498405</v>
      </c>
      <c r="C2921" s="6" t="str">
        <f t="shared" si="193"/>
        <v>0210</v>
      </c>
      <c r="D2921" s="6" t="s">
        <v>30</v>
      </c>
      <c r="E2921" s="6" t="str">
        <f>"董乾"</f>
        <v>董乾</v>
      </c>
      <c r="F2921" s="6" t="str">
        <f t="shared" si="198"/>
        <v>男</v>
      </c>
    </row>
    <row r="2922" spans="1:6" ht="30" customHeight="1">
      <c r="A2922" s="6">
        <v>2920</v>
      </c>
      <c r="B2922" s="6" t="str">
        <f>"53002023053008402495897"</f>
        <v>53002023053008402495897</v>
      </c>
      <c r="C2922" s="6" t="str">
        <f t="shared" si="193"/>
        <v>0210</v>
      </c>
      <c r="D2922" s="6" t="s">
        <v>30</v>
      </c>
      <c r="E2922" s="6" t="str">
        <f>"李海南"</f>
        <v>李海南</v>
      </c>
      <c r="F2922" s="6" t="str">
        <f>"女"</f>
        <v>女</v>
      </c>
    </row>
    <row r="2923" spans="1:6" ht="30" customHeight="1">
      <c r="A2923" s="6">
        <v>2921</v>
      </c>
      <c r="B2923" s="6" t="str">
        <f>"53002023053016192698799"</f>
        <v>53002023053016192698799</v>
      </c>
      <c r="C2923" s="6" t="str">
        <f t="shared" si="193"/>
        <v>0210</v>
      </c>
      <c r="D2923" s="6" t="s">
        <v>30</v>
      </c>
      <c r="E2923" s="6" t="str">
        <f>"欧开鹏"</f>
        <v>欧开鹏</v>
      </c>
      <c r="F2923" s="6" t="str">
        <f aca="true" t="shared" si="199" ref="F2923:F2937">"男"</f>
        <v>男</v>
      </c>
    </row>
    <row r="2924" spans="1:6" ht="30" customHeight="1">
      <c r="A2924" s="6">
        <v>2922</v>
      </c>
      <c r="B2924" s="6" t="str">
        <f>"53002023053020242199999"</f>
        <v>53002023053020242199999</v>
      </c>
      <c r="C2924" s="6" t="str">
        <f t="shared" si="193"/>
        <v>0210</v>
      </c>
      <c r="D2924" s="6" t="s">
        <v>30</v>
      </c>
      <c r="E2924" s="6" t="str">
        <f>"苏明锐"</f>
        <v>苏明锐</v>
      </c>
      <c r="F2924" s="6" t="str">
        <f t="shared" si="199"/>
        <v>男</v>
      </c>
    </row>
    <row r="2925" spans="1:6" ht="30" customHeight="1">
      <c r="A2925" s="6">
        <v>2923</v>
      </c>
      <c r="B2925" s="6" t="str">
        <f>"530020230530212558100272"</f>
        <v>530020230530212558100272</v>
      </c>
      <c r="C2925" s="6" t="str">
        <f t="shared" si="193"/>
        <v>0210</v>
      </c>
      <c r="D2925" s="6" t="s">
        <v>30</v>
      </c>
      <c r="E2925" s="6" t="str">
        <f>"黄亚家"</f>
        <v>黄亚家</v>
      </c>
      <c r="F2925" s="6" t="str">
        <f t="shared" si="199"/>
        <v>男</v>
      </c>
    </row>
    <row r="2926" spans="1:6" ht="30" customHeight="1">
      <c r="A2926" s="6">
        <v>2924</v>
      </c>
      <c r="B2926" s="6" t="str">
        <f>"530020230530214824100402"</f>
        <v>530020230530214824100402</v>
      </c>
      <c r="C2926" s="6" t="str">
        <f t="shared" si="193"/>
        <v>0210</v>
      </c>
      <c r="D2926" s="6" t="s">
        <v>30</v>
      </c>
      <c r="E2926" s="6" t="str">
        <f>"张昌彦"</f>
        <v>张昌彦</v>
      </c>
      <c r="F2926" s="6" t="str">
        <f t="shared" si="199"/>
        <v>男</v>
      </c>
    </row>
    <row r="2927" spans="1:6" ht="30" customHeight="1">
      <c r="A2927" s="6">
        <v>2925</v>
      </c>
      <c r="B2927" s="6" t="str">
        <f>"53002023052709331383774"</f>
        <v>53002023052709331383774</v>
      </c>
      <c r="C2927" s="6" t="str">
        <f t="shared" si="193"/>
        <v>0210</v>
      </c>
      <c r="D2927" s="6" t="s">
        <v>30</v>
      </c>
      <c r="E2927" s="6" t="str">
        <f>"王文伟"</f>
        <v>王文伟</v>
      </c>
      <c r="F2927" s="6" t="str">
        <f t="shared" si="199"/>
        <v>男</v>
      </c>
    </row>
    <row r="2928" spans="1:6" ht="30" customHeight="1">
      <c r="A2928" s="6">
        <v>2926</v>
      </c>
      <c r="B2928" s="6" t="str">
        <f>"530020230530223445100635"</f>
        <v>530020230530223445100635</v>
      </c>
      <c r="C2928" s="6" t="str">
        <f aca="true" t="shared" si="200" ref="C2928:C2991">"0210"</f>
        <v>0210</v>
      </c>
      <c r="D2928" s="6" t="s">
        <v>30</v>
      </c>
      <c r="E2928" s="6" t="str">
        <f>"王振"</f>
        <v>王振</v>
      </c>
      <c r="F2928" s="6" t="str">
        <f t="shared" si="199"/>
        <v>男</v>
      </c>
    </row>
    <row r="2929" spans="1:6" ht="30" customHeight="1">
      <c r="A2929" s="6">
        <v>2927</v>
      </c>
      <c r="B2929" s="6" t="str">
        <f>"530020230530231153100805"</f>
        <v>530020230530231153100805</v>
      </c>
      <c r="C2929" s="6" t="str">
        <f t="shared" si="200"/>
        <v>0210</v>
      </c>
      <c r="D2929" s="6" t="s">
        <v>30</v>
      </c>
      <c r="E2929" s="6" t="str">
        <f>"冼祥"</f>
        <v>冼祥</v>
      </c>
      <c r="F2929" s="6" t="str">
        <f t="shared" si="199"/>
        <v>男</v>
      </c>
    </row>
    <row r="2930" spans="1:6" ht="30" customHeight="1">
      <c r="A2930" s="6">
        <v>2928</v>
      </c>
      <c r="B2930" s="6" t="str">
        <f>"530020230530230800100792"</f>
        <v>530020230530230800100792</v>
      </c>
      <c r="C2930" s="6" t="str">
        <f t="shared" si="200"/>
        <v>0210</v>
      </c>
      <c r="D2930" s="6" t="s">
        <v>30</v>
      </c>
      <c r="E2930" s="6" t="str">
        <f>"郭冲"</f>
        <v>郭冲</v>
      </c>
      <c r="F2930" s="6" t="str">
        <f t="shared" si="199"/>
        <v>男</v>
      </c>
    </row>
    <row r="2931" spans="1:6" ht="30" customHeight="1">
      <c r="A2931" s="6">
        <v>2929</v>
      </c>
      <c r="B2931" s="6" t="str">
        <f>"53002023053015271398449"</f>
        <v>53002023053015271398449</v>
      </c>
      <c r="C2931" s="6" t="str">
        <f t="shared" si="200"/>
        <v>0210</v>
      </c>
      <c r="D2931" s="6" t="s">
        <v>30</v>
      </c>
      <c r="E2931" s="6" t="str">
        <f>"林政健"</f>
        <v>林政健</v>
      </c>
      <c r="F2931" s="6" t="str">
        <f t="shared" si="199"/>
        <v>男</v>
      </c>
    </row>
    <row r="2932" spans="1:6" ht="30" customHeight="1">
      <c r="A2932" s="6">
        <v>2930</v>
      </c>
      <c r="B2932" s="6" t="str">
        <f>"53002023052817504988268"</f>
        <v>53002023052817504988268</v>
      </c>
      <c r="C2932" s="6" t="str">
        <f t="shared" si="200"/>
        <v>0210</v>
      </c>
      <c r="D2932" s="6" t="s">
        <v>30</v>
      </c>
      <c r="E2932" s="6" t="str">
        <f>"林永财"</f>
        <v>林永财</v>
      </c>
      <c r="F2932" s="6" t="str">
        <f t="shared" si="199"/>
        <v>男</v>
      </c>
    </row>
    <row r="2933" spans="1:6" ht="30" customHeight="1">
      <c r="A2933" s="6">
        <v>2931</v>
      </c>
      <c r="B2933" s="6" t="str">
        <f>"53002023052923134495473"</f>
        <v>53002023052923134495473</v>
      </c>
      <c r="C2933" s="6" t="str">
        <f t="shared" si="200"/>
        <v>0210</v>
      </c>
      <c r="D2933" s="6" t="s">
        <v>30</v>
      </c>
      <c r="E2933" s="6" t="str">
        <f>"张宗庆"</f>
        <v>张宗庆</v>
      </c>
      <c r="F2933" s="6" t="str">
        <f t="shared" si="199"/>
        <v>男</v>
      </c>
    </row>
    <row r="2934" spans="1:6" ht="30" customHeight="1">
      <c r="A2934" s="6">
        <v>2932</v>
      </c>
      <c r="B2934" s="6" t="str">
        <f>"530020230531011324101025"</f>
        <v>530020230531011324101025</v>
      </c>
      <c r="C2934" s="6" t="str">
        <f t="shared" si="200"/>
        <v>0210</v>
      </c>
      <c r="D2934" s="6" t="s">
        <v>30</v>
      </c>
      <c r="E2934" s="6" t="str">
        <f>"符大鹏"</f>
        <v>符大鹏</v>
      </c>
      <c r="F2934" s="6" t="str">
        <f t="shared" si="199"/>
        <v>男</v>
      </c>
    </row>
    <row r="2935" spans="1:6" ht="30" customHeight="1">
      <c r="A2935" s="6">
        <v>2933</v>
      </c>
      <c r="B2935" s="6" t="str">
        <f>"530020230530202708100021"</f>
        <v>530020230530202708100021</v>
      </c>
      <c r="C2935" s="6" t="str">
        <f t="shared" si="200"/>
        <v>0210</v>
      </c>
      <c r="D2935" s="6" t="s">
        <v>30</v>
      </c>
      <c r="E2935" s="6" t="str">
        <f>"唐高林"</f>
        <v>唐高林</v>
      </c>
      <c r="F2935" s="6" t="str">
        <f t="shared" si="199"/>
        <v>男</v>
      </c>
    </row>
    <row r="2936" spans="1:6" ht="30" customHeight="1">
      <c r="A2936" s="6">
        <v>2934</v>
      </c>
      <c r="B2936" s="6" t="str">
        <f>"53002023052909511090328"</f>
        <v>53002023052909511090328</v>
      </c>
      <c r="C2936" s="6" t="str">
        <f t="shared" si="200"/>
        <v>0210</v>
      </c>
      <c r="D2936" s="6" t="s">
        <v>30</v>
      </c>
      <c r="E2936" s="6" t="str">
        <f>"黎肇富"</f>
        <v>黎肇富</v>
      </c>
      <c r="F2936" s="6" t="str">
        <f t="shared" si="199"/>
        <v>男</v>
      </c>
    </row>
    <row r="2937" spans="1:6" ht="30" customHeight="1">
      <c r="A2937" s="6">
        <v>2935</v>
      </c>
      <c r="B2937" s="6" t="str">
        <f>"530020230531093544101582"</f>
        <v>530020230531093544101582</v>
      </c>
      <c r="C2937" s="6" t="str">
        <f t="shared" si="200"/>
        <v>0210</v>
      </c>
      <c r="D2937" s="6" t="s">
        <v>30</v>
      </c>
      <c r="E2937" s="6" t="str">
        <f>"陈崇明"</f>
        <v>陈崇明</v>
      </c>
      <c r="F2937" s="6" t="str">
        <f t="shared" si="199"/>
        <v>男</v>
      </c>
    </row>
    <row r="2938" spans="1:6" ht="30" customHeight="1">
      <c r="A2938" s="6">
        <v>2936</v>
      </c>
      <c r="B2938" s="6" t="str">
        <f>"53002023053010025896477"</f>
        <v>53002023053010025896477</v>
      </c>
      <c r="C2938" s="6" t="str">
        <f t="shared" si="200"/>
        <v>0210</v>
      </c>
      <c r="D2938" s="6" t="s">
        <v>30</v>
      </c>
      <c r="E2938" s="6" t="str">
        <f>"黄宇欣"</f>
        <v>黄宇欣</v>
      </c>
      <c r="F2938" s="6" t="str">
        <f>"女"</f>
        <v>女</v>
      </c>
    </row>
    <row r="2939" spans="1:6" ht="30" customHeight="1">
      <c r="A2939" s="6">
        <v>2937</v>
      </c>
      <c r="B2939" s="6" t="str">
        <f>"530020230531101145101869"</f>
        <v>530020230531101145101869</v>
      </c>
      <c r="C2939" s="6" t="str">
        <f t="shared" si="200"/>
        <v>0210</v>
      </c>
      <c r="D2939" s="6" t="s">
        <v>30</v>
      </c>
      <c r="E2939" s="6" t="str">
        <f>"韩联定"</f>
        <v>韩联定</v>
      </c>
      <c r="F2939" s="6" t="str">
        <f>"男"</f>
        <v>男</v>
      </c>
    </row>
    <row r="2940" spans="1:6" ht="30" customHeight="1">
      <c r="A2940" s="6">
        <v>2938</v>
      </c>
      <c r="B2940" s="6" t="str">
        <f>"530020230531091344101418"</f>
        <v>530020230531091344101418</v>
      </c>
      <c r="C2940" s="6" t="str">
        <f t="shared" si="200"/>
        <v>0210</v>
      </c>
      <c r="D2940" s="6" t="s">
        <v>30</v>
      </c>
      <c r="E2940" s="6" t="str">
        <f>"郑有典"</f>
        <v>郑有典</v>
      </c>
      <c r="F2940" s="6" t="str">
        <f>"男"</f>
        <v>男</v>
      </c>
    </row>
    <row r="2941" spans="1:6" ht="30" customHeight="1">
      <c r="A2941" s="6">
        <v>2939</v>
      </c>
      <c r="B2941" s="6" t="str">
        <f>"53002023052916462893475"</f>
        <v>53002023052916462893475</v>
      </c>
      <c r="C2941" s="6" t="str">
        <f t="shared" si="200"/>
        <v>0210</v>
      </c>
      <c r="D2941" s="6" t="s">
        <v>30</v>
      </c>
      <c r="E2941" s="6" t="str">
        <f>"高聪聪"</f>
        <v>高聪聪</v>
      </c>
      <c r="F2941" s="6" t="str">
        <f>"女"</f>
        <v>女</v>
      </c>
    </row>
    <row r="2942" spans="1:6" ht="30" customHeight="1">
      <c r="A2942" s="6">
        <v>2940</v>
      </c>
      <c r="B2942" s="6" t="str">
        <f>"530020230531094004101620"</f>
        <v>530020230531094004101620</v>
      </c>
      <c r="C2942" s="6" t="str">
        <f t="shared" si="200"/>
        <v>0210</v>
      </c>
      <c r="D2942" s="6" t="s">
        <v>30</v>
      </c>
      <c r="E2942" s="6" t="str">
        <f>"王品科"</f>
        <v>王品科</v>
      </c>
      <c r="F2942" s="6" t="str">
        <f aca="true" t="shared" si="201" ref="F2942:F2947">"男"</f>
        <v>男</v>
      </c>
    </row>
    <row r="2943" spans="1:6" ht="30" customHeight="1">
      <c r="A2943" s="6">
        <v>2941</v>
      </c>
      <c r="B2943" s="6" t="str">
        <f>"53002023053018223499471"</f>
        <v>53002023053018223499471</v>
      </c>
      <c r="C2943" s="6" t="str">
        <f t="shared" si="200"/>
        <v>0210</v>
      </c>
      <c r="D2943" s="6" t="s">
        <v>30</v>
      </c>
      <c r="E2943" s="6" t="str">
        <f>"胡宇辰"</f>
        <v>胡宇辰</v>
      </c>
      <c r="F2943" s="6" t="str">
        <f t="shared" si="201"/>
        <v>男</v>
      </c>
    </row>
    <row r="2944" spans="1:6" ht="30" customHeight="1">
      <c r="A2944" s="6">
        <v>2942</v>
      </c>
      <c r="B2944" s="6" t="str">
        <f>"530020230531093207101553"</f>
        <v>530020230531093207101553</v>
      </c>
      <c r="C2944" s="6" t="str">
        <f t="shared" si="200"/>
        <v>0210</v>
      </c>
      <c r="D2944" s="6" t="s">
        <v>30</v>
      </c>
      <c r="E2944" s="6" t="str">
        <f>"柏家伟"</f>
        <v>柏家伟</v>
      </c>
      <c r="F2944" s="6" t="str">
        <f t="shared" si="201"/>
        <v>男</v>
      </c>
    </row>
    <row r="2945" spans="1:6" ht="30" customHeight="1">
      <c r="A2945" s="6">
        <v>2943</v>
      </c>
      <c r="B2945" s="6" t="str">
        <f>"53002023053013475397931"</f>
        <v>53002023053013475397931</v>
      </c>
      <c r="C2945" s="6" t="str">
        <f t="shared" si="200"/>
        <v>0210</v>
      </c>
      <c r="D2945" s="6" t="s">
        <v>30</v>
      </c>
      <c r="E2945" s="6" t="str">
        <f>"朱掌章"</f>
        <v>朱掌章</v>
      </c>
      <c r="F2945" s="6" t="str">
        <f t="shared" si="201"/>
        <v>男</v>
      </c>
    </row>
    <row r="2946" spans="1:6" ht="30" customHeight="1">
      <c r="A2946" s="6">
        <v>2944</v>
      </c>
      <c r="B2946" s="6" t="str">
        <f>"530020230531151355103265"</f>
        <v>530020230531151355103265</v>
      </c>
      <c r="C2946" s="6" t="str">
        <f t="shared" si="200"/>
        <v>0210</v>
      </c>
      <c r="D2946" s="6" t="s">
        <v>30</v>
      </c>
      <c r="E2946" s="6" t="str">
        <f>"王振雄"</f>
        <v>王振雄</v>
      </c>
      <c r="F2946" s="6" t="str">
        <f t="shared" si="201"/>
        <v>男</v>
      </c>
    </row>
    <row r="2947" spans="1:6" ht="30" customHeight="1">
      <c r="A2947" s="6">
        <v>2945</v>
      </c>
      <c r="B2947" s="6" t="str">
        <f>"530020230531142707103080"</f>
        <v>530020230531142707103080</v>
      </c>
      <c r="C2947" s="6" t="str">
        <f t="shared" si="200"/>
        <v>0210</v>
      </c>
      <c r="D2947" s="6" t="s">
        <v>30</v>
      </c>
      <c r="E2947" s="6" t="str">
        <f>"王晓春"</f>
        <v>王晓春</v>
      </c>
      <c r="F2947" s="6" t="str">
        <f t="shared" si="201"/>
        <v>男</v>
      </c>
    </row>
    <row r="2948" spans="1:6" ht="30" customHeight="1">
      <c r="A2948" s="6">
        <v>2946</v>
      </c>
      <c r="B2948" s="6" t="str">
        <f>"530020230531155354103466"</f>
        <v>530020230531155354103466</v>
      </c>
      <c r="C2948" s="6" t="str">
        <f t="shared" si="200"/>
        <v>0210</v>
      </c>
      <c r="D2948" s="6" t="s">
        <v>30</v>
      </c>
      <c r="E2948" s="6" t="str">
        <f>"林霞"</f>
        <v>林霞</v>
      </c>
      <c r="F2948" s="6" t="str">
        <f>"女"</f>
        <v>女</v>
      </c>
    </row>
    <row r="2949" spans="1:6" ht="30" customHeight="1">
      <c r="A2949" s="6">
        <v>2947</v>
      </c>
      <c r="B2949" s="6" t="str">
        <f>"530020230531151118103254"</f>
        <v>530020230531151118103254</v>
      </c>
      <c r="C2949" s="6" t="str">
        <f t="shared" si="200"/>
        <v>0210</v>
      </c>
      <c r="D2949" s="6" t="s">
        <v>30</v>
      </c>
      <c r="E2949" s="6" t="str">
        <f>"林克平"</f>
        <v>林克平</v>
      </c>
      <c r="F2949" s="6" t="str">
        <f>"男"</f>
        <v>男</v>
      </c>
    </row>
    <row r="2950" spans="1:6" ht="30" customHeight="1">
      <c r="A2950" s="6">
        <v>2948</v>
      </c>
      <c r="B2950" s="6" t="str">
        <f>"530020230531161928103599"</f>
        <v>530020230531161928103599</v>
      </c>
      <c r="C2950" s="6" t="str">
        <f t="shared" si="200"/>
        <v>0210</v>
      </c>
      <c r="D2950" s="6" t="s">
        <v>30</v>
      </c>
      <c r="E2950" s="6" t="str">
        <f>"符蓉"</f>
        <v>符蓉</v>
      </c>
      <c r="F2950" s="6" t="str">
        <f>"女"</f>
        <v>女</v>
      </c>
    </row>
    <row r="2951" spans="1:6" ht="30" customHeight="1">
      <c r="A2951" s="6">
        <v>2949</v>
      </c>
      <c r="B2951" s="6" t="str">
        <f>"530020230531110849102263"</f>
        <v>530020230531110849102263</v>
      </c>
      <c r="C2951" s="6" t="str">
        <f t="shared" si="200"/>
        <v>0210</v>
      </c>
      <c r="D2951" s="6" t="s">
        <v>30</v>
      </c>
      <c r="E2951" s="6" t="str">
        <f>"潘磊钢"</f>
        <v>潘磊钢</v>
      </c>
      <c r="F2951" s="6" t="str">
        <f>"男"</f>
        <v>男</v>
      </c>
    </row>
    <row r="2952" spans="1:6" ht="30" customHeight="1">
      <c r="A2952" s="6">
        <v>2950</v>
      </c>
      <c r="B2952" s="6" t="str">
        <f>"53002023052714480584960"</f>
        <v>53002023052714480584960</v>
      </c>
      <c r="C2952" s="6" t="str">
        <f t="shared" si="200"/>
        <v>0210</v>
      </c>
      <c r="D2952" s="6" t="s">
        <v>30</v>
      </c>
      <c r="E2952" s="6" t="str">
        <f>"魏顺彬"</f>
        <v>魏顺彬</v>
      </c>
      <c r="F2952" s="6" t="str">
        <f>"男"</f>
        <v>男</v>
      </c>
    </row>
    <row r="2953" spans="1:6" ht="30" customHeight="1">
      <c r="A2953" s="6">
        <v>2951</v>
      </c>
      <c r="B2953" s="6" t="str">
        <f>"530020230531175445104027"</f>
        <v>530020230531175445104027</v>
      </c>
      <c r="C2953" s="6" t="str">
        <f t="shared" si="200"/>
        <v>0210</v>
      </c>
      <c r="D2953" s="6" t="s">
        <v>30</v>
      </c>
      <c r="E2953" s="6" t="str">
        <f>"王健康"</f>
        <v>王健康</v>
      </c>
      <c r="F2953" s="6" t="str">
        <f>"男"</f>
        <v>男</v>
      </c>
    </row>
    <row r="2954" spans="1:6" ht="30" customHeight="1">
      <c r="A2954" s="6">
        <v>2952</v>
      </c>
      <c r="B2954" s="6" t="str">
        <f>"530020230531191717104248"</f>
        <v>530020230531191717104248</v>
      </c>
      <c r="C2954" s="6" t="str">
        <f t="shared" si="200"/>
        <v>0210</v>
      </c>
      <c r="D2954" s="6" t="s">
        <v>30</v>
      </c>
      <c r="E2954" s="6" t="str">
        <f>"郑鹏涛"</f>
        <v>郑鹏涛</v>
      </c>
      <c r="F2954" s="6" t="str">
        <f>"男"</f>
        <v>男</v>
      </c>
    </row>
    <row r="2955" spans="1:6" ht="30" customHeight="1">
      <c r="A2955" s="6">
        <v>2953</v>
      </c>
      <c r="B2955" s="6" t="str">
        <f>"530020230531101642101894"</f>
        <v>530020230531101642101894</v>
      </c>
      <c r="C2955" s="6" t="str">
        <f t="shared" si="200"/>
        <v>0210</v>
      </c>
      <c r="D2955" s="6" t="s">
        <v>30</v>
      </c>
      <c r="E2955" s="6" t="str">
        <f>"符祥望"</f>
        <v>符祥望</v>
      </c>
      <c r="F2955" s="6" t="str">
        <f>"男"</f>
        <v>男</v>
      </c>
    </row>
    <row r="2956" spans="1:6" ht="30" customHeight="1">
      <c r="A2956" s="6">
        <v>2954</v>
      </c>
      <c r="B2956" s="6" t="str">
        <f>"530020230530202801100026"</f>
        <v>530020230530202801100026</v>
      </c>
      <c r="C2956" s="6" t="str">
        <f t="shared" si="200"/>
        <v>0210</v>
      </c>
      <c r="D2956" s="6" t="s">
        <v>30</v>
      </c>
      <c r="E2956" s="6" t="str">
        <f>"王金容"</f>
        <v>王金容</v>
      </c>
      <c r="F2956" s="6" t="str">
        <f>"女"</f>
        <v>女</v>
      </c>
    </row>
    <row r="2957" spans="1:6" ht="30" customHeight="1">
      <c r="A2957" s="6">
        <v>2955</v>
      </c>
      <c r="B2957" s="6" t="str">
        <f>"53002023053018031899386"</f>
        <v>53002023053018031899386</v>
      </c>
      <c r="C2957" s="6" t="str">
        <f t="shared" si="200"/>
        <v>0210</v>
      </c>
      <c r="D2957" s="6" t="s">
        <v>30</v>
      </c>
      <c r="E2957" s="6" t="str">
        <f>"邹滢瑶"</f>
        <v>邹滢瑶</v>
      </c>
      <c r="F2957" s="6" t="str">
        <f>"女"</f>
        <v>女</v>
      </c>
    </row>
    <row r="2958" spans="1:6" ht="30" customHeight="1">
      <c r="A2958" s="6">
        <v>2956</v>
      </c>
      <c r="B2958" s="6" t="str">
        <f>"530020230531223314104881"</f>
        <v>530020230531223314104881</v>
      </c>
      <c r="C2958" s="6" t="str">
        <f t="shared" si="200"/>
        <v>0210</v>
      </c>
      <c r="D2958" s="6" t="s">
        <v>30</v>
      </c>
      <c r="E2958" s="6" t="str">
        <f>"谢立园"</f>
        <v>谢立园</v>
      </c>
      <c r="F2958" s="6" t="str">
        <f>"女"</f>
        <v>女</v>
      </c>
    </row>
    <row r="2959" spans="1:6" ht="30" customHeight="1">
      <c r="A2959" s="6">
        <v>2957</v>
      </c>
      <c r="B2959" s="6" t="str">
        <f>"530020230531230414104998"</f>
        <v>530020230531230414104998</v>
      </c>
      <c r="C2959" s="6" t="str">
        <f t="shared" si="200"/>
        <v>0210</v>
      </c>
      <c r="D2959" s="6" t="s">
        <v>30</v>
      </c>
      <c r="E2959" s="6" t="str">
        <f>"陈江"</f>
        <v>陈江</v>
      </c>
      <c r="F2959" s="6" t="str">
        <f aca="true" t="shared" si="202" ref="F2959:F2968">"男"</f>
        <v>男</v>
      </c>
    </row>
    <row r="2960" spans="1:6" ht="30" customHeight="1">
      <c r="A2960" s="6">
        <v>2958</v>
      </c>
      <c r="B2960" s="6" t="str">
        <f>"530020230601002745105123"</f>
        <v>530020230601002745105123</v>
      </c>
      <c r="C2960" s="6" t="str">
        <f t="shared" si="200"/>
        <v>0210</v>
      </c>
      <c r="D2960" s="6" t="s">
        <v>30</v>
      </c>
      <c r="E2960" s="6" t="str">
        <f>"李雷向"</f>
        <v>李雷向</v>
      </c>
      <c r="F2960" s="6" t="str">
        <f t="shared" si="202"/>
        <v>男</v>
      </c>
    </row>
    <row r="2961" spans="1:6" ht="30" customHeight="1">
      <c r="A2961" s="6">
        <v>2959</v>
      </c>
      <c r="B2961" s="6" t="str">
        <f>"530020230531143720103111"</f>
        <v>530020230531143720103111</v>
      </c>
      <c r="C2961" s="6" t="str">
        <f t="shared" si="200"/>
        <v>0210</v>
      </c>
      <c r="D2961" s="6" t="s">
        <v>30</v>
      </c>
      <c r="E2961" s="6" t="str">
        <f>"彭达龙"</f>
        <v>彭达龙</v>
      </c>
      <c r="F2961" s="6" t="str">
        <f t="shared" si="202"/>
        <v>男</v>
      </c>
    </row>
    <row r="2962" spans="1:6" ht="30" customHeight="1">
      <c r="A2962" s="6">
        <v>2960</v>
      </c>
      <c r="B2962" s="6" t="str">
        <f>"530020230601032959105180"</f>
        <v>530020230601032959105180</v>
      </c>
      <c r="C2962" s="6" t="str">
        <f t="shared" si="200"/>
        <v>0210</v>
      </c>
      <c r="D2962" s="6" t="s">
        <v>30</v>
      </c>
      <c r="E2962" s="6" t="str">
        <f>"龙丁广"</f>
        <v>龙丁广</v>
      </c>
      <c r="F2962" s="6" t="str">
        <f t="shared" si="202"/>
        <v>男</v>
      </c>
    </row>
    <row r="2963" spans="1:6" ht="30" customHeight="1">
      <c r="A2963" s="6">
        <v>2961</v>
      </c>
      <c r="B2963" s="6" t="str">
        <f>"530020230601082917105304"</f>
        <v>530020230601082917105304</v>
      </c>
      <c r="C2963" s="6" t="str">
        <f t="shared" si="200"/>
        <v>0210</v>
      </c>
      <c r="D2963" s="6" t="s">
        <v>30</v>
      </c>
      <c r="E2963" s="6" t="str">
        <f>"林方威"</f>
        <v>林方威</v>
      </c>
      <c r="F2963" s="6" t="str">
        <f t="shared" si="202"/>
        <v>男</v>
      </c>
    </row>
    <row r="2964" spans="1:6" ht="30" customHeight="1">
      <c r="A2964" s="6">
        <v>2962</v>
      </c>
      <c r="B2964" s="6" t="str">
        <f>"530020230601092147105563"</f>
        <v>530020230601092147105563</v>
      </c>
      <c r="C2964" s="6" t="str">
        <f t="shared" si="200"/>
        <v>0210</v>
      </c>
      <c r="D2964" s="6" t="s">
        <v>30</v>
      </c>
      <c r="E2964" s="6" t="str">
        <f>"苏高松"</f>
        <v>苏高松</v>
      </c>
      <c r="F2964" s="6" t="str">
        <f t="shared" si="202"/>
        <v>男</v>
      </c>
    </row>
    <row r="2965" spans="1:6" ht="30" customHeight="1">
      <c r="A2965" s="6">
        <v>2963</v>
      </c>
      <c r="B2965" s="6" t="str">
        <f>"530020230601100553105878"</f>
        <v>530020230601100553105878</v>
      </c>
      <c r="C2965" s="6" t="str">
        <f t="shared" si="200"/>
        <v>0210</v>
      </c>
      <c r="D2965" s="6" t="s">
        <v>30</v>
      </c>
      <c r="E2965" s="6" t="str">
        <f>"赵卓慧"</f>
        <v>赵卓慧</v>
      </c>
      <c r="F2965" s="6" t="str">
        <f t="shared" si="202"/>
        <v>男</v>
      </c>
    </row>
    <row r="2966" spans="1:6" ht="30" customHeight="1">
      <c r="A2966" s="6">
        <v>2964</v>
      </c>
      <c r="B2966" s="6" t="str">
        <f>"53002023052908185089526"</f>
        <v>53002023052908185089526</v>
      </c>
      <c r="C2966" s="6" t="str">
        <f t="shared" si="200"/>
        <v>0210</v>
      </c>
      <c r="D2966" s="6" t="s">
        <v>30</v>
      </c>
      <c r="E2966" s="6" t="str">
        <f>"邓正捷"</f>
        <v>邓正捷</v>
      </c>
      <c r="F2966" s="6" t="str">
        <f t="shared" si="202"/>
        <v>男</v>
      </c>
    </row>
    <row r="2967" spans="1:6" ht="30" customHeight="1">
      <c r="A2967" s="6">
        <v>2965</v>
      </c>
      <c r="B2967" s="6" t="str">
        <f>"530020230531151350103263"</f>
        <v>530020230531151350103263</v>
      </c>
      <c r="C2967" s="6" t="str">
        <f t="shared" si="200"/>
        <v>0210</v>
      </c>
      <c r="D2967" s="6" t="s">
        <v>30</v>
      </c>
      <c r="E2967" s="6" t="str">
        <f>"周康"</f>
        <v>周康</v>
      </c>
      <c r="F2967" s="6" t="str">
        <f t="shared" si="202"/>
        <v>男</v>
      </c>
    </row>
    <row r="2968" spans="1:6" ht="30" customHeight="1">
      <c r="A2968" s="6">
        <v>2966</v>
      </c>
      <c r="B2968" s="6" t="str">
        <f>"53002023052909212089996"</f>
        <v>53002023052909212089996</v>
      </c>
      <c r="C2968" s="6" t="str">
        <f t="shared" si="200"/>
        <v>0210</v>
      </c>
      <c r="D2968" s="6" t="s">
        <v>30</v>
      </c>
      <c r="E2968" s="6" t="str">
        <f>"余子亮"</f>
        <v>余子亮</v>
      </c>
      <c r="F2968" s="6" t="str">
        <f t="shared" si="202"/>
        <v>男</v>
      </c>
    </row>
    <row r="2969" spans="1:6" ht="30" customHeight="1">
      <c r="A2969" s="6">
        <v>2967</v>
      </c>
      <c r="B2969" s="6" t="str">
        <f>"530020230531142240103066"</f>
        <v>530020230531142240103066</v>
      </c>
      <c r="C2969" s="6" t="str">
        <f t="shared" si="200"/>
        <v>0210</v>
      </c>
      <c r="D2969" s="6" t="s">
        <v>30</v>
      </c>
      <c r="E2969" s="6" t="str">
        <f>"羊秀桃"</f>
        <v>羊秀桃</v>
      </c>
      <c r="F2969" s="6" t="str">
        <f>"女"</f>
        <v>女</v>
      </c>
    </row>
    <row r="2970" spans="1:6" ht="30" customHeight="1">
      <c r="A2970" s="6">
        <v>2968</v>
      </c>
      <c r="B2970" s="6" t="str">
        <f>"53002023052721222886204"</f>
        <v>53002023052721222886204</v>
      </c>
      <c r="C2970" s="6" t="str">
        <f t="shared" si="200"/>
        <v>0210</v>
      </c>
      <c r="D2970" s="6" t="s">
        <v>30</v>
      </c>
      <c r="E2970" s="6" t="str">
        <f>"李高辉"</f>
        <v>李高辉</v>
      </c>
      <c r="F2970" s="6" t="str">
        <f>"男"</f>
        <v>男</v>
      </c>
    </row>
    <row r="2971" spans="1:6" ht="30" customHeight="1">
      <c r="A2971" s="6">
        <v>2969</v>
      </c>
      <c r="B2971" s="6" t="str">
        <f>"53002023053020172499970"</f>
        <v>53002023053020172499970</v>
      </c>
      <c r="C2971" s="6" t="str">
        <f t="shared" si="200"/>
        <v>0210</v>
      </c>
      <c r="D2971" s="6" t="s">
        <v>30</v>
      </c>
      <c r="E2971" s="6" t="str">
        <f>"陈怀超"</f>
        <v>陈怀超</v>
      </c>
      <c r="F2971" s="6" t="str">
        <f>"男"</f>
        <v>男</v>
      </c>
    </row>
    <row r="2972" spans="1:6" ht="30" customHeight="1">
      <c r="A2972" s="6">
        <v>2970</v>
      </c>
      <c r="B2972" s="6" t="str">
        <f>"53002023052909031289745"</f>
        <v>53002023052909031289745</v>
      </c>
      <c r="C2972" s="6" t="str">
        <f t="shared" si="200"/>
        <v>0210</v>
      </c>
      <c r="D2972" s="6" t="s">
        <v>30</v>
      </c>
      <c r="E2972" s="6" t="str">
        <f>"陈大献"</f>
        <v>陈大献</v>
      </c>
      <c r="F2972" s="6" t="str">
        <f>"男"</f>
        <v>男</v>
      </c>
    </row>
    <row r="2973" spans="1:6" ht="30" customHeight="1">
      <c r="A2973" s="6">
        <v>2971</v>
      </c>
      <c r="B2973" s="6" t="str">
        <f>"530020230531155101103454"</f>
        <v>530020230531155101103454</v>
      </c>
      <c r="C2973" s="6" t="str">
        <f t="shared" si="200"/>
        <v>0210</v>
      </c>
      <c r="D2973" s="6" t="s">
        <v>30</v>
      </c>
      <c r="E2973" s="6" t="str">
        <f>"苏健"</f>
        <v>苏健</v>
      </c>
      <c r="F2973" s="6" t="str">
        <f>"男"</f>
        <v>男</v>
      </c>
    </row>
    <row r="2974" spans="1:6" ht="30" customHeight="1">
      <c r="A2974" s="6">
        <v>2972</v>
      </c>
      <c r="B2974" s="6" t="str">
        <f>"53002023053012021197414"</f>
        <v>53002023053012021197414</v>
      </c>
      <c r="C2974" s="6" t="str">
        <f t="shared" si="200"/>
        <v>0210</v>
      </c>
      <c r="D2974" s="6" t="s">
        <v>30</v>
      </c>
      <c r="E2974" s="6" t="str">
        <f>"赵帆"</f>
        <v>赵帆</v>
      </c>
      <c r="F2974" s="6" t="str">
        <f>"男"</f>
        <v>男</v>
      </c>
    </row>
    <row r="2975" spans="1:6" ht="30" customHeight="1">
      <c r="A2975" s="6">
        <v>2973</v>
      </c>
      <c r="B2975" s="6" t="str">
        <f>"530020230601162624107637"</f>
        <v>530020230601162624107637</v>
      </c>
      <c r="C2975" s="6" t="str">
        <f t="shared" si="200"/>
        <v>0210</v>
      </c>
      <c r="D2975" s="6" t="s">
        <v>30</v>
      </c>
      <c r="E2975" s="6" t="str">
        <f>"符海交"</f>
        <v>符海交</v>
      </c>
      <c r="F2975" s="6" t="str">
        <f>"女"</f>
        <v>女</v>
      </c>
    </row>
    <row r="2976" spans="1:6" ht="30" customHeight="1">
      <c r="A2976" s="6">
        <v>2974</v>
      </c>
      <c r="B2976" s="6" t="str">
        <f>"530020230601163539107685"</f>
        <v>530020230601163539107685</v>
      </c>
      <c r="C2976" s="6" t="str">
        <f t="shared" si="200"/>
        <v>0210</v>
      </c>
      <c r="D2976" s="6" t="s">
        <v>30</v>
      </c>
      <c r="E2976" s="6" t="str">
        <f>"李玉玲"</f>
        <v>李玉玲</v>
      </c>
      <c r="F2976" s="6" t="str">
        <f>"女"</f>
        <v>女</v>
      </c>
    </row>
    <row r="2977" spans="1:6" ht="30" customHeight="1">
      <c r="A2977" s="6">
        <v>2975</v>
      </c>
      <c r="B2977" s="6" t="str">
        <f>"530020230601185946108185"</f>
        <v>530020230601185946108185</v>
      </c>
      <c r="C2977" s="6" t="str">
        <f t="shared" si="200"/>
        <v>0210</v>
      </c>
      <c r="D2977" s="6" t="s">
        <v>30</v>
      </c>
      <c r="E2977" s="6" t="str">
        <f>"张云帆"</f>
        <v>张云帆</v>
      </c>
      <c r="F2977" s="6" t="str">
        <f>"女"</f>
        <v>女</v>
      </c>
    </row>
    <row r="2978" spans="1:6" ht="30" customHeight="1">
      <c r="A2978" s="6">
        <v>2976</v>
      </c>
      <c r="B2978" s="6" t="str">
        <f>"53002023052915320292896"</f>
        <v>53002023052915320292896</v>
      </c>
      <c r="C2978" s="6" t="str">
        <f t="shared" si="200"/>
        <v>0210</v>
      </c>
      <c r="D2978" s="6" t="s">
        <v>30</v>
      </c>
      <c r="E2978" s="6" t="str">
        <f>"周王龙"</f>
        <v>周王龙</v>
      </c>
      <c r="F2978" s="6" t="str">
        <f aca="true" t="shared" si="203" ref="F2978:F2986">"男"</f>
        <v>男</v>
      </c>
    </row>
    <row r="2979" spans="1:6" ht="30" customHeight="1">
      <c r="A2979" s="6">
        <v>2977</v>
      </c>
      <c r="B2979" s="6" t="str">
        <f>"530020230601201939108397"</f>
        <v>530020230601201939108397</v>
      </c>
      <c r="C2979" s="6" t="str">
        <f t="shared" si="200"/>
        <v>0210</v>
      </c>
      <c r="D2979" s="6" t="s">
        <v>30</v>
      </c>
      <c r="E2979" s="6" t="str">
        <f>"张汉旭"</f>
        <v>张汉旭</v>
      </c>
      <c r="F2979" s="6" t="str">
        <f t="shared" si="203"/>
        <v>男</v>
      </c>
    </row>
    <row r="2980" spans="1:6" ht="30" customHeight="1">
      <c r="A2980" s="6">
        <v>2978</v>
      </c>
      <c r="B2980" s="6" t="str">
        <f>"530020230601205702108527"</f>
        <v>530020230601205702108527</v>
      </c>
      <c r="C2980" s="6" t="str">
        <f t="shared" si="200"/>
        <v>0210</v>
      </c>
      <c r="D2980" s="6" t="s">
        <v>30</v>
      </c>
      <c r="E2980" s="6" t="str">
        <f>"杨壮毅"</f>
        <v>杨壮毅</v>
      </c>
      <c r="F2980" s="6" t="str">
        <f t="shared" si="203"/>
        <v>男</v>
      </c>
    </row>
    <row r="2981" spans="1:6" ht="30" customHeight="1">
      <c r="A2981" s="6">
        <v>2979</v>
      </c>
      <c r="B2981" s="6" t="str">
        <f>"530020230531122905102649"</f>
        <v>530020230531122905102649</v>
      </c>
      <c r="C2981" s="6" t="str">
        <f t="shared" si="200"/>
        <v>0210</v>
      </c>
      <c r="D2981" s="6" t="s">
        <v>30</v>
      </c>
      <c r="E2981" s="6" t="str">
        <f>"陈方伯"</f>
        <v>陈方伯</v>
      </c>
      <c r="F2981" s="6" t="str">
        <f t="shared" si="203"/>
        <v>男</v>
      </c>
    </row>
    <row r="2982" spans="1:6" ht="30" customHeight="1">
      <c r="A2982" s="6">
        <v>2980</v>
      </c>
      <c r="B2982" s="6" t="str">
        <f>"53002023053018005699378"</f>
        <v>53002023053018005699378</v>
      </c>
      <c r="C2982" s="6" t="str">
        <f t="shared" si="200"/>
        <v>0210</v>
      </c>
      <c r="D2982" s="6" t="s">
        <v>30</v>
      </c>
      <c r="E2982" s="6" t="str">
        <f>"李布高"</f>
        <v>李布高</v>
      </c>
      <c r="F2982" s="6" t="str">
        <f t="shared" si="203"/>
        <v>男</v>
      </c>
    </row>
    <row r="2983" spans="1:6" ht="30" customHeight="1">
      <c r="A2983" s="6">
        <v>2981</v>
      </c>
      <c r="B2983" s="6" t="str">
        <f>"530020230601212449108618"</f>
        <v>530020230601212449108618</v>
      </c>
      <c r="C2983" s="6" t="str">
        <f t="shared" si="200"/>
        <v>0210</v>
      </c>
      <c r="D2983" s="6" t="s">
        <v>30</v>
      </c>
      <c r="E2983" s="6" t="str">
        <f>"董长熙"</f>
        <v>董长熙</v>
      </c>
      <c r="F2983" s="6" t="str">
        <f t="shared" si="203"/>
        <v>男</v>
      </c>
    </row>
    <row r="2984" spans="1:6" ht="30" customHeight="1">
      <c r="A2984" s="6">
        <v>2982</v>
      </c>
      <c r="B2984" s="6" t="str">
        <f>"530020230601191506108224"</f>
        <v>530020230601191506108224</v>
      </c>
      <c r="C2984" s="6" t="str">
        <f t="shared" si="200"/>
        <v>0210</v>
      </c>
      <c r="D2984" s="6" t="s">
        <v>30</v>
      </c>
      <c r="E2984" s="6" t="str">
        <f>"陈德勤"</f>
        <v>陈德勤</v>
      </c>
      <c r="F2984" s="6" t="str">
        <f t="shared" si="203"/>
        <v>男</v>
      </c>
    </row>
    <row r="2985" spans="1:6" ht="30" customHeight="1">
      <c r="A2985" s="6">
        <v>2983</v>
      </c>
      <c r="B2985" s="6" t="str">
        <f>"530020230601234133109098"</f>
        <v>530020230601234133109098</v>
      </c>
      <c r="C2985" s="6" t="str">
        <f t="shared" si="200"/>
        <v>0210</v>
      </c>
      <c r="D2985" s="6" t="s">
        <v>30</v>
      </c>
      <c r="E2985" s="6" t="str">
        <f>"陈学怀"</f>
        <v>陈学怀</v>
      </c>
      <c r="F2985" s="6" t="str">
        <f t="shared" si="203"/>
        <v>男</v>
      </c>
    </row>
    <row r="2986" spans="1:6" ht="30" customHeight="1">
      <c r="A2986" s="6">
        <v>2984</v>
      </c>
      <c r="B2986" s="6" t="str">
        <f>"53002023052819544988569"</f>
        <v>53002023052819544988569</v>
      </c>
      <c r="C2986" s="6" t="str">
        <f t="shared" si="200"/>
        <v>0210</v>
      </c>
      <c r="D2986" s="6" t="s">
        <v>30</v>
      </c>
      <c r="E2986" s="6" t="str">
        <f>"苏家盛"</f>
        <v>苏家盛</v>
      </c>
      <c r="F2986" s="6" t="str">
        <f t="shared" si="203"/>
        <v>男</v>
      </c>
    </row>
    <row r="2987" spans="1:6" ht="30" customHeight="1">
      <c r="A2987" s="6">
        <v>2985</v>
      </c>
      <c r="B2987" s="6" t="str">
        <f>"530020230601113548106447"</f>
        <v>530020230601113548106447</v>
      </c>
      <c r="C2987" s="6" t="str">
        <f t="shared" si="200"/>
        <v>0210</v>
      </c>
      <c r="D2987" s="6" t="s">
        <v>30</v>
      </c>
      <c r="E2987" s="6" t="str">
        <f>"苏燕妮"</f>
        <v>苏燕妮</v>
      </c>
      <c r="F2987" s="6" t="str">
        <f>"女"</f>
        <v>女</v>
      </c>
    </row>
    <row r="2988" spans="1:6" ht="30" customHeight="1">
      <c r="A2988" s="6">
        <v>2986</v>
      </c>
      <c r="B2988" s="6" t="str">
        <f>"53002023053009153696104"</f>
        <v>53002023053009153696104</v>
      </c>
      <c r="C2988" s="6" t="str">
        <f t="shared" si="200"/>
        <v>0210</v>
      </c>
      <c r="D2988" s="6" t="s">
        <v>30</v>
      </c>
      <c r="E2988" s="6" t="str">
        <f>"黎炳俊"</f>
        <v>黎炳俊</v>
      </c>
      <c r="F2988" s="6" t="str">
        <f aca="true" t="shared" si="204" ref="F2988:F2994">"男"</f>
        <v>男</v>
      </c>
    </row>
    <row r="2989" spans="1:6" ht="30" customHeight="1">
      <c r="A2989" s="6">
        <v>2987</v>
      </c>
      <c r="B2989" s="6" t="str">
        <f>"530020230531210416104576"</f>
        <v>530020230531210416104576</v>
      </c>
      <c r="C2989" s="6" t="str">
        <f t="shared" si="200"/>
        <v>0210</v>
      </c>
      <c r="D2989" s="6" t="s">
        <v>30</v>
      </c>
      <c r="E2989" s="6" t="str">
        <f>"李干"</f>
        <v>李干</v>
      </c>
      <c r="F2989" s="6" t="str">
        <f t="shared" si="204"/>
        <v>男</v>
      </c>
    </row>
    <row r="2990" spans="1:6" ht="30" customHeight="1">
      <c r="A2990" s="6">
        <v>2988</v>
      </c>
      <c r="B2990" s="6" t="str">
        <f>"530020230602085825109451"</f>
        <v>530020230602085825109451</v>
      </c>
      <c r="C2990" s="6" t="str">
        <f t="shared" si="200"/>
        <v>0210</v>
      </c>
      <c r="D2990" s="6" t="s">
        <v>30</v>
      </c>
      <c r="E2990" s="6" t="str">
        <f>"蔡笃兴"</f>
        <v>蔡笃兴</v>
      </c>
      <c r="F2990" s="6" t="str">
        <f t="shared" si="204"/>
        <v>男</v>
      </c>
    </row>
    <row r="2991" spans="1:6" ht="30" customHeight="1">
      <c r="A2991" s="6">
        <v>2989</v>
      </c>
      <c r="B2991" s="6" t="str">
        <f>"530020230602094136109628"</f>
        <v>530020230602094136109628</v>
      </c>
      <c r="C2991" s="6" t="str">
        <f t="shared" si="200"/>
        <v>0210</v>
      </c>
      <c r="D2991" s="6" t="s">
        <v>30</v>
      </c>
      <c r="E2991" s="6" t="str">
        <f>"杜鑫涛"</f>
        <v>杜鑫涛</v>
      </c>
      <c r="F2991" s="6" t="str">
        <f t="shared" si="204"/>
        <v>男</v>
      </c>
    </row>
    <row r="2992" spans="1:6" ht="30" customHeight="1">
      <c r="A2992" s="6">
        <v>2990</v>
      </c>
      <c r="B2992" s="6" t="str">
        <f>"530020230601172248107883"</f>
        <v>530020230601172248107883</v>
      </c>
      <c r="C2992" s="6" t="str">
        <f>"0210"</f>
        <v>0210</v>
      </c>
      <c r="D2992" s="6" t="s">
        <v>30</v>
      </c>
      <c r="E2992" s="6" t="str">
        <f>"李武深"</f>
        <v>李武深</v>
      </c>
      <c r="F2992" s="6" t="str">
        <f t="shared" si="204"/>
        <v>男</v>
      </c>
    </row>
    <row r="2993" spans="1:6" ht="30" customHeight="1">
      <c r="A2993" s="6">
        <v>2991</v>
      </c>
      <c r="B2993" s="6" t="str">
        <f>"530020230602104638109896"</f>
        <v>530020230602104638109896</v>
      </c>
      <c r="C2993" s="6" t="str">
        <f>"0210"</f>
        <v>0210</v>
      </c>
      <c r="D2993" s="6" t="s">
        <v>30</v>
      </c>
      <c r="E2993" s="6" t="str">
        <f>"邓程俊"</f>
        <v>邓程俊</v>
      </c>
      <c r="F2993" s="6" t="str">
        <f t="shared" si="204"/>
        <v>男</v>
      </c>
    </row>
    <row r="2994" spans="1:6" ht="30" customHeight="1">
      <c r="A2994" s="6">
        <v>2992</v>
      </c>
      <c r="B2994" s="6" t="str">
        <f>"530020230602081616109334"</f>
        <v>530020230602081616109334</v>
      </c>
      <c r="C2994" s="6" t="str">
        <f>"0210"</f>
        <v>0210</v>
      </c>
      <c r="D2994" s="6" t="s">
        <v>30</v>
      </c>
      <c r="E2994" s="6" t="str">
        <f>"胡童"</f>
        <v>胡童</v>
      </c>
      <c r="F2994" s="6" t="str">
        <f t="shared" si="204"/>
        <v>男</v>
      </c>
    </row>
    <row r="2995" spans="1:6" ht="30" customHeight="1">
      <c r="A2995" s="6">
        <v>2993</v>
      </c>
      <c r="B2995" s="6" t="str">
        <f>"530020230602111245110033"</f>
        <v>530020230602111245110033</v>
      </c>
      <c r="C2995" s="6" t="str">
        <f>"0210"</f>
        <v>0210</v>
      </c>
      <c r="D2995" s="6" t="s">
        <v>30</v>
      </c>
      <c r="E2995" s="6" t="str">
        <f>"李丽娟"</f>
        <v>李丽娟</v>
      </c>
      <c r="F2995" s="6" t="str">
        <f>"女"</f>
        <v>女</v>
      </c>
    </row>
    <row r="2996" spans="1:6" ht="30" customHeight="1">
      <c r="A2996" s="6">
        <v>2994</v>
      </c>
      <c r="B2996" s="6" t="str">
        <f>"530020230602113342110115"</f>
        <v>530020230602113342110115</v>
      </c>
      <c r="C2996" s="6" t="str">
        <f>"0210"</f>
        <v>0210</v>
      </c>
      <c r="D2996" s="6" t="s">
        <v>30</v>
      </c>
      <c r="E2996" s="6" t="str">
        <f>"林志钢"</f>
        <v>林志钢</v>
      </c>
      <c r="F2996" s="6" t="str">
        <f>"男"</f>
        <v>男</v>
      </c>
    </row>
    <row r="2997" spans="1:6" ht="30" customHeight="1">
      <c r="A2997" s="6">
        <v>2995</v>
      </c>
      <c r="B2997" s="6" t="str">
        <f>"53002023052709131383701"</f>
        <v>53002023052709131383701</v>
      </c>
      <c r="C2997" s="6" t="str">
        <f aca="true" t="shared" si="205" ref="C2997:C3048">"0211"</f>
        <v>0211</v>
      </c>
      <c r="D2997" s="6" t="s">
        <v>31</v>
      </c>
      <c r="E2997" s="6" t="str">
        <f>"姚传伟"</f>
        <v>姚传伟</v>
      </c>
      <c r="F2997" s="6" t="str">
        <f>"男"</f>
        <v>男</v>
      </c>
    </row>
    <row r="2998" spans="1:6" ht="30" customHeight="1">
      <c r="A2998" s="6">
        <v>2996</v>
      </c>
      <c r="B2998" s="6" t="str">
        <f>"53002023052709012383655"</f>
        <v>53002023052709012383655</v>
      </c>
      <c r="C2998" s="6" t="str">
        <f t="shared" si="205"/>
        <v>0211</v>
      </c>
      <c r="D2998" s="6" t="s">
        <v>31</v>
      </c>
      <c r="E2998" s="6" t="str">
        <f>"陈丽芽"</f>
        <v>陈丽芽</v>
      </c>
      <c r="F2998" s="6" t="str">
        <f>"女"</f>
        <v>女</v>
      </c>
    </row>
    <row r="2999" spans="1:6" ht="30" customHeight="1">
      <c r="A2999" s="6">
        <v>2997</v>
      </c>
      <c r="B2999" s="6" t="str">
        <f>"53002023052710224283995"</f>
        <v>53002023052710224283995</v>
      </c>
      <c r="C2999" s="6" t="str">
        <f t="shared" si="205"/>
        <v>0211</v>
      </c>
      <c r="D2999" s="6" t="s">
        <v>31</v>
      </c>
      <c r="E2999" s="6" t="str">
        <f>"芦昱冰"</f>
        <v>芦昱冰</v>
      </c>
      <c r="F2999" s="6" t="str">
        <f>"女"</f>
        <v>女</v>
      </c>
    </row>
    <row r="3000" spans="1:6" ht="30" customHeight="1">
      <c r="A3000" s="6">
        <v>2998</v>
      </c>
      <c r="B3000" s="6" t="str">
        <f>"53002023052712405984558"</f>
        <v>53002023052712405984558</v>
      </c>
      <c r="C3000" s="6" t="str">
        <f t="shared" si="205"/>
        <v>0211</v>
      </c>
      <c r="D3000" s="6" t="s">
        <v>31</v>
      </c>
      <c r="E3000" s="6" t="str">
        <f>"符舒雅"</f>
        <v>符舒雅</v>
      </c>
      <c r="F3000" s="6" t="str">
        <f>"女"</f>
        <v>女</v>
      </c>
    </row>
    <row r="3001" spans="1:6" ht="30" customHeight="1">
      <c r="A3001" s="6">
        <v>2999</v>
      </c>
      <c r="B3001" s="6" t="str">
        <f>"53002023052712560884604"</f>
        <v>53002023052712560884604</v>
      </c>
      <c r="C3001" s="6" t="str">
        <f t="shared" si="205"/>
        <v>0211</v>
      </c>
      <c r="D3001" s="6" t="s">
        <v>31</v>
      </c>
      <c r="E3001" s="6" t="str">
        <f>"张以斌"</f>
        <v>张以斌</v>
      </c>
      <c r="F3001" s="6" t="str">
        <f>"男"</f>
        <v>男</v>
      </c>
    </row>
    <row r="3002" spans="1:6" ht="30" customHeight="1">
      <c r="A3002" s="6">
        <v>3000</v>
      </c>
      <c r="B3002" s="6" t="str">
        <f>"53002023052718391185688"</f>
        <v>53002023052718391185688</v>
      </c>
      <c r="C3002" s="6" t="str">
        <f t="shared" si="205"/>
        <v>0211</v>
      </c>
      <c r="D3002" s="6" t="s">
        <v>31</v>
      </c>
      <c r="E3002" s="6" t="str">
        <f>"杨兹庆"</f>
        <v>杨兹庆</v>
      </c>
      <c r="F3002" s="6" t="str">
        <f>"男"</f>
        <v>男</v>
      </c>
    </row>
    <row r="3003" spans="1:6" ht="30" customHeight="1">
      <c r="A3003" s="6">
        <v>3001</v>
      </c>
      <c r="B3003" s="6" t="str">
        <f>"53002023052718072385619"</f>
        <v>53002023052718072385619</v>
      </c>
      <c r="C3003" s="6" t="str">
        <f t="shared" si="205"/>
        <v>0211</v>
      </c>
      <c r="D3003" s="6" t="s">
        <v>31</v>
      </c>
      <c r="E3003" s="6" t="str">
        <f>"羊颜媛"</f>
        <v>羊颜媛</v>
      </c>
      <c r="F3003" s="6" t="str">
        <f>"女"</f>
        <v>女</v>
      </c>
    </row>
    <row r="3004" spans="1:6" ht="30" customHeight="1">
      <c r="A3004" s="6">
        <v>3002</v>
      </c>
      <c r="B3004" s="6" t="str">
        <f>"53002023052722011486313"</f>
        <v>53002023052722011486313</v>
      </c>
      <c r="C3004" s="6" t="str">
        <f t="shared" si="205"/>
        <v>0211</v>
      </c>
      <c r="D3004" s="6" t="s">
        <v>31</v>
      </c>
      <c r="E3004" s="6" t="str">
        <f>"张羽彤"</f>
        <v>张羽彤</v>
      </c>
      <c r="F3004" s="6" t="str">
        <f>"女"</f>
        <v>女</v>
      </c>
    </row>
    <row r="3005" spans="1:6" ht="30" customHeight="1">
      <c r="A3005" s="6">
        <v>3003</v>
      </c>
      <c r="B3005" s="6" t="str">
        <f>"53002023052723301186557"</f>
        <v>53002023052723301186557</v>
      </c>
      <c r="C3005" s="6" t="str">
        <f t="shared" si="205"/>
        <v>0211</v>
      </c>
      <c r="D3005" s="6" t="s">
        <v>31</v>
      </c>
      <c r="E3005" s="6" t="str">
        <f>"符笑琼"</f>
        <v>符笑琼</v>
      </c>
      <c r="F3005" s="6" t="str">
        <f>"女"</f>
        <v>女</v>
      </c>
    </row>
    <row r="3006" spans="1:6" ht="30" customHeight="1">
      <c r="A3006" s="6">
        <v>3004</v>
      </c>
      <c r="B3006" s="6" t="str">
        <f>"53002023052800040086620"</f>
        <v>53002023052800040086620</v>
      </c>
      <c r="C3006" s="6" t="str">
        <f t="shared" si="205"/>
        <v>0211</v>
      </c>
      <c r="D3006" s="6" t="s">
        <v>31</v>
      </c>
      <c r="E3006" s="6" t="str">
        <f>"周亭均"</f>
        <v>周亭均</v>
      </c>
      <c r="F3006" s="6" t="str">
        <f>"女"</f>
        <v>女</v>
      </c>
    </row>
    <row r="3007" spans="1:6" ht="30" customHeight="1">
      <c r="A3007" s="6">
        <v>3005</v>
      </c>
      <c r="B3007" s="6" t="str">
        <f>"53002023052812010987232"</f>
        <v>53002023052812010987232</v>
      </c>
      <c r="C3007" s="6" t="str">
        <f t="shared" si="205"/>
        <v>0211</v>
      </c>
      <c r="D3007" s="6" t="s">
        <v>31</v>
      </c>
      <c r="E3007" s="6" t="str">
        <f>"包哲启"</f>
        <v>包哲启</v>
      </c>
      <c r="F3007" s="6" t="str">
        <f>"男"</f>
        <v>男</v>
      </c>
    </row>
    <row r="3008" spans="1:6" ht="30" customHeight="1">
      <c r="A3008" s="6">
        <v>3006</v>
      </c>
      <c r="B3008" s="6" t="str">
        <f>"53002023052812545787379"</f>
        <v>53002023052812545787379</v>
      </c>
      <c r="C3008" s="6" t="str">
        <f t="shared" si="205"/>
        <v>0211</v>
      </c>
      <c r="D3008" s="6" t="s">
        <v>31</v>
      </c>
      <c r="E3008" s="6" t="str">
        <f>"林如意"</f>
        <v>林如意</v>
      </c>
      <c r="F3008" s="6" t="str">
        <f>"女"</f>
        <v>女</v>
      </c>
    </row>
    <row r="3009" spans="1:6" ht="30" customHeight="1">
      <c r="A3009" s="6">
        <v>3007</v>
      </c>
      <c r="B3009" s="6" t="str">
        <f>"53002023052819064788454"</f>
        <v>53002023052819064788454</v>
      </c>
      <c r="C3009" s="6" t="str">
        <f t="shared" si="205"/>
        <v>0211</v>
      </c>
      <c r="D3009" s="6" t="s">
        <v>31</v>
      </c>
      <c r="E3009" s="6" t="str">
        <f>"赵旭"</f>
        <v>赵旭</v>
      </c>
      <c r="F3009" s="6" t="str">
        <f>"女"</f>
        <v>女</v>
      </c>
    </row>
    <row r="3010" spans="1:6" ht="30" customHeight="1">
      <c r="A3010" s="6">
        <v>3008</v>
      </c>
      <c r="B3010" s="6" t="str">
        <f>"53002023052820591688785"</f>
        <v>53002023052820591688785</v>
      </c>
      <c r="C3010" s="6" t="str">
        <f t="shared" si="205"/>
        <v>0211</v>
      </c>
      <c r="D3010" s="6" t="s">
        <v>31</v>
      </c>
      <c r="E3010" s="6" t="str">
        <f>"吴盈盈"</f>
        <v>吴盈盈</v>
      </c>
      <c r="F3010" s="6" t="str">
        <f>"女"</f>
        <v>女</v>
      </c>
    </row>
    <row r="3011" spans="1:6" ht="30" customHeight="1">
      <c r="A3011" s="6">
        <v>3009</v>
      </c>
      <c r="B3011" s="6" t="str">
        <f>"53002023052908381589591"</f>
        <v>53002023052908381589591</v>
      </c>
      <c r="C3011" s="6" t="str">
        <f t="shared" si="205"/>
        <v>0211</v>
      </c>
      <c r="D3011" s="6" t="s">
        <v>31</v>
      </c>
      <c r="E3011" s="6" t="str">
        <f>"李玉婷"</f>
        <v>李玉婷</v>
      </c>
      <c r="F3011" s="6" t="str">
        <f>"女"</f>
        <v>女</v>
      </c>
    </row>
    <row r="3012" spans="1:6" ht="30" customHeight="1">
      <c r="A3012" s="6">
        <v>3010</v>
      </c>
      <c r="B3012" s="6" t="str">
        <f>"53002023052819011288439"</f>
        <v>53002023052819011288439</v>
      </c>
      <c r="C3012" s="6" t="str">
        <f t="shared" si="205"/>
        <v>0211</v>
      </c>
      <c r="D3012" s="6" t="s">
        <v>31</v>
      </c>
      <c r="E3012" s="6" t="str">
        <f>"符方瑜"</f>
        <v>符方瑜</v>
      </c>
      <c r="F3012" s="6" t="str">
        <f>"女"</f>
        <v>女</v>
      </c>
    </row>
    <row r="3013" spans="1:6" ht="30" customHeight="1">
      <c r="A3013" s="6">
        <v>3011</v>
      </c>
      <c r="B3013" s="6" t="str">
        <f>"53002023052910051790496"</f>
        <v>53002023052910051790496</v>
      </c>
      <c r="C3013" s="6" t="str">
        <f t="shared" si="205"/>
        <v>0211</v>
      </c>
      <c r="D3013" s="6" t="s">
        <v>31</v>
      </c>
      <c r="E3013" s="6" t="str">
        <f>"卢哨"</f>
        <v>卢哨</v>
      </c>
      <c r="F3013" s="6" t="str">
        <f>"男"</f>
        <v>男</v>
      </c>
    </row>
    <row r="3014" spans="1:6" ht="30" customHeight="1">
      <c r="A3014" s="6">
        <v>3012</v>
      </c>
      <c r="B3014" s="6" t="str">
        <f>"53002023052910332590817"</f>
        <v>53002023052910332590817</v>
      </c>
      <c r="C3014" s="6" t="str">
        <f t="shared" si="205"/>
        <v>0211</v>
      </c>
      <c r="D3014" s="6" t="s">
        <v>31</v>
      </c>
      <c r="E3014" s="6" t="str">
        <f>"陈宝怡"</f>
        <v>陈宝怡</v>
      </c>
      <c r="F3014" s="6" t="str">
        <f aca="true" t="shared" si="206" ref="F3014:F3023">"女"</f>
        <v>女</v>
      </c>
    </row>
    <row r="3015" spans="1:6" ht="30" customHeight="1">
      <c r="A3015" s="6">
        <v>3013</v>
      </c>
      <c r="B3015" s="6" t="str">
        <f>"53002023052909160789941"</f>
        <v>53002023052909160789941</v>
      </c>
      <c r="C3015" s="6" t="str">
        <f t="shared" si="205"/>
        <v>0211</v>
      </c>
      <c r="D3015" s="6" t="s">
        <v>31</v>
      </c>
      <c r="E3015" s="6" t="str">
        <f>"李梅妍"</f>
        <v>李梅妍</v>
      </c>
      <c r="F3015" s="6" t="str">
        <f t="shared" si="206"/>
        <v>女</v>
      </c>
    </row>
    <row r="3016" spans="1:6" ht="30" customHeight="1">
      <c r="A3016" s="6">
        <v>3014</v>
      </c>
      <c r="B3016" s="6" t="str">
        <f>"53002023052900171489341"</f>
        <v>53002023052900171489341</v>
      </c>
      <c r="C3016" s="6" t="str">
        <f t="shared" si="205"/>
        <v>0211</v>
      </c>
      <c r="D3016" s="6" t="s">
        <v>31</v>
      </c>
      <c r="E3016" s="6" t="str">
        <f>"刘丽兵"</f>
        <v>刘丽兵</v>
      </c>
      <c r="F3016" s="6" t="str">
        <f t="shared" si="206"/>
        <v>女</v>
      </c>
    </row>
    <row r="3017" spans="1:6" ht="30" customHeight="1">
      <c r="A3017" s="6">
        <v>3015</v>
      </c>
      <c r="B3017" s="6" t="str">
        <f>"53002023052913035892053"</f>
        <v>53002023052913035892053</v>
      </c>
      <c r="C3017" s="6" t="str">
        <f t="shared" si="205"/>
        <v>0211</v>
      </c>
      <c r="D3017" s="6" t="s">
        <v>31</v>
      </c>
      <c r="E3017" s="6" t="str">
        <f>"丁美云"</f>
        <v>丁美云</v>
      </c>
      <c r="F3017" s="6" t="str">
        <f t="shared" si="206"/>
        <v>女</v>
      </c>
    </row>
    <row r="3018" spans="1:6" ht="30" customHeight="1">
      <c r="A3018" s="6">
        <v>3016</v>
      </c>
      <c r="B3018" s="6" t="str">
        <f>"53002023052712493984585"</f>
        <v>53002023052712493984585</v>
      </c>
      <c r="C3018" s="6" t="str">
        <f t="shared" si="205"/>
        <v>0211</v>
      </c>
      <c r="D3018" s="6" t="s">
        <v>31</v>
      </c>
      <c r="E3018" s="6" t="str">
        <f>"王玉"</f>
        <v>王玉</v>
      </c>
      <c r="F3018" s="6" t="str">
        <f t="shared" si="206"/>
        <v>女</v>
      </c>
    </row>
    <row r="3019" spans="1:6" ht="30" customHeight="1">
      <c r="A3019" s="6">
        <v>3017</v>
      </c>
      <c r="B3019" s="6" t="str">
        <f>"53002023052911293391374"</f>
        <v>53002023052911293391374</v>
      </c>
      <c r="C3019" s="6" t="str">
        <f t="shared" si="205"/>
        <v>0211</v>
      </c>
      <c r="D3019" s="6" t="s">
        <v>31</v>
      </c>
      <c r="E3019" s="6" t="str">
        <f>"李发晶"</f>
        <v>李发晶</v>
      </c>
      <c r="F3019" s="6" t="str">
        <f t="shared" si="206"/>
        <v>女</v>
      </c>
    </row>
    <row r="3020" spans="1:6" ht="30" customHeight="1">
      <c r="A3020" s="6">
        <v>3018</v>
      </c>
      <c r="B3020" s="6" t="str">
        <f>"53002023052917223893702"</f>
        <v>53002023052917223893702</v>
      </c>
      <c r="C3020" s="6" t="str">
        <f t="shared" si="205"/>
        <v>0211</v>
      </c>
      <c r="D3020" s="6" t="s">
        <v>31</v>
      </c>
      <c r="E3020" s="6" t="str">
        <f>"顾梦怡"</f>
        <v>顾梦怡</v>
      </c>
      <c r="F3020" s="6" t="str">
        <f t="shared" si="206"/>
        <v>女</v>
      </c>
    </row>
    <row r="3021" spans="1:6" ht="30" customHeight="1">
      <c r="A3021" s="6">
        <v>3019</v>
      </c>
      <c r="B3021" s="6" t="str">
        <f>"53002023052917143993664"</f>
        <v>53002023052917143993664</v>
      </c>
      <c r="C3021" s="6" t="str">
        <f t="shared" si="205"/>
        <v>0211</v>
      </c>
      <c r="D3021" s="6" t="s">
        <v>31</v>
      </c>
      <c r="E3021" s="6" t="str">
        <f>"刘美茜"</f>
        <v>刘美茜</v>
      </c>
      <c r="F3021" s="6" t="str">
        <f t="shared" si="206"/>
        <v>女</v>
      </c>
    </row>
    <row r="3022" spans="1:6" ht="30" customHeight="1">
      <c r="A3022" s="6">
        <v>3020</v>
      </c>
      <c r="B3022" s="6" t="str">
        <f>"53002023052918145893960"</f>
        <v>53002023052918145893960</v>
      </c>
      <c r="C3022" s="6" t="str">
        <f t="shared" si="205"/>
        <v>0211</v>
      </c>
      <c r="D3022" s="6" t="s">
        <v>31</v>
      </c>
      <c r="E3022" s="6" t="str">
        <f>"黎慧英"</f>
        <v>黎慧英</v>
      </c>
      <c r="F3022" s="6" t="str">
        <f t="shared" si="206"/>
        <v>女</v>
      </c>
    </row>
    <row r="3023" spans="1:6" ht="30" customHeight="1">
      <c r="A3023" s="6">
        <v>3021</v>
      </c>
      <c r="B3023" s="6" t="str">
        <f>"53002023052918482094102"</f>
        <v>53002023052918482094102</v>
      </c>
      <c r="C3023" s="6" t="str">
        <f t="shared" si="205"/>
        <v>0211</v>
      </c>
      <c r="D3023" s="6" t="s">
        <v>31</v>
      </c>
      <c r="E3023" s="6" t="str">
        <f>"卫雪萍"</f>
        <v>卫雪萍</v>
      </c>
      <c r="F3023" s="6" t="str">
        <f t="shared" si="206"/>
        <v>女</v>
      </c>
    </row>
    <row r="3024" spans="1:6" ht="30" customHeight="1">
      <c r="A3024" s="6">
        <v>3022</v>
      </c>
      <c r="B3024" s="6" t="str">
        <f>"53002023052919160094201"</f>
        <v>53002023052919160094201</v>
      </c>
      <c r="C3024" s="6" t="str">
        <f t="shared" si="205"/>
        <v>0211</v>
      </c>
      <c r="D3024" s="6" t="s">
        <v>31</v>
      </c>
      <c r="E3024" s="6" t="str">
        <f>"刘伟"</f>
        <v>刘伟</v>
      </c>
      <c r="F3024" s="6" t="str">
        <f>"男"</f>
        <v>男</v>
      </c>
    </row>
    <row r="3025" spans="1:6" ht="30" customHeight="1">
      <c r="A3025" s="6">
        <v>3023</v>
      </c>
      <c r="B3025" s="6" t="str">
        <f>"53002023053010032396478"</f>
        <v>53002023053010032396478</v>
      </c>
      <c r="C3025" s="6" t="str">
        <f t="shared" si="205"/>
        <v>0211</v>
      </c>
      <c r="D3025" s="6" t="s">
        <v>31</v>
      </c>
      <c r="E3025" s="6" t="str">
        <f>"吴婷婷"</f>
        <v>吴婷婷</v>
      </c>
      <c r="F3025" s="6" t="str">
        <f>"女"</f>
        <v>女</v>
      </c>
    </row>
    <row r="3026" spans="1:6" ht="30" customHeight="1">
      <c r="A3026" s="6">
        <v>3024</v>
      </c>
      <c r="B3026" s="6" t="str">
        <f>"53002023053010290296675"</f>
        <v>53002023053010290296675</v>
      </c>
      <c r="C3026" s="6" t="str">
        <f t="shared" si="205"/>
        <v>0211</v>
      </c>
      <c r="D3026" s="6" t="s">
        <v>31</v>
      </c>
      <c r="E3026" s="6" t="str">
        <f>"吴菊霞"</f>
        <v>吴菊霞</v>
      </c>
      <c r="F3026" s="6" t="str">
        <f>"女"</f>
        <v>女</v>
      </c>
    </row>
    <row r="3027" spans="1:6" ht="30" customHeight="1">
      <c r="A3027" s="6">
        <v>3025</v>
      </c>
      <c r="B3027" s="6" t="str">
        <f>"53002023053012102197444"</f>
        <v>53002023053012102197444</v>
      </c>
      <c r="C3027" s="6" t="str">
        <f t="shared" si="205"/>
        <v>0211</v>
      </c>
      <c r="D3027" s="6" t="s">
        <v>31</v>
      </c>
      <c r="E3027" s="6" t="str">
        <f>"羊玉薇"</f>
        <v>羊玉薇</v>
      </c>
      <c r="F3027" s="6" t="str">
        <f>"女"</f>
        <v>女</v>
      </c>
    </row>
    <row r="3028" spans="1:6" ht="30" customHeight="1">
      <c r="A3028" s="6">
        <v>3026</v>
      </c>
      <c r="B3028" s="6" t="str">
        <f>"53002023052920540994685"</f>
        <v>53002023052920540994685</v>
      </c>
      <c r="C3028" s="6" t="str">
        <f t="shared" si="205"/>
        <v>0211</v>
      </c>
      <c r="D3028" s="6" t="s">
        <v>31</v>
      </c>
      <c r="E3028" s="6" t="str">
        <f>"吴卓见"</f>
        <v>吴卓见</v>
      </c>
      <c r="F3028" s="6" t="str">
        <f>"男"</f>
        <v>男</v>
      </c>
    </row>
    <row r="3029" spans="1:6" ht="30" customHeight="1">
      <c r="A3029" s="6">
        <v>3027</v>
      </c>
      <c r="B3029" s="6" t="str">
        <f>"53002023053013390497892"</f>
        <v>53002023053013390497892</v>
      </c>
      <c r="C3029" s="6" t="str">
        <f t="shared" si="205"/>
        <v>0211</v>
      </c>
      <c r="D3029" s="6" t="s">
        <v>31</v>
      </c>
      <c r="E3029" s="6" t="str">
        <f>"李柔仙"</f>
        <v>李柔仙</v>
      </c>
      <c r="F3029" s="6" t="str">
        <f aca="true" t="shared" si="207" ref="F3029:F3035">"女"</f>
        <v>女</v>
      </c>
    </row>
    <row r="3030" spans="1:6" ht="30" customHeight="1">
      <c r="A3030" s="6">
        <v>3028</v>
      </c>
      <c r="B3030" s="6" t="str">
        <f>"53002023053013553897972"</f>
        <v>53002023053013553897972</v>
      </c>
      <c r="C3030" s="6" t="str">
        <f t="shared" si="205"/>
        <v>0211</v>
      </c>
      <c r="D3030" s="6" t="s">
        <v>31</v>
      </c>
      <c r="E3030" s="6" t="str">
        <f>"胡海娟"</f>
        <v>胡海娟</v>
      </c>
      <c r="F3030" s="6" t="str">
        <f t="shared" si="207"/>
        <v>女</v>
      </c>
    </row>
    <row r="3031" spans="1:6" ht="30" customHeight="1">
      <c r="A3031" s="6">
        <v>3029</v>
      </c>
      <c r="B3031" s="6" t="str">
        <f>"53002023053000462095698"</f>
        <v>53002023053000462095698</v>
      </c>
      <c r="C3031" s="6" t="str">
        <f t="shared" si="205"/>
        <v>0211</v>
      </c>
      <c r="D3031" s="6" t="s">
        <v>31</v>
      </c>
      <c r="E3031" s="6" t="str">
        <f>"何桂零"</f>
        <v>何桂零</v>
      </c>
      <c r="F3031" s="6" t="str">
        <f t="shared" si="207"/>
        <v>女</v>
      </c>
    </row>
    <row r="3032" spans="1:6" ht="30" customHeight="1">
      <c r="A3032" s="6">
        <v>3030</v>
      </c>
      <c r="B3032" s="6" t="str">
        <f>"53002023053006191295757"</f>
        <v>53002023053006191295757</v>
      </c>
      <c r="C3032" s="6" t="str">
        <f t="shared" si="205"/>
        <v>0211</v>
      </c>
      <c r="D3032" s="6" t="s">
        <v>31</v>
      </c>
      <c r="E3032" s="6" t="str">
        <f>"王柔之"</f>
        <v>王柔之</v>
      </c>
      <c r="F3032" s="6" t="str">
        <f t="shared" si="207"/>
        <v>女</v>
      </c>
    </row>
    <row r="3033" spans="1:6" ht="30" customHeight="1">
      <c r="A3033" s="6">
        <v>3031</v>
      </c>
      <c r="B3033" s="6" t="str">
        <f>"53002023052917135893656"</f>
        <v>53002023052917135893656</v>
      </c>
      <c r="C3033" s="6" t="str">
        <f t="shared" si="205"/>
        <v>0211</v>
      </c>
      <c r="D3033" s="6" t="s">
        <v>31</v>
      </c>
      <c r="E3033" s="6" t="str">
        <f>"赵天舒"</f>
        <v>赵天舒</v>
      </c>
      <c r="F3033" s="6" t="str">
        <f t="shared" si="207"/>
        <v>女</v>
      </c>
    </row>
    <row r="3034" spans="1:6" ht="30" customHeight="1">
      <c r="A3034" s="6">
        <v>3032</v>
      </c>
      <c r="B3034" s="6" t="str">
        <f>"530020230530212446100269"</f>
        <v>530020230530212446100269</v>
      </c>
      <c r="C3034" s="6" t="str">
        <f t="shared" si="205"/>
        <v>0211</v>
      </c>
      <c r="D3034" s="6" t="s">
        <v>31</v>
      </c>
      <c r="E3034" s="6" t="str">
        <f>"祁嫚腊"</f>
        <v>祁嫚腊</v>
      </c>
      <c r="F3034" s="6" t="str">
        <f t="shared" si="207"/>
        <v>女</v>
      </c>
    </row>
    <row r="3035" spans="1:6" ht="30" customHeight="1">
      <c r="A3035" s="6">
        <v>3033</v>
      </c>
      <c r="B3035" s="6" t="str">
        <f>"530020230530225810100743"</f>
        <v>530020230530225810100743</v>
      </c>
      <c r="C3035" s="6" t="str">
        <f t="shared" si="205"/>
        <v>0211</v>
      </c>
      <c r="D3035" s="6" t="s">
        <v>31</v>
      </c>
      <c r="E3035" s="6" t="str">
        <f>"余妹莲"</f>
        <v>余妹莲</v>
      </c>
      <c r="F3035" s="6" t="str">
        <f t="shared" si="207"/>
        <v>女</v>
      </c>
    </row>
    <row r="3036" spans="1:6" ht="30" customHeight="1">
      <c r="A3036" s="6">
        <v>3034</v>
      </c>
      <c r="B3036" s="6" t="str">
        <f>"53002023052923180095492"</f>
        <v>53002023052923180095492</v>
      </c>
      <c r="C3036" s="6" t="str">
        <f t="shared" si="205"/>
        <v>0211</v>
      </c>
      <c r="D3036" s="6" t="s">
        <v>31</v>
      </c>
      <c r="E3036" s="6" t="str">
        <f>"曾松"</f>
        <v>曾松</v>
      </c>
      <c r="F3036" s="6" t="str">
        <f>"男"</f>
        <v>男</v>
      </c>
    </row>
    <row r="3037" spans="1:6" ht="30" customHeight="1">
      <c r="A3037" s="6">
        <v>3035</v>
      </c>
      <c r="B3037" s="6" t="str">
        <f>"530020230531014549101038"</f>
        <v>530020230531014549101038</v>
      </c>
      <c r="C3037" s="6" t="str">
        <f t="shared" si="205"/>
        <v>0211</v>
      </c>
      <c r="D3037" s="6" t="s">
        <v>31</v>
      </c>
      <c r="E3037" s="6" t="str">
        <f>"王梦仪"</f>
        <v>王梦仪</v>
      </c>
      <c r="F3037" s="6" t="str">
        <f aca="true" t="shared" si="208" ref="F3037:F3042">"女"</f>
        <v>女</v>
      </c>
    </row>
    <row r="3038" spans="1:6" ht="30" customHeight="1">
      <c r="A3038" s="6">
        <v>3036</v>
      </c>
      <c r="B3038" s="6" t="str">
        <f>"53002023053009032096011"</f>
        <v>53002023053009032096011</v>
      </c>
      <c r="C3038" s="6" t="str">
        <f t="shared" si="205"/>
        <v>0211</v>
      </c>
      <c r="D3038" s="6" t="s">
        <v>31</v>
      </c>
      <c r="E3038" s="6" t="str">
        <f>"郑静妮"</f>
        <v>郑静妮</v>
      </c>
      <c r="F3038" s="6" t="str">
        <f t="shared" si="208"/>
        <v>女</v>
      </c>
    </row>
    <row r="3039" spans="1:6" ht="30" customHeight="1">
      <c r="A3039" s="6">
        <v>3037</v>
      </c>
      <c r="B3039" s="6" t="str">
        <f>"53002023052816523788004"</f>
        <v>53002023052816523788004</v>
      </c>
      <c r="C3039" s="6" t="str">
        <f t="shared" si="205"/>
        <v>0211</v>
      </c>
      <c r="D3039" s="6" t="s">
        <v>31</v>
      </c>
      <c r="E3039" s="6" t="str">
        <f>"符菁菁"</f>
        <v>符菁菁</v>
      </c>
      <c r="F3039" s="6" t="str">
        <f t="shared" si="208"/>
        <v>女</v>
      </c>
    </row>
    <row r="3040" spans="1:6" ht="30" customHeight="1">
      <c r="A3040" s="6">
        <v>3038</v>
      </c>
      <c r="B3040" s="6" t="str">
        <f>"530020230531183022104133"</f>
        <v>530020230531183022104133</v>
      </c>
      <c r="C3040" s="6" t="str">
        <f t="shared" si="205"/>
        <v>0211</v>
      </c>
      <c r="D3040" s="6" t="s">
        <v>31</v>
      </c>
      <c r="E3040" s="6" t="str">
        <f>"廖小花"</f>
        <v>廖小花</v>
      </c>
      <c r="F3040" s="6" t="str">
        <f t="shared" si="208"/>
        <v>女</v>
      </c>
    </row>
    <row r="3041" spans="1:6" ht="30" customHeight="1">
      <c r="A3041" s="6">
        <v>3039</v>
      </c>
      <c r="B3041" s="6" t="str">
        <f>"53002023052909541090370"</f>
        <v>53002023052909541090370</v>
      </c>
      <c r="C3041" s="6" t="str">
        <f t="shared" si="205"/>
        <v>0211</v>
      </c>
      <c r="D3041" s="6" t="s">
        <v>31</v>
      </c>
      <c r="E3041" s="6" t="str">
        <f>"朱怡婷"</f>
        <v>朱怡婷</v>
      </c>
      <c r="F3041" s="6" t="str">
        <f t="shared" si="208"/>
        <v>女</v>
      </c>
    </row>
    <row r="3042" spans="1:6" ht="30" customHeight="1">
      <c r="A3042" s="6">
        <v>3040</v>
      </c>
      <c r="B3042" s="6" t="str">
        <f>"530020230531002131100977"</f>
        <v>530020230531002131100977</v>
      </c>
      <c r="C3042" s="6" t="str">
        <f t="shared" si="205"/>
        <v>0211</v>
      </c>
      <c r="D3042" s="6" t="s">
        <v>31</v>
      </c>
      <c r="E3042" s="6" t="str">
        <f>"陆琼莹"</f>
        <v>陆琼莹</v>
      </c>
      <c r="F3042" s="6" t="str">
        <f t="shared" si="208"/>
        <v>女</v>
      </c>
    </row>
    <row r="3043" spans="1:6" ht="30" customHeight="1">
      <c r="A3043" s="6">
        <v>3041</v>
      </c>
      <c r="B3043" s="6" t="str">
        <f>"530020230531204000104493"</f>
        <v>530020230531204000104493</v>
      </c>
      <c r="C3043" s="6" t="str">
        <f t="shared" si="205"/>
        <v>0211</v>
      </c>
      <c r="D3043" s="6" t="s">
        <v>31</v>
      </c>
      <c r="E3043" s="6" t="str">
        <f>"吴琼峰"</f>
        <v>吴琼峰</v>
      </c>
      <c r="F3043" s="6" t="str">
        <f>"男"</f>
        <v>男</v>
      </c>
    </row>
    <row r="3044" spans="1:6" ht="30" customHeight="1">
      <c r="A3044" s="6">
        <v>3042</v>
      </c>
      <c r="B3044" s="6" t="str">
        <f>"530020230531164543103744"</f>
        <v>530020230531164543103744</v>
      </c>
      <c r="C3044" s="6" t="str">
        <f t="shared" si="205"/>
        <v>0211</v>
      </c>
      <c r="D3044" s="6" t="s">
        <v>31</v>
      </c>
      <c r="E3044" s="6" t="str">
        <f>"周淑乾"</f>
        <v>周淑乾</v>
      </c>
      <c r="F3044" s="6" t="str">
        <f>"女"</f>
        <v>女</v>
      </c>
    </row>
    <row r="3045" spans="1:6" ht="30" customHeight="1">
      <c r="A3045" s="6">
        <v>3043</v>
      </c>
      <c r="B3045" s="6" t="str">
        <f>"530020230531215505104760"</f>
        <v>530020230531215505104760</v>
      </c>
      <c r="C3045" s="6" t="str">
        <f t="shared" si="205"/>
        <v>0211</v>
      </c>
      <c r="D3045" s="6" t="s">
        <v>31</v>
      </c>
      <c r="E3045" s="6" t="str">
        <f>"张学敏"</f>
        <v>张学敏</v>
      </c>
      <c r="F3045" s="6" t="str">
        <f>"女"</f>
        <v>女</v>
      </c>
    </row>
    <row r="3046" spans="1:6" ht="30" customHeight="1">
      <c r="A3046" s="6">
        <v>3044</v>
      </c>
      <c r="B3046" s="6" t="str">
        <f>"53002023052712421084562"</f>
        <v>53002023052712421084562</v>
      </c>
      <c r="C3046" s="6" t="str">
        <f t="shared" si="205"/>
        <v>0211</v>
      </c>
      <c r="D3046" s="6" t="s">
        <v>31</v>
      </c>
      <c r="E3046" s="6" t="str">
        <f>"陈泽桦"</f>
        <v>陈泽桦</v>
      </c>
      <c r="F3046" s="6" t="str">
        <f>"男"</f>
        <v>男</v>
      </c>
    </row>
    <row r="3047" spans="1:6" ht="30" customHeight="1">
      <c r="A3047" s="6">
        <v>3045</v>
      </c>
      <c r="B3047" s="6" t="str">
        <f>"53002023052712022884418"</f>
        <v>53002023052712022884418</v>
      </c>
      <c r="C3047" s="6" t="str">
        <f t="shared" si="205"/>
        <v>0211</v>
      </c>
      <c r="D3047" s="6" t="s">
        <v>31</v>
      </c>
      <c r="E3047" s="6" t="str">
        <f>"严家祥"</f>
        <v>严家祥</v>
      </c>
      <c r="F3047" s="6" t="str">
        <f>"男"</f>
        <v>男</v>
      </c>
    </row>
    <row r="3048" spans="1:6" ht="30" customHeight="1">
      <c r="A3048" s="6">
        <v>3046</v>
      </c>
      <c r="B3048" s="6" t="str">
        <f>"530020230602083157109372"</f>
        <v>530020230602083157109372</v>
      </c>
      <c r="C3048" s="6" t="str">
        <f t="shared" si="205"/>
        <v>0211</v>
      </c>
      <c r="D3048" s="6" t="s">
        <v>31</v>
      </c>
      <c r="E3048" s="6" t="str">
        <f>"黎冠妹"</f>
        <v>黎冠妹</v>
      </c>
      <c r="F3048" s="6" t="str">
        <f>"女"</f>
        <v>女</v>
      </c>
    </row>
    <row r="3049" spans="1:6" ht="30" customHeight="1">
      <c r="A3049" s="6">
        <v>3047</v>
      </c>
      <c r="B3049" s="6" t="str">
        <f>"53002023052710021183889"</f>
        <v>53002023052710021183889</v>
      </c>
      <c r="C3049" s="6" t="str">
        <f aca="true" t="shared" si="209" ref="C3049:C3112">"0212"</f>
        <v>0212</v>
      </c>
      <c r="D3049" s="6" t="s">
        <v>32</v>
      </c>
      <c r="E3049" s="6" t="str">
        <f>"何志强"</f>
        <v>何志强</v>
      </c>
      <c r="F3049" s="6" t="str">
        <f>"男"</f>
        <v>男</v>
      </c>
    </row>
    <row r="3050" spans="1:6" ht="30" customHeight="1">
      <c r="A3050" s="6">
        <v>3048</v>
      </c>
      <c r="B3050" s="6" t="str">
        <f>"53002023052710212583990"</f>
        <v>53002023052710212583990</v>
      </c>
      <c r="C3050" s="6" t="str">
        <f t="shared" si="209"/>
        <v>0212</v>
      </c>
      <c r="D3050" s="6" t="s">
        <v>32</v>
      </c>
      <c r="E3050" s="6" t="str">
        <f>"羊玉冬"</f>
        <v>羊玉冬</v>
      </c>
      <c r="F3050" s="6" t="str">
        <f>"女"</f>
        <v>女</v>
      </c>
    </row>
    <row r="3051" spans="1:6" ht="30" customHeight="1">
      <c r="A3051" s="6">
        <v>3049</v>
      </c>
      <c r="B3051" s="6" t="str">
        <f>"53002023052711232284276"</f>
        <v>53002023052711232284276</v>
      </c>
      <c r="C3051" s="6" t="str">
        <f t="shared" si="209"/>
        <v>0212</v>
      </c>
      <c r="D3051" s="6" t="s">
        <v>32</v>
      </c>
      <c r="E3051" s="6" t="str">
        <f>"王思洁"</f>
        <v>王思洁</v>
      </c>
      <c r="F3051" s="6" t="str">
        <f>"女"</f>
        <v>女</v>
      </c>
    </row>
    <row r="3052" spans="1:6" ht="30" customHeight="1">
      <c r="A3052" s="6">
        <v>3050</v>
      </c>
      <c r="B3052" s="6" t="str">
        <f>"53002023052711384384336"</f>
        <v>53002023052711384384336</v>
      </c>
      <c r="C3052" s="6" t="str">
        <f t="shared" si="209"/>
        <v>0212</v>
      </c>
      <c r="D3052" s="6" t="s">
        <v>32</v>
      </c>
      <c r="E3052" s="6" t="str">
        <f>"林军"</f>
        <v>林军</v>
      </c>
      <c r="F3052" s="6" t="str">
        <f>"女"</f>
        <v>女</v>
      </c>
    </row>
    <row r="3053" spans="1:6" ht="30" customHeight="1">
      <c r="A3053" s="6">
        <v>3051</v>
      </c>
      <c r="B3053" s="6" t="str">
        <f>"53002023052714275084904"</f>
        <v>53002023052714275084904</v>
      </c>
      <c r="C3053" s="6" t="str">
        <f t="shared" si="209"/>
        <v>0212</v>
      </c>
      <c r="D3053" s="6" t="s">
        <v>32</v>
      </c>
      <c r="E3053" s="6" t="str">
        <f>"韩艺祺"</f>
        <v>韩艺祺</v>
      </c>
      <c r="F3053" s="6" t="str">
        <f>"女"</f>
        <v>女</v>
      </c>
    </row>
    <row r="3054" spans="1:6" ht="30" customHeight="1">
      <c r="A3054" s="6">
        <v>3052</v>
      </c>
      <c r="B3054" s="6" t="str">
        <f>"53002023052715212285087"</f>
        <v>53002023052715212285087</v>
      </c>
      <c r="C3054" s="6" t="str">
        <f t="shared" si="209"/>
        <v>0212</v>
      </c>
      <c r="D3054" s="6" t="s">
        <v>32</v>
      </c>
      <c r="E3054" s="6" t="str">
        <f>"符名彬"</f>
        <v>符名彬</v>
      </c>
      <c r="F3054" s="6" t="str">
        <f>"男"</f>
        <v>男</v>
      </c>
    </row>
    <row r="3055" spans="1:6" ht="30" customHeight="1">
      <c r="A3055" s="6">
        <v>3053</v>
      </c>
      <c r="B3055" s="6" t="str">
        <f>"53002023052721343186235"</f>
        <v>53002023052721343186235</v>
      </c>
      <c r="C3055" s="6" t="str">
        <f t="shared" si="209"/>
        <v>0212</v>
      </c>
      <c r="D3055" s="6" t="s">
        <v>32</v>
      </c>
      <c r="E3055" s="6" t="str">
        <f>"宋若林"</f>
        <v>宋若林</v>
      </c>
      <c r="F3055" s="6" t="str">
        <f>"男"</f>
        <v>男</v>
      </c>
    </row>
    <row r="3056" spans="1:6" ht="30" customHeight="1">
      <c r="A3056" s="6">
        <v>3054</v>
      </c>
      <c r="B3056" s="6" t="str">
        <f>"53002023052811325787164"</f>
        <v>53002023052811325787164</v>
      </c>
      <c r="C3056" s="6" t="str">
        <f t="shared" si="209"/>
        <v>0212</v>
      </c>
      <c r="D3056" s="6" t="s">
        <v>32</v>
      </c>
      <c r="E3056" s="6" t="str">
        <f>"吴妍桦"</f>
        <v>吴妍桦</v>
      </c>
      <c r="F3056" s="6" t="str">
        <f>"女"</f>
        <v>女</v>
      </c>
    </row>
    <row r="3057" spans="1:6" ht="30" customHeight="1">
      <c r="A3057" s="6">
        <v>3055</v>
      </c>
      <c r="B3057" s="6" t="str">
        <f>"53002023052813160087440"</f>
        <v>53002023052813160087440</v>
      </c>
      <c r="C3057" s="6" t="str">
        <f t="shared" si="209"/>
        <v>0212</v>
      </c>
      <c r="D3057" s="6" t="s">
        <v>32</v>
      </c>
      <c r="E3057" s="6" t="str">
        <f>"陈少妹"</f>
        <v>陈少妹</v>
      </c>
      <c r="F3057" s="6" t="str">
        <f>"女"</f>
        <v>女</v>
      </c>
    </row>
    <row r="3058" spans="1:6" ht="30" customHeight="1">
      <c r="A3058" s="6">
        <v>3056</v>
      </c>
      <c r="B3058" s="6" t="str">
        <f>"53002023052713371684741"</f>
        <v>53002023052713371684741</v>
      </c>
      <c r="C3058" s="6" t="str">
        <f t="shared" si="209"/>
        <v>0212</v>
      </c>
      <c r="D3058" s="6" t="s">
        <v>32</v>
      </c>
      <c r="E3058" s="6" t="str">
        <f>"林树枫"</f>
        <v>林树枫</v>
      </c>
      <c r="F3058" s="6" t="str">
        <f>"男"</f>
        <v>男</v>
      </c>
    </row>
    <row r="3059" spans="1:6" ht="30" customHeight="1">
      <c r="A3059" s="6">
        <v>3057</v>
      </c>
      <c r="B3059" s="6" t="str">
        <f>"53002023052816461487988"</f>
        <v>53002023052816461487988</v>
      </c>
      <c r="C3059" s="6" t="str">
        <f t="shared" si="209"/>
        <v>0212</v>
      </c>
      <c r="D3059" s="6" t="s">
        <v>32</v>
      </c>
      <c r="E3059" s="6" t="str">
        <f>"李振昌"</f>
        <v>李振昌</v>
      </c>
      <c r="F3059" s="6" t="str">
        <f>"男"</f>
        <v>男</v>
      </c>
    </row>
    <row r="3060" spans="1:6" ht="30" customHeight="1">
      <c r="A3060" s="6">
        <v>3058</v>
      </c>
      <c r="B3060" s="6" t="str">
        <f>"53002023052820175588629"</f>
        <v>53002023052820175588629</v>
      </c>
      <c r="C3060" s="6" t="str">
        <f t="shared" si="209"/>
        <v>0212</v>
      </c>
      <c r="D3060" s="6" t="s">
        <v>32</v>
      </c>
      <c r="E3060" s="6" t="str">
        <f>"程守慧"</f>
        <v>程守慧</v>
      </c>
      <c r="F3060" s="6" t="str">
        <f>"女"</f>
        <v>女</v>
      </c>
    </row>
    <row r="3061" spans="1:6" ht="30" customHeight="1">
      <c r="A3061" s="6">
        <v>3059</v>
      </c>
      <c r="B3061" s="6" t="str">
        <f>"53002023052821231888866"</f>
        <v>53002023052821231888866</v>
      </c>
      <c r="C3061" s="6" t="str">
        <f t="shared" si="209"/>
        <v>0212</v>
      </c>
      <c r="D3061" s="6" t="s">
        <v>32</v>
      </c>
      <c r="E3061" s="6" t="str">
        <f>"羊道"</f>
        <v>羊道</v>
      </c>
      <c r="F3061" s="6" t="str">
        <f>"男"</f>
        <v>男</v>
      </c>
    </row>
    <row r="3062" spans="1:6" ht="30" customHeight="1">
      <c r="A3062" s="6">
        <v>3060</v>
      </c>
      <c r="B3062" s="6" t="str">
        <f>"53002023052816262487926"</f>
        <v>53002023052816262487926</v>
      </c>
      <c r="C3062" s="6" t="str">
        <f t="shared" si="209"/>
        <v>0212</v>
      </c>
      <c r="D3062" s="6" t="s">
        <v>32</v>
      </c>
      <c r="E3062" s="6" t="str">
        <f>"魏瑜敏"</f>
        <v>魏瑜敏</v>
      </c>
      <c r="F3062" s="6" t="str">
        <f aca="true" t="shared" si="210" ref="F3062:F3067">"女"</f>
        <v>女</v>
      </c>
    </row>
    <row r="3063" spans="1:6" ht="30" customHeight="1">
      <c r="A3063" s="6">
        <v>3061</v>
      </c>
      <c r="B3063" s="6" t="str">
        <f>"53002023052909101989859"</f>
        <v>53002023052909101989859</v>
      </c>
      <c r="C3063" s="6" t="str">
        <f t="shared" si="209"/>
        <v>0212</v>
      </c>
      <c r="D3063" s="6" t="s">
        <v>32</v>
      </c>
      <c r="E3063" s="6" t="str">
        <f>"宁小风"</f>
        <v>宁小风</v>
      </c>
      <c r="F3063" s="6" t="str">
        <f t="shared" si="210"/>
        <v>女</v>
      </c>
    </row>
    <row r="3064" spans="1:6" ht="30" customHeight="1">
      <c r="A3064" s="6">
        <v>3062</v>
      </c>
      <c r="B3064" s="6" t="str">
        <f>"53002023052908552389661"</f>
        <v>53002023052908552389661</v>
      </c>
      <c r="C3064" s="6" t="str">
        <f t="shared" si="209"/>
        <v>0212</v>
      </c>
      <c r="D3064" s="6" t="s">
        <v>32</v>
      </c>
      <c r="E3064" s="6" t="str">
        <f>"王晨饶"</f>
        <v>王晨饶</v>
      </c>
      <c r="F3064" s="6" t="str">
        <f t="shared" si="210"/>
        <v>女</v>
      </c>
    </row>
    <row r="3065" spans="1:6" ht="30" customHeight="1">
      <c r="A3065" s="6">
        <v>3063</v>
      </c>
      <c r="B3065" s="6" t="str">
        <f>"53002023052812240687289"</f>
        <v>53002023052812240687289</v>
      </c>
      <c r="C3065" s="6" t="str">
        <f t="shared" si="209"/>
        <v>0212</v>
      </c>
      <c r="D3065" s="6" t="s">
        <v>32</v>
      </c>
      <c r="E3065" s="6" t="str">
        <f>"韩宝茹"</f>
        <v>韩宝茹</v>
      </c>
      <c r="F3065" s="6" t="str">
        <f t="shared" si="210"/>
        <v>女</v>
      </c>
    </row>
    <row r="3066" spans="1:6" ht="30" customHeight="1">
      <c r="A3066" s="6">
        <v>3064</v>
      </c>
      <c r="B3066" s="6" t="str">
        <f>"53002023052912230691790"</f>
        <v>53002023052912230691790</v>
      </c>
      <c r="C3066" s="6" t="str">
        <f t="shared" si="209"/>
        <v>0212</v>
      </c>
      <c r="D3066" s="6" t="s">
        <v>32</v>
      </c>
      <c r="E3066" s="6" t="str">
        <f>"柯青蓝"</f>
        <v>柯青蓝</v>
      </c>
      <c r="F3066" s="6" t="str">
        <f t="shared" si="210"/>
        <v>女</v>
      </c>
    </row>
    <row r="3067" spans="1:6" ht="30" customHeight="1">
      <c r="A3067" s="6">
        <v>3065</v>
      </c>
      <c r="B3067" s="6" t="str">
        <f>"53002023052709172483718"</f>
        <v>53002023052709172483718</v>
      </c>
      <c r="C3067" s="6" t="str">
        <f t="shared" si="209"/>
        <v>0212</v>
      </c>
      <c r="D3067" s="6" t="s">
        <v>32</v>
      </c>
      <c r="E3067" s="6" t="str">
        <f>"王珺乐"</f>
        <v>王珺乐</v>
      </c>
      <c r="F3067" s="6" t="str">
        <f t="shared" si="210"/>
        <v>女</v>
      </c>
    </row>
    <row r="3068" spans="1:6" ht="30" customHeight="1">
      <c r="A3068" s="6">
        <v>3066</v>
      </c>
      <c r="B3068" s="6" t="str">
        <f>"53002023052916371193410"</f>
        <v>53002023052916371193410</v>
      </c>
      <c r="C3068" s="6" t="str">
        <f t="shared" si="209"/>
        <v>0212</v>
      </c>
      <c r="D3068" s="6" t="s">
        <v>32</v>
      </c>
      <c r="E3068" s="6" t="str">
        <f>"郑圣强"</f>
        <v>郑圣强</v>
      </c>
      <c r="F3068" s="6" t="str">
        <f>"男"</f>
        <v>男</v>
      </c>
    </row>
    <row r="3069" spans="1:6" ht="30" customHeight="1">
      <c r="A3069" s="6">
        <v>3067</v>
      </c>
      <c r="B3069" s="6" t="str">
        <f>"53002023052917325493744"</f>
        <v>53002023052917325493744</v>
      </c>
      <c r="C3069" s="6" t="str">
        <f t="shared" si="209"/>
        <v>0212</v>
      </c>
      <c r="D3069" s="6" t="s">
        <v>32</v>
      </c>
      <c r="E3069" s="6" t="str">
        <f>"郭君茹"</f>
        <v>郭君茹</v>
      </c>
      <c r="F3069" s="6" t="str">
        <f>"女"</f>
        <v>女</v>
      </c>
    </row>
    <row r="3070" spans="1:6" ht="30" customHeight="1">
      <c r="A3070" s="6">
        <v>3068</v>
      </c>
      <c r="B3070" s="6" t="str">
        <f>"53002023052918185793976"</f>
        <v>53002023052918185793976</v>
      </c>
      <c r="C3070" s="6" t="str">
        <f t="shared" si="209"/>
        <v>0212</v>
      </c>
      <c r="D3070" s="6" t="s">
        <v>32</v>
      </c>
      <c r="E3070" s="6" t="str">
        <f>"于逸男"</f>
        <v>于逸男</v>
      </c>
      <c r="F3070" s="6" t="str">
        <f>"女"</f>
        <v>女</v>
      </c>
    </row>
    <row r="3071" spans="1:6" ht="30" customHeight="1">
      <c r="A3071" s="6">
        <v>3069</v>
      </c>
      <c r="B3071" s="6" t="str">
        <f>"53002023052914222692438"</f>
        <v>53002023052914222692438</v>
      </c>
      <c r="C3071" s="6" t="str">
        <f t="shared" si="209"/>
        <v>0212</v>
      </c>
      <c r="D3071" s="6" t="s">
        <v>32</v>
      </c>
      <c r="E3071" s="6" t="str">
        <f>"麦世兵"</f>
        <v>麦世兵</v>
      </c>
      <c r="F3071" s="6" t="str">
        <f>"男"</f>
        <v>男</v>
      </c>
    </row>
    <row r="3072" spans="1:6" ht="30" customHeight="1">
      <c r="A3072" s="6">
        <v>3070</v>
      </c>
      <c r="B3072" s="6" t="str">
        <f>"53002023052919090794181"</f>
        <v>53002023052919090794181</v>
      </c>
      <c r="C3072" s="6" t="str">
        <f t="shared" si="209"/>
        <v>0212</v>
      </c>
      <c r="D3072" s="6" t="s">
        <v>32</v>
      </c>
      <c r="E3072" s="6" t="str">
        <f>"徐菁"</f>
        <v>徐菁</v>
      </c>
      <c r="F3072" s="6" t="str">
        <f>"女"</f>
        <v>女</v>
      </c>
    </row>
    <row r="3073" spans="1:6" ht="30" customHeight="1">
      <c r="A3073" s="6">
        <v>3071</v>
      </c>
      <c r="B3073" s="6" t="str">
        <f>"53002023052919403294309"</f>
        <v>53002023052919403294309</v>
      </c>
      <c r="C3073" s="6" t="str">
        <f t="shared" si="209"/>
        <v>0212</v>
      </c>
      <c r="D3073" s="6" t="s">
        <v>32</v>
      </c>
      <c r="E3073" s="6" t="str">
        <f>"张雅雯"</f>
        <v>张雅雯</v>
      </c>
      <c r="F3073" s="6" t="str">
        <f>"女"</f>
        <v>女</v>
      </c>
    </row>
    <row r="3074" spans="1:6" ht="30" customHeight="1">
      <c r="A3074" s="6">
        <v>3072</v>
      </c>
      <c r="B3074" s="6" t="str">
        <f>"53002023052823120289230"</f>
        <v>53002023052823120289230</v>
      </c>
      <c r="C3074" s="6" t="str">
        <f t="shared" si="209"/>
        <v>0212</v>
      </c>
      <c r="D3074" s="6" t="s">
        <v>32</v>
      </c>
      <c r="E3074" s="6" t="str">
        <f>"曾晶"</f>
        <v>曾晶</v>
      </c>
      <c r="F3074" s="6" t="str">
        <f>"女"</f>
        <v>女</v>
      </c>
    </row>
    <row r="3075" spans="1:6" ht="30" customHeight="1">
      <c r="A3075" s="6">
        <v>3073</v>
      </c>
      <c r="B3075" s="6" t="str">
        <f>"53002023053008115895826"</f>
        <v>53002023053008115895826</v>
      </c>
      <c r="C3075" s="6" t="str">
        <f t="shared" si="209"/>
        <v>0212</v>
      </c>
      <c r="D3075" s="6" t="s">
        <v>32</v>
      </c>
      <c r="E3075" s="6" t="str">
        <f>"王莹"</f>
        <v>王莹</v>
      </c>
      <c r="F3075" s="6" t="str">
        <f>"女"</f>
        <v>女</v>
      </c>
    </row>
    <row r="3076" spans="1:6" ht="30" customHeight="1">
      <c r="A3076" s="6">
        <v>3074</v>
      </c>
      <c r="B3076" s="6" t="str">
        <f>"53002023053009424796324"</f>
        <v>53002023053009424796324</v>
      </c>
      <c r="C3076" s="6" t="str">
        <f t="shared" si="209"/>
        <v>0212</v>
      </c>
      <c r="D3076" s="6" t="s">
        <v>32</v>
      </c>
      <c r="E3076" s="6" t="str">
        <f>"孙鹏程"</f>
        <v>孙鹏程</v>
      </c>
      <c r="F3076" s="6" t="str">
        <f>"男"</f>
        <v>男</v>
      </c>
    </row>
    <row r="3077" spans="1:6" ht="30" customHeight="1">
      <c r="A3077" s="6">
        <v>3075</v>
      </c>
      <c r="B3077" s="6" t="str">
        <f>"53002023052915190892795"</f>
        <v>53002023052915190892795</v>
      </c>
      <c r="C3077" s="6" t="str">
        <f t="shared" si="209"/>
        <v>0212</v>
      </c>
      <c r="D3077" s="6" t="s">
        <v>32</v>
      </c>
      <c r="E3077" s="6" t="str">
        <f>"陈本慧"</f>
        <v>陈本慧</v>
      </c>
      <c r="F3077" s="6" t="str">
        <f>"女"</f>
        <v>女</v>
      </c>
    </row>
    <row r="3078" spans="1:6" ht="30" customHeight="1">
      <c r="A3078" s="6">
        <v>3076</v>
      </c>
      <c r="B3078" s="6" t="str">
        <f>"53002023053009463596356"</f>
        <v>53002023053009463596356</v>
      </c>
      <c r="C3078" s="6" t="str">
        <f t="shared" si="209"/>
        <v>0212</v>
      </c>
      <c r="D3078" s="6" t="s">
        <v>32</v>
      </c>
      <c r="E3078" s="6" t="str">
        <f>"刘晨"</f>
        <v>刘晨</v>
      </c>
      <c r="F3078" s="6" t="str">
        <f>"女"</f>
        <v>女</v>
      </c>
    </row>
    <row r="3079" spans="1:6" ht="30" customHeight="1">
      <c r="A3079" s="6">
        <v>3077</v>
      </c>
      <c r="B3079" s="6" t="str">
        <f>"53002023053008580995965"</f>
        <v>53002023053008580995965</v>
      </c>
      <c r="C3079" s="6" t="str">
        <f t="shared" si="209"/>
        <v>0212</v>
      </c>
      <c r="D3079" s="6" t="s">
        <v>32</v>
      </c>
      <c r="E3079" s="6" t="str">
        <f>"符奇玲"</f>
        <v>符奇玲</v>
      </c>
      <c r="F3079" s="6" t="str">
        <f>"女"</f>
        <v>女</v>
      </c>
    </row>
    <row r="3080" spans="1:6" ht="30" customHeight="1">
      <c r="A3080" s="6">
        <v>3078</v>
      </c>
      <c r="B3080" s="6" t="str">
        <f>"53002023053020184399975"</f>
        <v>53002023053020184399975</v>
      </c>
      <c r="C3080" s="6" t="str">
        <f t="shared" si="209"/>
        <v>0212</v>
      </c>
      <c r="D3080" s="6" t="s">
        <v>32</v>
      </c>
      <c r="E3080" s="6" t="str">
        <f>"石博"</f>
        <v>石博</v>
      </c>
      <c r="F3080" s="6" t="str">
        <f>"男"</f>
        <v>男</v>
      </c>
    </row>
    <row r="3081" spans="1:6" ht="30" customHeight="1">
      <c r="A3081" s="6">
        <v>3079</v>
      </c>
      <c r="B3081" s="6" t="str">
        <f>"53002023053019395799787"</f>
        <v>53002023053019395799787</v>
      </c>
      <c r="C3081" s="6" t="str">
        <f t="shared" si="209"/>
        <v>0212</v>
      </c>
      <c r="D3081" s="6" t="s">
        <v>32</v>
      </c>
      <c r="E3081" s="6" t="str">
        <f>"符清岚"</f>
        <v>符清岚</v>
      </c>
      <c r="F3081" s="6" t="str">
        <f>"女"</f>
        <v>女</v>
      </c>
    </row>
    <row r="3082" spans="1:6" ht="30" customHeight="1">
      <c r="A3082" s="6">
        <v>3080</v>
      </c>
      <c r="B3082" s="6" t="str">
        <f>"53002023053017264499219"</f>
        <v>53002023053017264499219</v>
      </c>
      <c r="C3082" s="6" t="str">
        <f t="shared" si="209"/>
        <v>0212</v>
      </c>
      <c r="D3082" s="6" t="s">
        <v>32</v>
      </c>
      <c r="E3082" s="6" t="str">
        <f>"高涵"</f>
        <v>高涵</v>
      </c>
      <c r="F3082" s="6" t="str">
        <f>"男"</f>
        <v>男</v>
      </c>
    </row>
    <row r="3083" spans="1:6" ht="30" customHeight="1">
      <c r="A3083" s="6">
        <v>3081</v>
      </c>
      <c r="B3083" s="6" t="str">
        <f>"530020230530205252100133"</f>
        <v>530020230530205252100133</v>
      </c>
      <c r="C3083" s="6" t="str">
        <f t="shared" si="209"/>
        <v>0212</v>
      </c>
      <c r="D3083" s="6" t="s">
        <v>32</v>
      </c>
      <c r="E3083" s="6" t="str">
        <f>"赵春乾"</f>
        <v>赵春乾</v>
      </c>
      <c r="F3083" s="6" t="str">
        <f>"女"</f>
        <v>女</v>
      </c>
    </row>
    <row r="3084" spans="1:6" ht="30" customHeight="1">
      <c r="A3084" s="6">
        <v>3082</v>
      </c>
      <c r="B3084" s="6" t="str">
        <f>"530020230531093947101617"</f>
        <v>530020230531093947101617</v>
      </c>
      <c r="C3084" s="6" t="str">
        <f t="shared" si="209"/>
        <v>0212</v>
      </c>
      <c r="D3084" s="6" t="s">
        <v>32</v>
      </c>
      <c r="E3084" s="6" t="str">
        <f>"符茂金"</f>
        <v>符茂金</v>
      </c>
      <c r="F3084" s="6" t="str">
        <f>"男"</f>
        <v>男</v>
      </c>
    </row>
    <row r="3085" spans="1:6" ht="30" customHeight="1">
      <c r="A3085" s="6">
        <v>3083</v>
      </c>
      <c r="B3085" s="6" t="str">
        <f>"530020230531085409101297"</f>
        <v>530020230531085409101297</v>
      </c>
      <c r="C3085" s="6" t="str">
        <f t="shared" si="209"/>
        <v>0212</v>
      </c>
      <c r="D3085" s="6" t="s">
        <v>32</v>
      </c>
      <c r="E3085" s="6" t="str">
        <f>"董季月"</f>
        <v>董季月</v>
      </c>
      <c r="F3085" s="6" t="str">
        <f>"女"</f>
        <v>女</v>
      </c>
    </row>
    <row r="3086" spans="1:6" ht="30" customHeight="1">
      <c r="A3086" s="6">
        <v>3084</v>
      </c>
      <c r="B3086" s="6" t="str">
        <f>"530020230531080934101160"</f>
        <v>530020230531080934101160</v>
      </c>
      <c r="C3086" s="6" t="str">
        <f t="shared" si="209"/>
        <v>0212</v>
      </c>
      <c r="D3086" s="6" t="s">
        <v>32</v>
      </c>
      <c r="E3086" s="6" t="str">
        <f>"陈泽帅"</f>
        <v>陈泽帅</v>
      </c>
      <c r="F3086" s="6" t="str">
        <f>"男"</f>
        <v>男</v>
      </c>
    </row>
    <row r="3087" spans="1:6" ht="30" customHeight="1">
      <c r="A3087" s="6">
        <v>3085</v>
      </c>
      <c r="B3087" s="6" t="str">
        <f>"530020230531125935102793"</f>
        <v>530020230531125935102793</v>
      </c>
      <c r="C3087" s="6" t="str">
        <f t="shared" si="209"/>
        <v>0212</v>
      </c>
      <c r="D3087" s="6" t="s">
        <v>32</v>
      </c>
      <c r="E3087" s="6" t="str">
        <f>"马晓玲"</f>
        <v>马晓玲</v>
      </c>
      <c r="F3087" s="6" t="str">
        <f>"女"</f>
        <v>女</v>
      </c>
    </row>
    <row r="3088" spans="1:6" ht="30" customHeight="1">
      <c r="A3088" s="6">
        <v>3086</v>
      </c>
      <c r="B3088" s="6" t="str">
        <f>"530020230531140629103025"</f>
        <v>530020230531140629103025</v>
      </c>
      <c r="C3088" s="6" t="str">
        <f t="shared" si="209"/>
        <v>0212</v>
      </c>
      <c r="D3088" s="6" t="s">
        <v>32</v>
      </c>
      <c r="E3088" s="6" t="str">
        <f>"李影"</f>
        <v>李影</v>
      </c>
      <c r="F3088" s="6" t="str">
        <f>"女"</f>
        <v>女</v>
      </c>
    </row>
    <row r="3089" spans="1:6" ht="30" customHeight="1">
      <c r="A3089" s="6">
        <v>3087</v>
      </c>
      <c r="B3089" s="6" t="str">
        <f>"530020230531155223103460"</f>
        <v>530020230531155223103460</v>
      </c>
      <c r="C3089" s="6" t="str">
        <f t="shared" si="209"/>
        <v>0212</v>
      </c>
      <c r="D3089" s="6" t="s">
        <v>32</v>
      </c>
      <c r="E3089" s="6" t="str">
        <f>"陈紫薇"</f>
        <v>陈紫薇</v>
      </c>
      <c r="F3089" s="6" t="str">
        <f>"女"</f>
        <v>女</v>
      </c>
    </row>
    <row r="3090" spans="1:6" ht="30" customHeight="1">
      <c r="A3090" s="6">
        <v>3088</v>
      </c>
      <c r="B3090" s="6" t="str">
        <f>"53002023053020042599905"</f>
        <v>53002023053020042599905</v>
      </c>
      <c r="C3090" s="6" t="str">
        <f t="shared" si="209"/>
        <v>0212</v>
      </c>
      <c r="D3090" s="6" t="s">
        <v>32</v>
      </c>
      <c r="E3090" s="6" t="str">
        <f>"徐志曼"</f>
        <v>徐志曼</v>
      </c>
      <c r="F3090" s="6" t="str">
        <f>"女"</f>
        <v>女</v>
      </c>
    </row>
    <row r="3091" spans="1:6" ht="30" customHeight="1">
      <c r="A3091" s="6">
        <v>3089</v>
      </c>
      <c r="B3091" s="6" t="str">
        <f>"53002023053019154199693"</f>
        <v>53002023053019154199693</v>
      </c>
      <c r="C3091" s="6" t="str">
        <f t="shared" si="209"/>
        <v>0212</v>
      </c>
      <c r="D3091" s="6" t="s">
        <v>32</v>
      </c>
      <c r="E3091" s="6" t="str">
        <f>"刘阳"</f>
        <v>刘阳</v>
      </c>
      <c r="F3091" s="6" t="str">
        <f>"男"</f>
        <v>男</v>
      </c>
    </row>
    <row r="3092" spans="1:6" ht="30" customHeight="1">
      <c r="A3092" s="6">
        <v>3090</v>
      </c>
      <c r="B3092" s="6" t="str">
        <f>"53002023052911333991419"</f>
        <v>53002023052911333991419</v>
      </c>
      <c r="C3092" s="6" t="str">
        <f t="shared" si="209"/>
        <v>0212</v>
      </c>
      <c r="D3092" s="6" t="s">
        <v>32</v>
      </c>
      <c r="E3092" s="6" t="str">
        <f>"苻海俊"</f>
        <v>苻海俊</v>
      </c>
      <c r="F3092" s="6" t="str">
        <f>"女"</f>
        <v>女</v>
      </c>
    </row>
    <row r="3093" spans="1:6" ht="30" customHeight="1">
      <c r="A3093" s="6">
        <v>3091</v>
      </c>
      <c r="B3093" s="6" t="str">
        <f>"53002023053015220598413"</f>
        <v>53002023053015220598413</v>
      </c>
      <c r="C3093" s="6" t="str">
        <f t="shared" si="209"/>
        <v>0212</v>
      </c>
      <c r="D3093" s="6" t="s">
        <v>32</v>
      </c>
      <c r="E3093" s="6" t="str">
        <f>"何江"</f>
        <v>何江</v>
      </c>
      <c r="F3093" s="6" t="str">
        <f>"男"</f>
        <v>男</v>
      </c>
    </row>
    <row r="3094" spans="1:6" ht="30" customHeight="1">
      <c r="A3094" s="6">
        <v>3092</v>
      </c>
      <c r="B3094" s="6" t="str">
        <f>"53002023053016253698843"</f>
        <v>53002023053016253698843</v>
      </c>
      <c r="C3094" s="6" t="str">
        <f t="shared" si="209"/>
        <v>0212</v>
      </c>
      <c r="D3094" s="6" t="s">
        <v>32</v>
      </c>
      <c r="E3094" s="6" t="str">
        <f>"欧琼迪"</f>
        <v>欧琼迪</v>
      </c>
      <c r="F3094" s="6" t="str">
        <f>"男"</f>
        <v>男</v>
      </c>
    </row>
    <row r="3095" spans="1:6" ht="30" customHeight="1">
      <c r="A3095" s="6">
        <v>3093</v>
      </c>
      <c r="B3095" s="6" t="str">
        <f>"530020230601005611105146"</f>
        <v>530020230601005611105146</v>
      </c>
      <c r="C3095" s="6" t="str">
        <f t="shared" si="209"/>
        <v>0212</v>
      </c>
      <c r="D3095" s="6" t="s">
        <v>32</v>
      </c>
      <c r="E3095" s="6" t="str">
        <f>"蒋秋妹"</f>
        <v>蒋秋妹</v>
      </c>
      <c r="F3095" s="6" t="str">
        <f aca="true" t="shared" si="211" ref="F3095:F3100">"女"</f>
        <v>女</v>
      </c>
    </row>
    <row r="3096" spans="1:6" ht="30" customHeight="1">
      <c r="A3096" s="6">
        <v>3094</v>
      </c>
      <c r="B3096" s="6" t="str">
        <f>"53002023052716275585304"</f>
        <v>53002023052716275585304</v>
      </c>
      <c r="C3096" s="6" t="str">
        <f t="shared" si="209"/>
        <v>0212</v>
      </c>
      <c r="D3096" s="6" t="s">
        <v>32</v>
      </c>
      <c r="E3096" s="6" t="str">
        <f>"陈鹤玲"</f>
        <v>陈鹤玲</v>
      </c>
      <c r="F3096" s="6" t="str">
        <f t="shared" si="211"/>
        <v>女</v>
      </c>
    </row>
    <row r="3097" spans="1:6" ht="30" customHeight="1">
      <c r="A3097" s="6">
        <v>3095</v>
      </c>
      <c r="B3097" s="6" t="str">
        <f>"530020230601101620105952"</f>
        <v>530020230601101620105952</v>
      </c>
      <c r="C3097" s="6" t="str">
        <f t="shared" si="209"/>
        <v>0212</v>
      </c>
      <c r="D3097" s="6" t="s">
        <v>32</v>
      </c>
      <c r="E3097" s="6" t="str">
        <f>"尚怡达"</f>
        <v>尚怡达</v>
      </c>
      <c r="F3097" s="6" t="str">
        <f t="shared" si="211"/>
        <v>女</v>
      </c>
    </row>
    <row r="3098" spans="1:6" ht="30" customHeight="1">
      <c r="A3098" s="6">
        <v>3096</v>
      </c>
      <c r="B3098" s="6" t="str">
        <f>"530020230601112913106415"</f>
        <v>530020230601112913106415</v>
      </c>
      <c r="C3098" s="6" t="str">
        <f t="shared" si="209"/>
        <v>0212</v>
      </c>
      <c r="D3098" s="6" t="s">
        <v>32</v>
      </c>
      <c r="E3098" s="6" t="str">
        <f>"李桂枝"</f>
        <v>李桂枝</v>
      </c>
      <c r="F3098" s="6" t="str">
        <f t="shared" si="211"/>
        <v>女</v>
      </c>
    </row>
    <row r="3099" spans="1:6" ht="30" customHeight="1">
      <c r="A3099" s="6">
        <v>3097</v>
      </c>
      <c r="B3099" s="6" t="str">
        <f>"530020230601103343106085"</f>
        <v>530020230601103343106085</v>
      </c>
      <c r="C3099" s="6" t="str">
        <f t="shared" si="209"/>
        <v>0212</v>
      </c>
      <c r="D3099" s="6" t="s">
        <v>32</v>
      </c>
      <c r="E3099" s="6" t="str">
        <f>"年禹憬"</f>
        <v>年禹憬</v>
      </c>
      <c r="F3099" s="6" t="str">
        <f t="shared" si="211"/>
        <v>女</v>
      </c>
    </row>
    <row r="3100" spans="1:6" ht="30" customHeight="1">
      <c r="A3100" s="6">
        <v>3098</v>
      </c>
      <c r="B3100" s="6" t="str">
        <f>"530020230601141326107052"</f>
        <v>530020230601141326107052</v>
      </c>
      <c r="C3100" s="6" t="str">
        <f t="shared" si="209"/>
        <v>0212</v>
      </c>
      <c r="D3100" s="6" t="s">
        <v>32</v>
      </c>
      <c r="E3100" s="6" t="str">
        <f>"林秋妍"</f>
        <v>林秋妍</v>
      </c>
      <c r="F3100" s="6" t="str">
        <f t="shared" si="211"/>
        <v>女</v>
      </c>
    </row>
    <row r="3101" spans="1:6" ht="30" customHeight="1">
      <c r="A3101" s="6">
        <v>3099</v>
      </c>
      <c r="B3101" s="6" t="str">
        <f>"530020230601133513106952"</f>
        <v>530020230601133513106952</v>
      </c>
      <c r="C3101" s="6" t="str">
        <f t="shared" si="209"/>
        <v>0212</v>
      </c>
      <c r="D3101" s="6" t="s">
        <v>32</v>
      </c>
      <c r="E3101" s="6" t="str">
        <f>"吴启基"</f>
        <v>吴启基</v>
      </c>
      <c r="F3101" s="6" t="str">
        <f>"男"</f>
        <v>男</v>
      </c>
    </row>
    <row r="3102" spans="1:6" ht="30" customHeight="1">
      <c r="A3102" s="6">
        <v>3100</v>
      </c>
      <c r="B3102" s="6" t="str">
        <f>"530020230601164809107731"</f>
        <v>530020230601164809107731</v>
      </c>
      <c r="C3102" s="6" t="str">
        <f t="shared" si="209"/>
        <v>0212</v>
      </c>
      <c r="D3102" s="6" t="s">
        <v>32</v>
      </c>
      <c r="E3102" s="6" t="str">
        <f>"张蕾"</f>
        <v>张蕾</v>
      </c>
      <c r="F3102" s="6" t="str">
        <f>"女"</f>
        <v>女</v>
      </c>
    </row>
    <row r="3103" spans="1:6" ht="30" customHeight="1">
      <c r="A3103" s="6">
        <v>3101</v>
      </c>
      <c r="B3103" s="6" t="str">
        <f>"530020230601213808108673"</f>
        <v>530020230601213808108673</v>
      </c>
      <c r="C3103" s="6" t="str">
        <f t="shared" si="209"/>
        <v>0212</v>
      </c>
      <c r="D3103" s="6" t="s">
        <v>32</v>
      </c>
      <c r="E3103" s="6" t="str">
        <f>"曹平冬"</f>
        <v>曹平冬</v>
      </c>
      <c r="F3103" s="6" t="str">
        <f>"男"</f>
        <v>男</v>
      </c>
    </row>
    <row r="3104" spans="1:6" ht="30" customHeight="1">
      <c r="A3104" s="6">
        <v>3102</v>
      </c>
      <c r="B3104" s="6" t="str">
        <f>"530020230601225006108959"</f>
        <v>530020230601225006108959</v>
      </c>
      <c r="C3104" s="6" t="str">
        <f t="shared" si="209"/>
        <v>0212</v>
      </c>
      <c r="D3104" s="6" t="s">
        <v>32</v>
      </c>
      <c r="E3104" s="6" t="str">
        <f>"吴佳珂"</f>
        <v>吴佳珂</v>
      </c>
      <c r="F3104" s="6" t="str">
        <f>"女"</f>
        <v>女</v>
      </c>
    </row>
    <row r="3105" spans="1:6" ht="30" customHeight="1">
      <c r="A3105" s="6">
        <v>3103</v>
      </c>
      <c r="B3105" s="6" t="str">
        <f>"530020230601230554109012"</f>
        <v>530020230601230554109012</v>
      </c>
      <c r="C3105" s="6" t="str">
        <f t="shared" si="209"/>
        <v>0212</v>
      </c>
      <c r="D3105" s="6" t="s">
        <v>32</v>
      </c>
      <c r="E3105" s="6" t="str">
        <f>"曾曼曼"</f>
        <v>曾曼曼</v>
      </c>
      <c r="F3105" s="6" t="str">
        <f>"女"</f>
        <v>女</v>
      </c>
    </row>
    <row r="3106" spans="1:6" ht="30" customHeight="1">
      <c r="A3106" s="6">
        <v>3104</v>
      </c>
      <c r="B3106" s="6" t="str">
        <f>"53002023052922471295337"</f>
        <v>53002023052922471295337</v>
      </c>
      <c r="C3106" s="6" t="str">
        <f t="shared" si="209"/>
        <v>0212</v>
      </c>
      <c r="D3106" s="6" t="s">
        <v>32</v>
      </c>
      <c r="E3106" s="6" t="str">
        <f>"蔡如双"</f>
        <v>蔡如双</v>
      </c>
      <c r="F3106" s="6" t="str">
        <f>"女"</f>
        <v>女</v>
      </c>
    </row>
    <row r="3107" spans="1:6" ht="30" customHeight="1">
      <c r="A3107" s="6">
        <v>3105</v>
      </c>
      <c r="B3107" s="6" t="str">
        <f>"530020230602085830109453"</f>
        <v>530020230602085830109453</v>
      </c>
      <c r="C3107" s="6" t="str">
        <f t="shared" si="209"/>
        <v>0212</v>
      </c>
      <c r="D3107" s="6" t="s">
        <v>32</v>
      </c>
      <c r="E3107" s="6" t="str">
        <f>"王田"</f>
        <v>王田</v>
      </c>
      <c r="F3107" s="6" t="str">
        <f>"女"</f>
        <v>女</v>
      </c>
    </row>
    <row r="3108" spans="1:6" ht="30" customHeight="1">
      <c r="A3108" s="6">
        <v>3106</v>
      </c>
      <c r="B3108" s="6" t="str">
        <f>"530020230531105333102149"</f>
        <v>530020230531105333102149</v>
      </c>
      <c r="C3108" s="6" t="str">
        <f t="shared" si="209"/>
        <v>0212</v>
      </c>
      <c r="D3108" s="6" t="s">
        <v>32</v>
      </c>
      <c r="E3108" s="6" t="str">
        <f>"孟庆茹"</f>
        <v>孟庆茹</v>
      </c>
      <c r="F3108" s="6" t="str">
        <f>"女"</f>
        <v>女</v>
      </c>
    </row>
    <row r="3109" spans="1:6" ht="30" customHeight="1">
      <c r="A3109" s="6">
        <v>3107</v>
      </c>
      <c r="B3109" s="6" t="str">
        <f>"530020230601225941108986"</f>
        <v>530020230601225941108986</v>
      </c>
      <c r="C3109" s="6" t="str">
        <f t="shared" si="209"/>
        <v>0212</v>
      </c>
      <c r="D3109" s="6" t="s">
        <v>32</v>
      </c>
      <c r="E3109" s="6" t="str">
        <f>"王作"</f>
        <v>王作</v>
      </c>
      <c r="F3109" s="6" t="str">
        <f>"男"</f>
        <v>男</v>
      </c>
    </row>
    <row r="3110" spans="1:6" ht="30" customHeight="1">
      <c r="A3110" s="6">
        <v>3108</v>
      </c>
      <c r="B3110" s="6" t="str">
        <f>"530020230602100638109716"</f>
        <v>530020230602100638109716</v>
      </c>
      <c r="C3110" s="6" t="str">
        <f t="shared" si="209"/>
        <v>0212</v>
      </c>
      <c r="D3110" s="6" t="s">
        <v>32</v>
      </c>
      <c r="E3110" s="6" t="str">
        <f>"刘耀泽"</f>
        <v>刘耀泽</v>
      </c>
      <c r="F3110" s="6" t="str">
        <f>"男"</f>
        <v>男</v>
      </c>
    </row>
    <row r="3111" spans="1:6" ht="30" customHeight="1">
      <c r="A3111" s="6">
        <v>3109</v>
      </c>
      <c r="B3111" s="6" t="str">
        <f>"530020230530202438100001"</f>
        <v>530020230530202438100001</v>
      </c>
      <c r="C3111" s="6" t="str">
        <f t="shared" si="209"/>
        <v>0212</v>
      </c>
      <c r="D3111" s="6" t="s">
        <v>32</v>
      </c>
      <c r="E3111" s="6" t="str">
        <f>"麦淞"</f>
        <v>麦淞</v>
      </c>
      <c r="F3111" s="6" t="str">
        <f>"男"</f>
        <v>男</v>
      </c>
    </row>
    <row r="3112" spans="1:6" ht="30" customHeight="1">
      <c r="A3112" s="6">
        <v>3110</v>
      </c>
      <c r="B3112" s="6" t="str">
        <f>"530020230602104310109881"</f>
        <v>530020230602104310109881</v>
      </c>
      <c r="C3112" s="6" t="str">
        <f t="shared" si="209"/>
        <v>0212</v>
      </c>
      <c r="D3112" s="6" t="s">
        <v>32</v>
      </c>
      <c r="E3112" s="6" t="str">
        <f>"吴全珍"</f>
        <v>吴全珍</v>
      </c>
      <c r="F3112" s="6" t="str">
        <f>"男"</f>
        <v>男</v>
      </c>
    </row>
    <row r="3113" spans="1:6" ht="30" customHeight="1">
      <c r="A3113" s="6">
        <v>3111</v>
      </c>
      <c r="B3113" s="6" t="str">
        <f>"530020230602112109110072"</f>
        <v>530020230602112109110072</v>
      </c>
      <c r="C3113" s="6" t="str">
        <f>"0212"</f>
        <v>0212</v>
      </c>
      <c r="D3113" s="6" t="s">
        <v>32</v>
      </c>
      <c r="E3113" s="6" t="str">
        <f>"潘文茹"</f>
        <v>潘文茹</v>
      </c>
      <c r="F3113" s="6" t="str">
        <f>"女"</f>
        <v>女</v>
      </c>
    </row>
    <row r="3114" spans="1:6" ht="30" customHeight="1">
      <c r="A3114" s="6">
        <v>3112</v>
      </c>
      <c r="B3114" s="6" t="str">
        <f>"530020230602091636109514"</f>
        <v>530020230602091636109514</v>
      </c>
      <c r="C3114" s="6" t="str">
        <f>"0212"</f>
        <v>0212</v>
      </c>
      <c r="D3114" s="6" t="s">
        <v>32</v>
      </c>
      <c r="E3114" s="6" t="str">
        <f>"吴凯琪"</f>
        <v>吴凯琪</v>
      </c>
      <c r="F3114" s="6" t="str">
        <f>"女"</f>
        <v>女</v>
      </c>
    </row>
    <row r="3115" spans="1:6" ht="30" customHeight="1">
      <c r="A3115" s="6">
        <v>3113</v>
      </c>
      <c r="B3115" s="6" t="str">
        <f>"530020230602114306110154"</f>
        <v>530020230602114306110154</v>
      </c>
      <c r="C3115" s="6" t="str">
        <f>"0212"</f>
        <v>0212</v>
      </c>
      <c r="D3115" s="6" t="s">
        <v>32</v>
      </c>
      <c r="E3115" s="6" t="str">
        <f>"周静"</f>
        <v>周静</v>
      </c>
      <c r="F3115" s="6" t="str">
        <f>"女"</f>
        <v>女</v>
      </c>
    </row>
    <row r="3116" spans="1:6" ht="30" customHeight="1">
      <c r="A3116" s="6">
        <v>3114</v>
      </c>
      <c r="B3116" s="6" t="str">
        <f>"530020230531134841102972"</f>
        <v>530020230531134841102972</v>
      </c>
      <c r="C3116" s="6" t="str">
        <f>"0212"</f>
        <v>0212</v>
      </c>
      <c r="D3116" s="6" t="s">
        <v>32</v>
      </c>
      <c r="E3116" s="6" t="str">
        <f>"吴筱筱"</f>
        <v>吴筱筱</v>
      </c>
      <c r="F3116" s="6" t="str">
        <f>"女"</f>
        <v>女</v>
      </c>
    </row>
    <row r="3117" spans="1:6" ht="30" customHeight="1">
      <c r="A3117" s="6">
        <v>3115</v>
      </c>
      <c r="B3117" s="6" t="str">
        <f>"530020230602115711110193"</f>
        <v>530020230602115711110193</v>
      </c>
      <c r="C3117" s="6" t="str">
        <f>"0212"</f>
        <v>0212</v>
      </c>
      <c r="D3117" s="6" t="s">
        <v>32</v>
      </c>
      <c r="E3117" s="6" t="str">
        <f>"赵世海"</f>
        <v>赵世海</v>
      </c>
      <c r="F3117" s="6" t="str">
        <f>"男"</f>
        <v>男</v>
      </c>
    </row>
    <row r="3118" spans="1:6" ht="30" customHeight="1">
      <c r="A3118" s="6">
        <v>3116</v>
      </c>
      <c r="B3118" s="6" t="str">
        <f>"53002023052710542584144"</f>
        <v>53002023052710542584144</v>
      </c>
      <c r="C3118" s="6" t="str">
        <f aca="true" t="shared" si="212" ref="C3118:C3181">"0213"</f>
        <v>0213</v>
      </c>
      <c r="D3118" s="6" t="s">
        <v>33</v>
      </c>
      <c r="E3118" s="6" t="str">
        <f>"吴晓中"</f>
        <v>吴晓中</v>
      </c>
      <c r="F3118" s="6" t="str">
        <f>"男"</f>
        <v>男</v>
      </c>
    </row>
    <row r="3119" spans="1:6" ht="30" customHeight="1">
      <c r="A3119" s="6">
        <v>3117</v>
      </c>
      <c r="B3119" s="6" t="str">
        <f>"53002023052720345386029"</f>
        <v>53002023052720345386029</v>
      </c>
      <c r="C3119" s="6" t="str">
        <f t="shared" si="212"/>
        <v>0213</v>
      </c>
      <c r="D3119" s="6" t="s">
        <v>33</v>
      </c>
      <c r="E3119" s="6" t="str">
        <f>"何林青"</f>
        <v>何林青</v>
      </c>
      <c r="F3119" s="6" t="str">
        <f>"男"</f>
        <v>男</v>
      </c>
    </row>
    <row r="3120" spans="1:6" ht="30" customHeight="1">
      <c r="A3120" s="6">
        <v>3118</v>
      </c>
      <c r="B3120" s="6" t="str">
        <f>"53002023052811565987223"</f>
        <v>53002023052811565987223</v>
      </c>
      <c r="C3120" s="6" t="str">
        <f t="shared" si="212"/>
        <v>0213</v>
      </c>
      <c r="D3120" s="6" t="s">
        <v>33</v>
      </c>
      <c r="E3120" s="6" t="str">
        <f>"唐春芹"</f>
        <v>唐春芹</v>
      </c>
      <c r="F3120" s="6" t="str">
        <f aca="true" t="shared" si="213" ref="F3120:F3131">"女"</f>
        <v>女</v>
      </c>
    </row>
    <row r="3121" spans="1:6" ht="30" customHeight="1">
      <c r="A3121" s="6">
        <v>3119</v>
      </c>
      <c r="B3121" s="6" t="str">
        <f>"53002023052720284186006"</f>
        <v>53002023052720284186006</v>
      </c>
      <c r="C3121" s="6" t="str">
        <f t="shared" si="212"/>
        <v>0213</v>
      </c>
      <c r="D3121" s="6" t="s">
        <v>33</v>
      </c>
      <c r="E3121" s="6" t="str">
        <f>"林琳"</f>
        <v>林琳</v>
      </c>
      <c r="F3121" s="6" t="str">
        <f t="shared" si="213"/>
        <v>女</v>
      </c>
    </row>
    <row r="3122" spans="1:6" ht="30" customHeight="1">
      <c r="A3122" s="6">
        <v>3120</v>
      </c>
      <c r="B3122" s="6" t="str">
        <f>"53002023052820053888592"</f>
        <v>53002023052820053888592</v>
      </c>
      <c r="C3122" s="6" t="str">
        <f t="shared" si="212"/>
        <v>0213</v>
      </c>
      <c r="D3122" s="6" t="s">
        <v>33</v>
      </c>
      <c r="E3122" s="6" t="str">
        <f>"符娜"</f>
        <v>符娜</v>
      </c>
      <c r="F3122" s="6" t="str">
        <f t="shared" si="213"/>
        <v>女</v>
      </c>
    </row>
    <row r="3123" spans="1:6" ht="30" customHeight="1">
      <c r="A3123" s="6">
        <v>3121</v>
      </c>
      <c r="B3123" s="6" t="str">
        <f>"53002023052819065288455"</f>
        <v>53002023052819065288455</v>
      </c>
      <c r="C3123" s="6" t="str">
        <f t="shared" si="212"/>
        <v>0213</v>
      </c>
      <c r="D3123" s="6" t="s">
        <v>33</v>
      </c>
      <c r="E3123" s="6" t="str">
        <f>"徐英娜"</f>
        <v>徐英娜</v>
      </c>
      <c r="F3123" s="6" t="str">
        <f t="shared" si="213"/>
        <v>女</v>
      </c>
    </row>
    <row r="3124" spans="1:6" ht="30" customHeight="1">
      <c r="A3124" s="6">
        <v>3122</v>
      </c>
      <c r="B3124" s="6" t="str">
        <f>"53002023052815462787805"</f>
        <v>53002023052815462787805</v>
      </c>
      <c r="C3124" s="6" t="str">
        <f t="shared" si="212"/>
        <v>0213</v>
      </c>
      <c r="D3124" s="6" t="s">
        <v>33</v>
      </c>
      <c r="E3124" s="6" t="str">
        <f>"艾秋彤"</f>
        <v>艾秋彤</v>
      </c>
      <c r="F3124" s="6" t="str">
        <f t="shared" si="213"/>
        <v>女</v>
      </c>
    </row>
    <row r="3125" spans="1:6" ht="30" customHeight="1">
      <c r="A3125" s="6">
        <v>3123</v>
      </c>
      <c r="B3125" s="6" t="str">
        <f>"53002023052900194189343"</f>
        <v>53002023052900194189343</v>
      </c>
      <c r="C3125" s="6" t="str">
        <f t="shared" si="212"/>
        <v>0213</v>
      </c>
      <c r="D3125" s="6" t="s">
        <v>33</v>
      </c>
      <c r="E3125" s="6" t="str">
        <f>"吴如兰"</f>
        <v>吴如兰</v>
      </c>
      <c r="F3125" s="6" t="str">
        <f t="shared" si="213"/>
        <v>女</v>
      </c>
    </row>
    <row r="3126" spans="1:6" ht="30" customHeight="1">
      <c r="A3126" s="6">
        <v>3124</v>
      </c>
      <c r="B3126" s="6" t="str">
        <f>"53002023052909002789683"</f>
        <v>53002023052909002789683</v>
      </c>
      <c r="C3126" s="6" t="str">
        <f t="shared" si="212"/>
        <v>0213</v>
      </c>
      <c r="D3126" s="6" t="s">
        <v>33</v>
      </c>
      <c r="E3126" s="6" t="str">
        <f>"薛秀娟"</f>
        <v>薛秀娟</v>
      </c>
      <c r="F3126" s="6" t="str">
        <f t="shared" si="213"/>
        <v>女</v>
      </c>
    </row>
    <row r="3127" spans="1:6" ht="30" customHeight="1">
      <c r="A3127" s="6">
        <v>3125</v>
      </c>
      <c r="B3127" s="6" t="str">
        <f>"53002023052909102189860"</f>
        <v>53002023052909102189860</v>
      </c>
      <c r="C3127" s="6" t="str">
        <f t="shared" si="212"/>
        <v>0213</v>
      </c>
      <c r="D3127" s="6" t="s">
        <v>33</v>
      </c>
      <c r="E3127" s="6" t="str">
        <f>"孙华慧"</f>
        <v>孙华慧</v>
      </c>
      <c r="F3127" s="6" t="str">
        <f t="shared" si="213"/>
        <v>女</v>
      </c>
    </row>
    <row r="3128" spans="1:6" ht="30" customHeight="1">
      <c r="A3128" s="6">
        <v>3126</v>
      </c>
      <c r="B3128" s="6" t="str">
        <f>"53002023052909292490089"</f>
        <v>53002023052909292490089</v>
      </c>
      <c r="C3128" s="6" t="str">
        <f t="shared" si="212"/>
        <v>0213</v>
      </c>
      <c r="D3128" s="6" t="s">
        <v>33</v>
      </c>
      <c r="E3128" s="6" t="str">
        <f>"唐玉善"</f>
        <v>唐玉善</v>
      </c>
      <c r="F3128" s="6" t="str">
        <f t="shared" si="213"/>
        <v>女</v>
      </c>
    </row>
    <row r="3129" spans="1:6" ht="30" customHeight="1">
      <c r="A3129" s="6">
        <v>3127</v>
      </c>
      <c r="B3129" s="6" t="str">
        <f>"53002023052909303990107"</f>
        <v>53002023052909303990107</v>
      </c>
      <c r="C3129" s="6" t="str">
        <f t="shared" si="212"/>
        <v>0213</v>
      </c>
      <c r="D3129" s="6" t="s">
        <v>33</v>
      </c>
      <c r="E3129" s="6" t="str">
        <f>"林华茜"</f>
        <v>林华茜</v>
      </c>
      <c r="F3129" s="6" t="str">
        <f t="shared" si="213"/>
        <v>女</v>
      </c>
    </row>
    <row r="3130" spans="1:6" ht="30" customHeight="1">
      <c r="A3130" s="6">
        <v>3128</v>
      </c>
      <c r="B3130" s="6" t="str">
        <f>"53002023052909135289911"</f>
        <v>53002023052909135289911</v>
      </c>
      <c r="C3130" s="6" t="str">
        <f t="shared" si="212"/>
        <v>0213</v>
      </c>
      <c r="D3130" s="6" t="s">
        <v>33</v>
      </c>
      <c r="E3130" s="6" t="str">
        <f>"霍志鑫"</f>
        <v>霍志鑫</v>
      </c>
      <c r="F3130" s="6" t="str">
        <f t="shared" si="213"/>
        <v>女</v>
      </c>
    </row>
    <row r="3131" spans="1:6" ht="30" customHeight="1">
      <c r="A3131" s="6">
        <v>3129</v>
      </c>
      <c r="B3131" s="6" t="str">
        <f>"53002023052909161089942"</f>
        <v>53002023052909161089942</v>
      </c>
      <c r="C3131" s="6" t="str">
        <f t="shared" si="212"/>
        <v>0213</v>
      </c>
      <c r="D3131" s="6" t="s">
        <v>33</v>
      </c>
      <c r="E3131" s="6" t="str">
        <f>"陈思懿"</f>
        <v>陈思懿</v>
      </c>
      <c r="F3131" s="6" t="str">
        <f t="shared" si="213"/>
        <v>女</v>
      </c>
    </row>
    <row r="3132" spans="1:6" ht="30" customHeight="1">
      <c r="A3132" s="6">
        <v>3130</v>
      </c>
      <c r="B3132" s="6" t="str">
        <f>"53002023052909290590086"</f>
        <v>53002023052909290590086</v>
      </c>
      <c r="C3132" s="6" t="str">
        <f t="shared" si="212"/>
        <v>0213</v>
      </c>
      <c r="D3132" s="6" t="s">
        <v>33</v>
      </c>
      <c r="E3132" s="6" t="str">
        <f>"吴英志"</f>
        <v>吴英志</v>
      </c>
      <c r="F3132" s="6" t="str">
        <f>"男"</f>
        <v>男</v>
      </c>
    </row>
    <row r="3133" spans="1:6" ht="30" customHeight="1">
      <c r="A3133" s="6">
        <v>3131</v>
      </c>
      <c r="B3133" s="6" t="str">
        <f>"53002023052814513687660"</f>
        <v>53002023052814513687660</v>
      </c>
      <c r="C3133" s="6" t="str">
        <f t="shared" si="212"/>
        <v>0213</v>
      </c>
      <c r="D3133" s="6" t="s">
        <v>33</v>
      </c>
      <c r="E3133" s="6" t="str">
        <f>"胡彩虹"</f>
        <v>胡彩虹</v>
      </c>
      <c r="F3133" s="6" t="str">
        <f aca="true" t="shared" si="214" ref="F3133:F3150">"女"</f>
        <v>女</v>
      </c>
    </row>
    <row r="3134" spans="1:6" ht="30" customHeight="1">
      <c r="A3134" s="6">
        <v>3132</v>
      </c>
      <c r="B3134" s="6" t="str">
        <f>"53002023052911284891366"</f>
        <v>53002023052911284891366</v>
      </c>
      <c r="C3134" s="6" t="str">
        <f t="shared" si="212"/>
        <v>0213</v>
      </c>
      <c r="D3134" s="6" t="s">
        <v>33</v>
      </c>
      <c r="E3134" s="6" t="str">
        <f>"李雪婷"</f>
        <v>李雪婷</v>
      </c>
      <c r="F3134" s="6" t="str">
        <f t="shared" si="214"/>
        <v>女</v>
      </c>
    </row>
    <row r="3135" spans="1:6" ht="30" customHeight="1">
      <c r="A3135" s="6">
        <v>3133</v>
      </c>
      <c r="B3135" s="6" t="str">
        <f>"53002023052911252491341"</f>
        <v>53002023052911252491341</v>
      </c>
      <c r="C3135" s="6" t="str">
        <f t="shared" si="212"/>
        <v>0213</v>
      </c>
      <c r="D3135" s="6" t="s">
        <v>33</v>
      </c>
      <c r="E3135" s="6" t="str">
        <f>"黄晓静"</f>
        <v>黄晓静</v>
      </c>
      <c r="F3135" s="6" t="str">
        <f t="shared" si="214"/>
        <v>女</v>
      </c>
    </row>
    <row r="3136" spans="1:6" ht="30" customHeight="1">
      <c r="A3136" s="6">
        <v>3134</v>
      </c>
      <c r="B3136" s="6" t="str">
        <f>"53002023052910144890614"</f>
        <v>53002023052910144890614</v>
      </c>
      <c r="C3136" s="6" t="str">
        <f t="shared" si="212"/>
        <v>0213</v>
      </c>
      <c r="D3136" s="6" t="s">
        <v>33</v>
      </c>
      <c r="E3136" s="6" t="str">
        <f>"陈虹羽"</f>
        <v>陈虹羽</v>
      </c>
      <c r="F3136" s="6" t="str">
        <f t="shared" si="214"/>
        <v>女</v>
      </c>
    </row>
    <row r="3137" spans="1:6" ht="30" customHeight="1">
      <c r="A3137" s="6">
        <v>3135</v>
      </c>
      <c r="B3137" s="6" t="str">
        <f>"53002023052908140289514"</f>
        <v>53002023052908140289514</v>
      </c>
      <c r="C3137" s="6" t="str">
        <f t="shared" si="212"/>
        <v>0213</v>
      </c>
      <c r="D3137" s="6" t="s">
        <v>33</v>
      </c>
      <c r="E3137" s="6" t="str">
        <f>"蒙怡婷"</f>
        <v>蒙怡婷</v>
      </c>
      <c r="F3137" s="6" t="str">
        <f t="shared" si="214"/>
        <v>女</v>
      </c>
    </row>
    <row r="3138" spans="1:6" ht="30" customHeight="1">
      <c r="A3138" s="6">
        <v>3136</v>
      </c>
      <c r="B3138" s="6" t="str">
        <f>"53002023052914254792458"</f>
        <v>53002023052914254792458</v>
      </c>
      <c r="C3138" s="6" t="str">
        <f t="shared" si="212"/>
        <v>0213</v>
      </c>
      <c r="D3138" s="6" t="s">
        <v>33</v>
      </c>
      <c r="E3138" s="6" t="str">
        <f>"陈小美"</f>
        <v>陈小美</v>
      </c>
      <c r="F3138" s="6" t="str">
        <f t="shared" si="214"/>
        <v>女</v>
      </c>
    </row>
    <row r="3139" spans="1:6" ht="30" customHeight="1">
      <c r="A3139" s="6">
        <v>3137</v>
      </c>
      <c r="B3139" s="6" t="str">
        <f>"53002023052914493492588"</f>
        <v>53002023052914493492588</v>
      </c>
      <c r="C3139" s="6" t="str">
        <f t="shared" si="212"/>
        <v>0213</v>
      </c>
      <c r="D3139" s="6" t="s">
        <v>33</v>
      </c>
      <c r="E3139" s="6" t="str">
        <f>"林小慧"</f>
        <v>林小慧</v>
      </c>
      <c r="F3139" s="6" t="str">
        <f t="shared" si="214"/>
        <v>女</v>
      </c>
    </row>
    <row r="3140" spans="1:6" ht="30" customHeight="1">
      <c r="A3140" s="6">
        <v>3138</v>
      </c>
      <c r="B3140" s="6" t="str">
        <f>"53002023052909554990393"</f>
        <v>53002023052909554990393</v>
      </c>
      <c r="C3140" s="6" t="str">
        <f t="shared" si="212"/>
        <v>0213</v>
      </c>
      <c r="D3140" s="6" t="s">
        <v>33</v>
      </c>
      <c r="E3140" s="6" t="str">
        <f>"杨晨"</f>
        <v>杨晨</v>
      </c>
      <c r="F3140" s="6" t="str">
        <f t="shared" si="214"/>
        <v>女</v>
      </c>
    </row>
    <row r="3141" spans="1:6" ht="30" customHeight="1">
      <c r="A3141" s="6">
        <v>3139</v>
      </c>
      <c r="B3141" s="6" t="str">
        <f>"53002023052914164292413"</f>
        <v>53002023052914164292413</v>
      </c>
      <c r="C3141" s="6" t="str">
        <f t="shared" si="212"/>
        <v>0213</v>
      </c>
      <c r="D3141" s="6" t="s">
        <v>33</v>
      </c>
      <c r="E3141" s="6" t="str">
        <f>"江文兰"</f>
        <v>江文兰</v>
      </c>
      <c r="F3141" s="6" t="str">
        <f t="shared" si="214"/>
        <v>女</v>
      </c>
    </row>
    <row r="3142" spans="1:6" ht="30" customHeight="1">
      <c r="A3142" s="6">
        <v>3140</v>
      </c>
      <c r="B3142" s="6" t="str">
        <f>"53002023052709480783829"</f>
        <v>53002023052709480783829</v>
      </c>
      <c r="C3142" s="6" t="str">
        <f t="shared" si="212"/>
        <v>0213</v>
      </c>
      <c r="D3142" s="6" t="s">
        <v>33</v>
      </c>
      <c r="E3142" s="6" t="str">
        <f>"孙小慧"</f>
        <v>孙小慧</v>
      </c>
      <c r="F3142" s="6" t="str">
        <f t="shared" si="214"/>
        <v>女</v>
      </c>
    </row>
    <row r="3143" spans="1:6" ht="30" customHeight="1">
      <c r="A3143" s="6">
        <v>3141</v>
      </c>
      <c r="B3143" s="6" t="str">
        <f>"53002023052915412692973"</f>
        <v>53002023052915412692973</v>
      </c>
      <c r="C3143" s="6" t="str">
        <f t="shared" si="212"/>
        <v>0213</v>
      </c>
      <c r="D3143" s="6" t="s">
        <v>33</v>
      </c>
      <c r="E3143" s="6" t="str">
        <f>"陈玉丹"</f>
        <v>陈玉丹</v>
      </c>
      <c r="F3143" s="6" t="str">
        <f t="shared" si="214"/>
        <v>女</v>
      </c>
    </row>
    <row r="3144" spans="1:6" ht="30" customHeight="1">
      <c r="A3144" s="6">
        <v>3142</v>
      </c>
      <c r="B3144" s="6" t="str">
        <f>"53002023052910353590854"</f>
        <v>53002023052910353590854</v>
      </c>
      <c r="C3144" s="6" t="str">
        <f t="shared" si="212"/>
        <v>0213</v>
      </c>
      <c r="D3144" s="6" t="s">
        <v>33</v>
      </c>
      <c r="E3144" s="6" t="str">
        <f>"陈石春"</f>
        <v>陈石春</v>
      </c>
      <c r="F3144" s="6" t="str">
        <f t="shared" si="214"/>
        <v>女</v>
      </c>
    </row>
    <row r="3145" spans="1:6" ht="30" customHeight="1">
      <c r="A3145" s="6">
        <v>3143</v>
      </c>
      <c r="B3145" s="6" t="str">
        <f>"53002023052919231894242"</f>
        <v>53002023052919231894242</v>
      </c>
      <c r="C3145" s="6" t="str">
        <f t="shared" si="212"/>
        <v>0213</v>
      </c>
      <c r="D3145" s="6" t="s">
        <v>33</v>
      </c>
      <c r="E3145" s="6" t="str">
        <f>"吴兰英"</f>
        <v>吴兰英</v>
      </c>
      <c r="F3145" s="6" t="str">
        <f t="shared" si="214"/>
        <v>女</v>
      </c>
    </row>
    <row r="3146" spans="1:6" ht="30" customHeight="1">
      <c r="A3146" s="6">
        <v>3144</v>
      </c>
      <c r="B3146" s="6" t="str">
        <f>"53002023052917262893717"</f>
        <v>53002023052917262893717</v>
      </c>
      <c r="C3146" s="6" t="str">
        <f t="shared" si="212"/>
        <v>0213</v>
      </c>
      <c r="D3146" s="6" t="s">
        <v>33</v>
      </c>
      <c r="E3146" s="6" t="str">
        <f>"符金梅"</f>
        <v>符金梅</v>
      </c>
      <c r="F3146" s="6" t="str">
        <f t="shared" si="214"/>
        <v>女</v>
      </c>
    </row>
    <row r="3147" spans="1:6" ht="30" customHeight="1">
      <c r="A3147" s="6">
        <v>3145</v>
      </c>
      <c r="B3147" s="6" t="str">
        <f>"53002023052718171685645"</f>
        <v>53002023052718171685645</v>
      </c>
      <c r="C3147" s="6" t="str">
        <f t="shared" si="212"/>
        <v>0213</v>
      </c>
      <c r="D3147" s="6" t="s">
        <v>33</v>
      </c>
      <c r="E3147" s="6" t="str">
        <f>"林春莲"</f>
        <v>林春莲</v>
      </c>
      <c r="F3147" s="6" t="str">
        <f t="shared" si="214"/>
        <v>女</v>
      </c>
    </row>
    <row r="3148" spans="1:6" ht="30" customHeight="1">
      <c r="A3148" s="6">
        <v>3146</v>
      </c>
      <c r="B3148" s="6" t="str">
        <f>"53002023053009130296086"</f>
        <v>53002023053009130296086</v>
      </c>
      <c r="C3148" s="6" t="str">
        <f t="shared" si="212"/>
        <v>0213</v>
      </c>
      <c r="D3148" s="6" t="s">
        <v>33</v>
      </c>
      <c r="E3148" s="6" t="str">
        <f>"孙静辉"</f>
        <v>孙静辉</v>
      </c>
      <c r="F3148" s="6" t="str">
        <f t="shared" si="214"/>
        <v>女</v>
      </c>
    </row>
    <row r="3149" spans="1:6" ht="30" customHeight="1">
      <c r="A3149" s="6">
        <v>3147</v>
      </c>
      <c r="B3149" s="6" t="str">
        <f>"53002023053011195997113"</f>
        <v>53002023053011195997113</v>
      </c>
      <c r="C3149" s="6" t="str">
        <f t="shared" si="212"/>
        <v>0213</v>
      </c>
      <c r="D3149" s="6" t="s">
        <v>33</v>
      </c>
      <c r="E3149" s="6" t="str">
        <f>"曾令娇"</f>
        <v>曾令娇</v>
      </c>
      <c r="F3149" s="6" t="str">
        <f t="shared" si="214"/>
        <v>女</v>
      </c>
    </row>
    <row r="3150" spans="1:6" ht="30" customHeight="1">
      <c r="A3150" s="6">
        <v>3148</v>
      </c>
      <c r="B3150" s="6" t="str">
        <f>"53002023052910542291063"</f>
        <v>53002023052910542291063</v>
      </c>
      <c r="C3150" s="6" t="str">
        <f t="shared" si="212"/>
        <v>0213</v>
      </c>
      <c r="D3150" s="6" t="s">
        <v>33</v>
      </c>
      <c r="E3150" s="6" t="str">
        <f>"何宝女"</f>
        <v>何宝女</v>
      </c>
      <c r="F3150" s="6" t="str">
        <f t="shared" si="214"/>
        <v>女</v>
      </c>
    </row>
    <row r="3151" spans="1:6" ht="30" customHeight="1">
      <c r="A3151" s="6">
        <v>3149</v>
      </c>
      <c r="B3151" s="6" t="str">
        <f>"53002023052923222195507"</f>
        <v>53002023052923222195507</v>
      </c>
      <c r="C3151" s="6" t="str">
        <f t="shared" si="212"/>
        <v>0213</v>
      </c>
      <c r="D3151" s="6" t="s">
        <v>33</v>
      </c>
      <c r="E3151" s="6" t="str">
        <f>"刘慧仲"</f>
        <v>刘慧仲</v>
      </c>
      <c r="F3151" s="6" t="str">
        <f>"男"</f>
        <v>男</v>
      </c>
    </row>
    <row r="3152" spans="1:6" ht="30" customHeight="1">
      <c r="A3152" s="6">
        <v>3150</v>
      </c>
      <c r="B3152" s="6" t="str">
        <f>"53002023053010171896585"</f>
        <v>53002023053010171896585</v>
      </c>
      <c r="C3152" s="6" t="str">
        <f t="shared" si="212"/>
        <v>0213</v>
      </c>
      <c r="D3152" s="6" t="s">
        <v>33</v>
      </c>
      <c r="E3152" s="6" t="str">
        <f>"文红莹"</f>
        <v>文红莹</v>
      </c>
      <c r="F3152" s="6" t="str">
        <f aca="true" t="shared" si="215" ref="F3152:F3167">"女"</f>
        <v>女</v>
      </c>
    </row>
    <row r="3153" spans="1:6" ht="30" customHeight="1">
      <c r="A3153" s="6">
        <v>3151</v>
      </c>
      <c r="B3153" s="6" t="str">
        <f>"53002023053010123596543"</f>
        <v>53002023053010123596543</v>
      </c>
      <c r="C3153" s="6" t="str">
        <f t="shared" si="212"/>
        <v>0213</v>
      </c>
      <c r="D3153" s="6" t="s">
        <v>33</v>
      </c>
      <c r="E3153" s="6" t="str">
        <f>"赵姨妹"</f>
        <v>赵姨妹</v>
      </c>
      <c r="F3153" s="6" t="str">
        <f t="shared" si="215"/>
        <v>女</v>
      </c>
    </row>
    <row r="3154" spans="1:6" ht="30" customHeight="1">
      <c r="A3154" s="6">
        <v>3152</v>
      </c>
      <c r="B3154" s="6" t="str">
        <f>"53002023053019100999661"</f>
        <v>53002023053019100999661</v>
      </c>
      <c r="C3154" s="6" t="str">
        <f t="shared" si="212"/>
        <v>0213</v>
      </c>
      <c r="D3154" s="6" t="s">
        <v>33</v>
      </c>
      <c r="E3154" s="6" t="str">
        <f>"苏秀萍"</f>
        <v>苏秀萍</v>
      </c>
      <c r="F3154" s="6" t="str">
        <f t="shared" si="215"/>
        <v>女</v>
      </c>
    </row>
    <row r="3155" spans="1:6" ht="30" customHeight="1">
      <c r="A3155" s="6">
        <v>3153</v>
      </c>
      <c r="B3155" s="6" t="str">
        <f>"53002023053020120599941"</f>
        <v>53002023053020120599941</v>
      </c>
      <c r="C3155" s="6" t="str">
        <f t="shared" si="212"/>
        <v>0213</v>
      </c>
      <c r="D3155" s="6" t="s">
        <v>33</v>
      </c>
      <c r="E3155" s="6" t="str">
        <f>"杨振娜"</f>
        <v>杨振娜</v>
      </c>
      <c r="F3155" s="6" t="str">
        <f t="shared" si="215"/>
        <v>女</v>
      </c>
    </row>
    <row r="3156" spans="1:6" ht="30" customHeight="1">
      <c r="A3156" s="6">
        <v>3154</v>
      </c>
      <c r="B3156" s="6" t="str">
        <f>"530020230530222748100606"</f>
        <v>530020230530222748100606</v>
      </c>
      <c r="C3156" s="6" t="str">
        <f t="shared" si="212"/>
        <v>0213</v>
      </c>
      <c r="D3156" s="6" t="s">
        <v>33</v>
      </c>
      <c r="E3156" s="6" t="str">
        <f>"周吉春"</f>
        <v>周吉春</v>
      </c>
      <c r="F3156" s="6" t="str">
        <f t="shared" si="215"/>
        <v>女</v>
      </c>
    </row>
    <row r="3157" spans="1:6" ht="30" customHeight="1">
      <c r="A3157" s="6">
        <v>3155</v>
      </c>
      <c r="B3157" s="6" t="str">
        <f>"53002023052710052483917"</f>
        <v>53002023052710052483917</v>
      </c>
      <c r="C3157" s="6" t="str">
        <f t="shared" si="212"/>
        <v>0213</v>
      </c>
      <c r="D3157" s="6" t="s">
        <v>33</v>
      </c>
      <c r="E3157" s="6" t="str">
        <f>"郭佳柔"</f>
        <v>郭佳柔</v>
      </c>
      <c r="F3157" s="6" t="str">
        <f t="shared" si="215"/>
        <v>女</v>
      </c>
    </row>
    <row r="3158" spans="1:6" ht="30" customHeight="1">
      <c r="A3158" s="6">
        <v>3156</v>
      </c>
      <c r="B3158" s="6" t="str">
        <f>"53002023052822562489184"</f>
        <v>53002023052822562489184</v>
      </c>
      <c r="C3158" s="6" t="str">
        <f t="shared" si="212"/>
        <v>0213</v>
      </c>
      <c r="D3158" s="6" t="s">
        <v>33</v>
      </c>
      <c r="E3158" s="6" t="str">
        <f>"陈海霞"</f>
        <v>陈海霞</v>
      </c>
      <c r="F3158" s="6" t="str">
        <f t="shared" si="215"/>
        <v>女</v>
      </c>
    </row>
    <row r="3159" spans="1:6" ht="30" customHeight="1">
      <c r="A3159" s="6">
        <v>3157</v>
      </c>
      <c r="B3159" s="6" t="str">
        <f>"530020230531020349101051"</f>
        <v>530020230531020349101051</v>
      </c>
      <c r="C3159" s="6" t="str">
        <f t="shared" si="212"/>
        <v>0213</v>
      </c>
      <c r="D3159" s="6" t="s">
        <v>33</v>
      </c>
      <c r="E3159" s="6" t="str">
        <f>"许苒"</f>
        <v>许苒</v>
      </c>
      <c r="F3159" s="6" t="str">
        <f t="shared" si="215"/>
        <v>女</v>
      </c>
    </row>
    <row r="3160" spans="1:6" ht="30" customHeight="1">
      <c r="A3160" s="6">
        <v>3158</v>
      </c>
      <c r="B3160" s="6" t="str">
        <f>"53002023052911060391180"</f>
        <v>53002023052911060391180</v>
      </c>
      <c r="C3160" s="6" t="str">
        <f t="shared" si="212"/>
        <v>0213</v>
      </c>
      <c r="D3160" s="6" t="s">
        <v>33</v>
      </c>
      <c r="E3160" s="6" t="str">
        <f>"林小婷"</f>
        <v>林小婷</v>
      </c>
      <c r="F3160" s="6" t="str">
        <f t="shared" si="215"/>
        <v>女</v>
      </c>
    </row>
    <row r="3161" spans="1:6" ht="30" customHeight="1">
      <c r="A3161" s="6">
        <v>3159</v>
      </c>
      <c r="B3161" s="6" t="str">
        <f>"530020230531095955101773"</f>
        <v>530020230531095955101773</v>
      </c>
      <c r="C3161" s="6" t="str">
        <f t="shared" si="212"/>
        <v>0213</v>
      </c>
      <c r="D3161" s="6" t="s">
        <v>33</v>
      </c>
      <c r="E3161" s="6" t="str">
        <f>"黎少莲"</f>
        <v>黎少莲</v>
      </c>
      <c r="F3161" s="6" t="str">
        <f t="shared" si="215"/>
        <v>女</v>
      </c>
    </row>
    <row r="3162" spans="1:6" ht="30" customHeight="1">
      <c r="A3162" s="6">
        <v>3160</v>
      </c>
      <c r="B3162" s="6" t="str">
        <f>"530020230531084518101261"</f>
        <v>530020230531084518101261</v>
      </c>
      <c r="C3162" s="6" t="str">
        <f t="shared" si="212"/>
        <v>0213</v>
      </c>
      <c r="D3162" s="6" t="s">
        <v>33</v>
      </c>
      <c r="E3162" s="6" t="str">
        <f>"王来环"</f>
        <v>王来环</v>
      </c>
      <c r="F3162" s="6" t="str">
        <f t="shared" si="215"/>
        <v>女</v>
      </c>
    </row>
    <row r="3163" spans="1:6" ht="30" customHeight="1">
      <c r="A3163" s="6">
        <v>3161</v>
      </c>
      <c r="B3163" s="6" t="str">
        <f>"53002023052909095789853"</f>
        <v>53002023052909095789853</v>
      </c>
      <c r="C3163" s="6" t="str">
        <f t="shared" si="212"/>
        <v>0213</v>
      </c>
      <c r="D3163" s="6" t="s">
        <v>33</v>
      </c>
      <c r="E3163" s="6" t="str">
        <f>"郭国莲"</f>
        <v>郭国莲</v>
      </c>
      <c r="F3163" s="6" t="str">
        <f t="shared" si="215"/>
        <v>女</v>
      </c>
    </row>
    <row r="3164" spans="1:6" ht="30" customHeight="1">
      <c r="A3164" s="6">
        <v>3162</v>
      </c>
      <c r="B3164" s="6" t="str">
        <f>"53002023052911051291172"</f>
        <v>53002023052911051291172</v>
      </c>
      <c r="C3164" s="6" t="str">
        <f t="shared" si="212"/>
        <v>0213</v>
      </c>
      <c r="D3164" s="6" t="s">
        <v>33</v>
      </c>
      <c r="E3164" s="6" t="str">
        <f>"林芳鑫"</f>
        <v>林芳鑫</v>
      </c>
      <c r="F3164" s="6" t="str">
        <f t="shared" si="215"/>
        <v>女</v>
      </c>
    </row>
    <row r="3165" spans="1:6" ht="30" customHeight="1">
      <c r="A3165" s="6">
        <v>3163</v>
      </c>
      <c r="B3165" s="6" t="str">
        <f>"53002023052923355195557"</f>
        <v>53002023052923355195557</v>
      </c>
      <c r="C3165" s="6" t="str">
        <f t="shared" si="212"/>
        <v>0213</v>
      </c>
      <c r="D3165" s="6" t="s">
        <v>33</v>
      </c>
      <c r="E3165" s="6" t="str">
        <f>"赵丽芳"</f>
        <v>赵丽芳</v>
      </c>
      <c r="F3165" s="6" t="str">
        <f t="shared" si="215"/>
        <v>女</v>
      </c>
    </row>
    <row r="3166" spans="1:6" ht="30" customHeight="1">
      <c r="A3166" s="6">
        <v>3164</v>
      </c>
      <c r="B3166" s="6" t="str">
        <f>"530020230531103448102013"</f>
        <v>530020230531103448102013</v>
      </c>
      <c r="C3166" s="6" t="str">
        <f t="shared" si="212"/>
        <v>0213</v>
      </c>
      <c r="D3166" s="6" t="s">
        <v>33</v>
      </c>
      <c r="E3166" s="6" t="str">
        <f>"陈保金"</f>
        <v>陈保金</v>
      </c>
      <c r="F3166" s="6" t="str">
        <f t="shared" si="215"/>
        <v>女</v>
      </c>
    </row>
    <row r="3167" spans="1:6" ht="30" customHeight="1">
      <c r="A3167" s="6">
        <v>3165</v>
      </c>
      <c r="B3167" s="6" t="str">
        <f>"530020230531124307102718"</f>
        <v>530020230531124307102718</v>
      </c>
      <c r="C3167" s="6" t="str">
        <f t="shared" si="212"/>
        <v>0213</v>
      </c>
      <c r="D3167" s="6" t="s">
        <v>33</v>
      </c>
      <c r="E3167" s="6" t="str">
        <f>"王玉霞"</f>
        <v>王玉霞</v>
      </c>
      <c r="F3167" s="6" t="str">
        <f t="shared" si="215"/>
        <v>女</v>
      </c>
    </row>
    <row r="3168" spans="1:6" ht="30" customHeight="1">
      <c r="A3168" s="6">
        <v>3166</v>
      </c>
      <c r="B3168" s="6" t="str">
        <f>"53002023052910333890823"</f>
        <v>53002023052910333890823</v>
      </c>
      <c r="C3168" s="6" t="str">
        <f t="shared" si="212"/>
        <v>0213</v>
      </c>
      <c r="D3168" s="6" t="s">
        <v>33</v>
      </c>
      <c r="E3168" s="6" t="str">
        <f>"贺心成"</f>
        <v>贺心成</v>
      </c>
      <c r="F3168" s="6" t="str">
        <f>"男"</f>
        <v>男</v>
      </c>
    </row>
    <row r="3169" spans="1:6" ht="30" customHeight="1">
      <c r="A3169" s="6">
        <v>3167</v>
      </c>
      <c r="B3169" s="6" t="str">
        <f>"530020230531210631104588"</f>
        <v>530020230531210631104588</v>
      </c>
      <c r="C3169" s="6" t="str">
        <f t="shared" si="212"/>
        <v>0213</v>
      </c>
      <c r="D3169" s="6" t="s">
        <v>33</v>
      </c>
      <c r="E3169" s="6" t="str">
        <f>"王明颖"</f>
        <v>王明颖</v>
      </c>
      <c r="F3169" s="6" t="str">
        <f aca="true" t="shared" si="216" ref="F3169:F3175">"女"</f>
        <v>女</v>
      </c>
    </row>
    <row r="3170" spans="1:6" ht="30" customHeight="1">
      <c r="A3170" s="6">
        <v>3168</v>
      </c>
      <c r="B3170" s="6" t="str">
        <f>"530020230531225253104961"</f>
        <v>530020230531225253104961</v>
      </c>
      <c r="C3170" s="6" t="str">
        <f t="shared" si="212"/>
        <v>0213</v>
      </c>
      <c r="D3170" s="6" t="s">
        <v>33</v>
      </c>
      <c r="E3170" s="6" t="str">
        <f>"钱玉意"</f>
        <v>钱玉意</v>
      </c>
      <c r="F3170" s="6" t="str">
        <f t="shared" si="216"/>
        <v>女</v>
      </c>
    </row>
    <row r="3171" spans="1:6" ht="30" customHeight="1">
      <c r="A3171" s="6">
        <v>3169</v>
      </c>
      <c r="B3171" s="6" t="str">
        <f>"530020230531232514105041"</f>
        <v>530020230531232514105041</v>
      </c>
      <c r="C3171" s="6" t="str">
        <f t="shared" si="212"/>
        <v>0213</v>
      </c>
      <c r="D3171" s="6" t="s">
        <v>33</v>
      </c>
      <c r="E3171" s="6" t="str">
        <f>"陈燕繁"</f>
        <v>陈燕繁</v>
      </c>
      <c r="F3171" s="6" t="str">
        <f t="shared" si="216"/>
        <v>女</v>
      </c>
    </row>
    <row r="3172" spans="1:6" ht="30" customHeight="1">
      <c r="A3172" s="6">
        <v>3170</v>
      </c>
      <c r="B3172" s="6" t="str">
        <f>"530020230531003118100988"</f>
        <v>530020230531003118100988</v>
      </c>
      <c r="C3172" s="6" t="str">
        <f t="shared" si="212"/>
        <v>0213</v>
      </c>
      <c r="D3172" s="6" t="s">
        <v>33</v>
      </c>
      <c r="E3172" s="6" t="str">
        <f>"郑荣英"</f>
        <v>郑荣英</v>
      </c>
      <c r="F3172" s="6" t="str">
        <f t="shared" si="216"/>
        <v>女</v>
      </c>
    </row>
    <row r="3173" spans="1:6" ht="30" customHeight="1">
      <c r="A3173" s="6">
        <v>3171</v>
      </c>
      <c r="B3173" s="6" t="str">
        <f>"530020230601085550105361"</f>
        <v>530020230601085550105361</v>
      </c>
      <c r="C3173" s="6" t="str">
        <f t="shared" si="212"/>
        <v>0213</v>
      </c>
      <c r="D3173" s="6" t="s">
        <v>33</v>
      </c>
      <c r="E3173" s="6" t="str">
        <f>"王佳琦"</f>
        <v>王佳琦</v>
      </c>
      <c r="F3173" s="6" t="str">
        <f t="shared" si="216"/>
        <v>女</v>
      </c>
    </row>
    <row r="3174" spans="1:6" ht="30" customHeight="1">
      <c r="A3174" s="6">
        <v>3172</v>
      </c>
      <c r="B3174" s="6" t="str">
        <f>"530020230601085907105377"</f>
        <v>530020230601085907105377</v>
      </c>
      <c r="C3174" s="6" t="str">
        <f t="shared" si="212"/>
        <v>0213</v>
      </c>
      <c r="D3174" s="6" t="s">
        <v>33</v>
      </c>
      <c r="E3174" s="6" t="str">
        <f>"古滢"</f>
        <v>古滢</v>
      </c>
      <c r="F3174" s="6" t="str">
        <f t="shared" si="216"/>
        <v>女</v>
      </c>
    </row>
    <row r="3175" spans="1:6" ht="30" customHeight="1">
      <c r="A3175" s="6">
        <v>3173</v>
      </c>
      <c r="B3175" s="6" t="str">
        <f>"53002023053010390696771"</f>
        <v>53002023053010390696771</v>
      </c>
      <c r="C3175" s="6" t="str">
        <f t="shared" si="212"/>
        <v>0213</v>
      </c>
      <c r="D3175" s="6" t="s">
        <v>33</v>
      </c>
      <c r="E3175" s="6" t="str">
        <f>"刘建芳"</f>
        <v>刘建芳</v>
      </c>
      <c r="F3175" s="6" t="str">
        <f t="shared" si="216"/>
        <v>女</v>
      </c>
    </row>
    <row r="3176" spans="1:6" ht="30" customHeight="1">
      <c r="A3176" s="6">
        <v>3174</v>
      </c>
      <c r="B3176" s="6" t="str">
        <f>"530020230601090900105482"</f>
        <v>530020230601090900105482</v>
      </c>
      <c r="C3176" s="6" t="str">
        <f t="shared" si="212"/>
        <v>0213</v>
      </c>
      <c r="D3176" s="6" t="s">
        <v>33</v>
      </c>
      <c r="E3176" s="6" t="str">
        <f>"许俊凯"</f>
        <v>许俊凯</v>
      </c>
      <c r="F3176" s="6" t="str">
        <f>"男"</f>
        <v>男</v>
      </c>
    </row>
    <row r="3177" spans="1:6" ht="30" customHeight="1">
      <c r="A3177" s="6">
        <v>3175</v>
      </c>
      <c r="B3177" s="6" t="str">
        <f>"530020230601104310106143"</f>
        <v>530020230601104310106143</v>
      </c>
      <c r="C3177" s="6" t="str">
        <f t="shared" si="212"/>
        <v>0213</v>
      </c>
      <c r="D3177" s="6" t="s">
        <v>33</v>
      </c>
      <c r="E3177" s="6" t="str">
        <f>"陈开莉"</f>
        <v>陈开莉</v>
      </c>
      <c r="F3177" s="6" t="str">
        <f aca="true" t="shared" si="217" ref="F3177:F3187">"女"</f>
        <v>女</v>
      </c>
    </row>
    <row r="3178" spans="1:6" ht="30" customHeight="1">
      <c r="A3178" s="6">
        <v>3176</v>
      </c>
      <c r="B3178" s="6" t="str">
        <f>"530020230601121831106647"</f>
        <v>530020230601121831106647</v>
      </c>
      <c r="C3178" s="6" t="str">
        <f t="shared" si="212"/>
        <v>0213</v>
      </c>
      <c r="D3178" s="6" t="s">
        <v>33</v>
      </c>
      <c r="E3178" s="6" t="str">
        <f>"崔经女"</f>
        <v>崔经女</v>
      </c>
      <c r="F3178" s="6" t="str">
        <f t="shared" si="217"/>
        <v>女</v>
      </c>
    </row>
    <row r="3179" spans="1:6" ht="30" customHeight="1">
      <c r="A3179" s="6">
        <v>3177</v>
      </c>
      <c r="B3179" s="6" t="str">
        <f>"530020230601125256106796"</f>
        <v>530020230601125256106796</v>
      </c>
      <c r="C3179" s="6" t="str">
        <f t="shared" si="212"/>
        <v>0213</v>
      </c>
      <c r="D3179" s="6" t="s">
        <v>33</v>
      </c>
      <c r="E3179" s="6" t="str">
        <f>"郑玉滢"</f>
        <v>郑玉滢</v>
      </c>
      <c r="F3179" s="6" t="str">
        <f t="shared" si="217"/>
        <v>女</v>
      </c>
    </row>
    <row r="3180" spans="1:6" ht="30" customHeight="1">
      <c r="A3180" s="6">
        <v>3178</v>
      </c>
      <c r="B3180" s="6" t="str">
        <f>"530020230601124310106758"</f>
        <v>530020230601124310106758</v>
      </c>
      <c r="C3180" s="6" t="str">
        <f t="shared" si="212"/>
        <v>0213</v>
      </c>
      <c r="D3180" s="6" t="s">
        <v>33</v>
      </c>
      <c r="E3180" s="6" t="str">
        <f>"林菲"</f>
        <v>林菲</v>
      </c>
      <c r="F3180" s="6" t="str">
        <f t="shared" si="217"/>
        <v>女</v>
      </c>
    </row>
    <row r="3181" spans="1:6" ht="30" customHeight="1">
      <c r="A3181" s="6">
        <v>3179</v>
      </c>
      <c r="B3181" s="6" t="str">
        <f>"53002023052911131391246"</f>
        <v>53002023052911131391246</v>
      </c>
      <c r="C3181" s="6" t="str">
        <f t="shared" si="212"/>
        <v>0213</v>
      </c>
      <c r="D3181" s="6" t="s">
        <v>33</v>
      </c>
      <c r="E3181" s="6" t="str">
        <f>"李海棉"</f>
        <v>李海棉</v>
      </c>
      <c r="F3181" s="6" t="str">
        <f t="shared" si="217"/>
        <v>女</v>
      </c>
    </row>
    <row r="3182" spans="1:6" ht="30" customHeight="1">
      <c r="A3182" s="6">
        <v>3180</v>
      </c>
      <c r="B3182" s="6" t="str">
        <f>"530020230601132155106894"</f>
        <v>530020230601132155106894</v>
      </c>
      <c r="C3182" s="6" t="str">
        <f aca="true" t="shared" si="218" ref="C3182:C3192">"0213"</f>
        <v>0213</v>
      </c>
      <c r="D3182" s="6" t="s">
        <v>33</v>
      </c>
      <c r="E3182" s="6" t="str">
        <f>"余艳妃"</f>
        <v>余艳妃</v>
      </c>
      <c r="F3182" s="6" t="str">
        <f t="shared" si="217"/>
        <v>女</v>
      </c>
    </row>
    <row r="3183" spans="1:6" ht="30" customHeight="1">
      <c r="A3183" s="6">
        <v>3181</v>
      </c>
      <c r="B3183" s="6" t="str">
        <f>"530020230601180943108040"</f>
        <v>530020230601180943108040</v>
      </c>
      <c r="C3183" s="6" t="str">
        <f t="shared" si="218"/>
        <v>0213</v>
      </c>
      <c r="D3183" s="6" t="s">
        <v>33</v>
      </c>
      <c r="E3183" s="6" t="str">
        <f>"罗才连"</f>
        <v>罗才连</v>
      </c>
      <c r="F3183" s="6" t="str">
        <f t="shared" si="217"/>
        <v>女</v>
      </c>
    </row>
    <row r="3184" spans="1:6" ht="30" customHeight="1">
      <c r="A3184" s="6">
        <v>3182</v>
      </c>
      <c r="B3184" s="6" t="str">
        <f>"530020230531134316102956"</f>
        <v>530020230531134316102956</v>
      </c>
      <c r="C3184" s="6" t="str">
        <f t="shared" si="218"/>
        <v>0213</v>
      </c>
      <c r="D3184" s="6" t="s">
        <v>33</v>
      </c>
      <c r="E3184" s="6" t="str">
        <f>"黄小红"</f>
        <v>黄小红</v>
      </c>
      <c r="F3184" s="6" t="str">
        <f t="shared" si="217"/>
        <v>女</v>
      </c>
    </row>
    <row r="3185" spans="1:6" ht="30" customHeight="1">
      <c r="A3185" s="6">
        <v>3183</v>
      </c>
      <c r="B3185" s="6" t="str">
        <f>"530020230601195751108336"</f>
        <v>530020230601195751108336</v>
      </c>
      <c r="C3185" s="6" t="str">
        <f t="shared" si="218"/>
        <v>0213</v>
      </c>
      <c r="D3185" s="6" t="s">
        <v>33</v>
      </c>
      <c r="E3185" s="6" t="str">
        <f>"付涵"</f>
        <v>付涵</v>
      </c>
      <c r="F3185" s="6" t="str">
        <f t="shared" si="217"/>
        <v>女</v>
      </c>
    </row>
    <row r="3186" spans="1:6" ht="30" customHeight="1">
      <c r="A3186" s="6">
        <v>3184</v>
      </c>
      <c r="B3186" s="6" t="str">
        <f>"53002023053017110799126"</f>
        <v>53002023053017110799126</v>
      </c>
      <c r="C3186" s="6" t="str">
        <f t="shared" si="218"/>
        <v>0213</v>
      </c>
      <c r="D3186" s="6" t="s">
        <v>33</v>
      </c>
      <c r="E3186" s="6" t="str">
        <f>"邱星鑫"</f>
        <v>邱星鑫</v>
      </c>
      <c r="F3186" s="6" t="str">
        <f t="shared" si="217"/>
        <v>女</v>
      </c>
    </row>
    <row r="3187" spans="1:6" ht="30" customHeight="1">
      <c r="A3187" s="6">
        <v>3185</v>
      </c>
      <c r="B3187" s="6" t="str">
        <f>"53002023053013365097883"</f>
        <v>53002023053013365097883</v>
      </c>
      <c r="C3187" s="6" t="str">
        <f t="shared" si="218"/>
        <v>0213</v>
      </c>
      <c r="D3187" s="6" t="s">
        <v>33</v>
      </c>
      <c r="E3187" s="6" t="str">
        <f>"范梅景"</f>
        <v>范梅景</v>
      </c>
      <c r="F3187" s="6" t="str">
        <f t="shared" si="217"/>
        <v>女</v>
      </c>
    </row>
    <row r="3188" spans="1:6" ht="30" customHeight="1">
      <c r="A3188" s="6">
        <v>3186</v>
      </c>
      <c r="B3188" s="6" t="str">
        <f>"530020230601225632108975"</f>
        <v>530020230601225632108975</v>
      </c>
      <c r="C3188" s="6" t="str">
        <f t="shared" si="218"/>
        <v>0213</v>
      </c>
      <c r="D3188" s="6" t="s">
        <v>33</v>
      </c>
      <c r="E3188" s="6" t="str">
        <f>"冯敏"</f>
        <v>冯敏</v>
      </c>
      <c r="F3188" s="6" t="str">
        <f>"男"</f>
        <v>男</v>
      </c>
    </row>
    <row r="3189" spans="1:6" ht="30" customHeight="1">
      <c r="A3189" s="6">
        <v>3187</v>
      </c>
      <c r="B3189" s="6" t="str">
        <f>"530020230531071132101094"</f>
        <v>530020230531071132101094</v>
      </c>
      <c r="C3189" s="6" t="str">
        <f t="shared" si="218"/>
        <v>0213</v>
      </c>
      <c r="D3189" s="6" t="s">
        <v>33</v>
      </c>
      <c r="E3189" s="6" t="str">
        <f>"劳健妍"</f>
        <v>劳健妍</v>
      </c>
      <c r="F3189" s="6" t="str">
        <f>"女"</f>
        <v>女</v>
      </c>
    </row>
    <row r="3190" spans="1:6" ht="30" customHeight="1">
      <c r="A3190" s="6">
        <v>3188</v>
      </c>
      <c r="B3190" s="6" t="str">
        <f>"530020230601141228107048"</f>
        <v>530020230601141228107048</v>
      </c>
      <c r="C3190" s="6" t="str">
        <f t="shared" si="218"/>
        <v>0213</v>
      </c>
      <c r="D3190" s="6" t="s">
        <v>33</v>
      </c>
      <c r="E3190" s="6" t="str">
        <f>"谢安娜"</f>
        <v>谢安娜</v>
      </c>
      <c r="F3190" s="6" t="str">
        <f>"女"</f>
        <v>女</v>
      </c>
    </row>
    <row r="3191" spans="1:6" ht="30" customHeight="1">
      <c r="A3191" s="6">
        <v>3189</v>
      </c>
      <c r="B3191" s="6" t="str">
        <f>"530020230601213116108640"</f>
        <v>530020230601213116108640</v>
      </c>
      <c r="C3191" s="6" t="str">
        <f t="shared" si="218"/>
        <v>0213</v>
      </c>
      <c r="D3191" s="6" t="s">
        <v>33</v>
      </c>
      <c r="E3191" s="6" t="str">
        <f>"冯静"</f>
        <v>冯静</v>
      </c>
      <c r="F3191" s="6" t="str">
        <f>"女"</f>
        <v>女</v>
      </c>
    </row>
    <row r="3192" spans="1:6" ht="30" customHeight="1">
      <c r="A3192" s="6">
        <v>3190</v>
      </c>
      <c r="B3192" s="6" t="str">
        <f>"530020230602014933109231"</f>
        <v>530020230602014933109231</v>
      </c>
      <c r="C3192" s="6" t="str">
        <f t="shared" si="218"/>
        <v>0213</v>
      </c>
      <c r="D3192" s="6" t="s">
        <v>33</v>
      </c>
      <c r="E3192" s="6" t="str">
        <f>"王慧倩"</f>
        <v>王慧倩</v>
      </c>
      <c r="F3192" s="6" t="str">
        <f>"女"</f>
        <v>女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2023-06-05T06:24:11Z</dcterms:created>
  <dcterms:modified xsi:type="dcterms:W3CDTF">2023-06-09T03:02:13Z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6D293F2E66AE42CC91AE4A69E4E138E7_13</vt:lpwstr>
  </property>
  <property fmtid="{D5CDD505-2E9C-101B-9397-08002B2CF9AE}" pid="4" name="KSOProductBuildV">
    <vt:lpwstr>2052-11.1.0.14309</vt:lpwstr>
  </property>
</Properties>
</file>