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结果" sheetId="1" r:id="rId1"/>
  </sheets>
  <definedNames/>
  <calcPr fullCalcOnLoad="1"/>
</workbook>
</file>

<file path=xl/sharedStrings.xml><?xml version="1.0" encoding="utf-8"?>
<sst xmlns="http://schemas.openxmlformats.org/spreadsheetml/2006/main" count="2205" uniqueCount="11">
  <si>
    <t>琼中黎族苗族自治县2023年面向社会公开招聘事业单位工作人员报名资格审查结果</t>
  </si>
  <si>
    <t>序号</t>
  </si>
  <si>
    <t>姓名</t>
  </si>
  <si>
    <t>性别</t>
  </si>
  <si>
    <t>出生年月</t>
  </si>
  <si>
    <t>学历</t>
  </si>
  <si>
    <t>学位</t>
  </si>
  <si>
    <t>专业</t>
  </si>
  <si>
    <t>报名结果</t>
  </si>
  <si>
    <t>合格</t>
  </si>
  <si>
    <t>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</si>
</sst>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98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5.421875" style="2" customWidth="1"/>
    <col min="2" max="2" width="10.00390625" style="2" customWidth="1"/>
    <col min="3" max="3" width="5.421875" style="2" customWidth="1"/>
    <col min="4" max="4" width="13.28125" style="2" customWidth="1"/>
    <col min="5" max="5" width="14.421875" style="2" customWidth="1"/>
    <col min="6" max="6" width="15.140625" style="2" customWidth="1"/>
    <col min="7" max="7" width="22.00390625" style="2" customWidth="1"/>
    <col min="8" max="8" width="11.7109375" style="2" customWidth="1"/>
    <col min="9" max="16384" width="9.00390625" style="2" customWidth="1"/>
  </cols>
  <sheetData>
    <row r="1" spans="1:8" ht="73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" customHeight="1">
      <c r="A3" s="5">
        <v>1</v>
      </c>
      <c r="B3" s="6" t="str">
        <f>"黄平"</f>
        <v>黄平</v>
      </c>
      <c r="C3" s="6" t="str">
        <f>"女"</f>
        <v>女</v>
      </c>
      <c r="D3" s="6" t="str">
        <f>"1994-01-03"</f>
        <v>1994-01-03</v>
      </c>
      <c r="E3" s="6" t="str">
        <f>"大学本科学历"</f>
        <v>大学本科学历</v>
      </c>
      <c r="F3" s="6" t="str">
        <f>"管理学学士"</f>
        <v>管理学学士</v>
      </c>
      <c r="G3" s="6" t="str">
        <f>"人力资源管理"</f>
        <v>人力资源管理</v>
      </c>
      <c r="H3" s="7" t="s">
        <v>9</v>
      </c>
    </row>
    <row r="4" spans="1:8" ht="15" customHeight="1">
      <c r="A4" s="5">
        <v>2</v>
      </c>
      <c r="B4" s="6" t="str">
        <f>"王桃瑞"</f>
        <v>王桃瑞</v>
      </c>
      <c r="C4" s="6" t="str">
        <f>"女"</f>
        <v>女</v>
      </c>
      <c r="D4" s="6" t="str">
        <f>"1996-07-11"</f>
        <v>1996-07-11</v>
      </c>
      <c r="E4" s="6" t="str">
        <f>"大学本科"</f>
        <v>大学本科</v>
      </c>
      <c r="F4" s="6" t="str">
        <f>"管理学学士"</f>
        <v>管理学学士</v>
      </c>
      <c r="G4" s="6" t="str">
        <f>"人力资源管理"</f>
        <v>人力资源管理</v>
      </c>
      <c r="H4" s="7" t="s">
        <v>9</v>
      </c>
    </row>
    <row r="5" spans="1:8" ht="15" customHeight="1">
      <c r="A5" s="5">
        <v>3</v>
      </c>
      <c r="B5" s="6" t="str">
        <f>"黎日皆"</f>
        <v>黎日皆</v>
      </c>
      <c r="C5" s="6" t="str">
        <f aca="true" t="shared" si="0" ref="C5:C8">"男"</f>
        <v>男</v>
      </c>
      <c r="D5" s="6" t="str">
        <f>"1995-02-09"</f>
        <v>1995-02-09</v>
      </c>
      <c r="E5" s="6" t="str">
        <f aca="true" t="shared" si="1" ref="E5:E7">"本科"</f>
        <v>本科</v>
      </c>
      <c r="F5" s="6" t="str">
        <f>"管理学学士"</f>
        <v>管理学学士</v>
      </c>
      <c r="G5" s="6" t="str">
        <f>"市场营销"</f>
        <v>市场营销</v>
      </c>
      <c r="H5" s="7" t="s">
        <v>9</v>
      </c>
    </row>
    <row r="6" spans="1:8" ht="15" customHeight="1">
      <c r="A6" s="5">
        <v>4</v>
      </c>
      <c r="B6" s="6" t="str">
        <f>"黎伟"</f>
        <v>黎伟</v>
      </c>
      <c r="C6" s="6" t="str">
        <f t="shared" si="0"/>
        <v>男</v>
      </c>
      <c r="D6" s="6" t="str">
        <f>"1993-05-11"</f>
        <v>1993-05-11</v>
      </c>
      <c r="E6" s="6" t="str">
        <f t="shared" si="1"/>
        <v>本科</v>
      </c>
      <c r="F6" s="6" t="str">
        <f>"经济学学士"</f>
        <v>经济学学士</v>
      </c>
      <c r="G6" s="6" t="str">
        <f>"国际经济与贸易"</f>
        <v>国际经济与贸易</v>
      </c>
      <c r="H6" s="7" t="s">
        <v>9</v>
      </c>
    </row>
    <row r="7" spans="1:8" ht="15" customHeight="1">
      <c r="A7" s="5">
        <v>5</v>
      </c>
      <c r="B7" s="6" t="str">
        <f>"戴琪修"</f>
        <v>戴琪修</v>
      </c>
      <c r="C7" s="6" t="str">
        <f t="shared" si="0"/>
        <v>男</v>
      </c>
      <c r="D7" s="6" t="str">
        <f>"1998-08-13"</f>
        <v>1998-08-13</v>
      </c>
      <c r="E7" s="6" t="str">
        <f t="shared" si="1"/>
        <v>本科</v>
      </c>
      <c r="F7" s="6" t="str">
        <f>"工学学士"</f>
        <v>工学学士</v>
      </c>
      <c r="G7" s="6" t="str">
        <f>"土木工程"</f>
        <v>土木工程</v>
      </c>
      <c r="H7" s="7" t="s">
        <v>9</v>
      </c>
    </row>
    <row r="8" spans="1:8" ht="15" customHeight="1">
      <c r="A8" s="5">
        <v>6</v>
      </c>
      <c r="B8" s="6" t="str">
        <f>"郭教才"</f>
        <v>郭教才</v>
      </c>
      <c r="C8" s="6" t="str">
        <f t="shared" si="0"/>
        <v>男</v>
      </c>
      <c r="D8" s="6" t="str">
        <f>"1992-03-06"</f>
        <v>1992-03-06</v>
      </c>
      <c r="E8" s="6" t="str">
        <f>"大学本科学历"</f>
        <v>大学本科学历</v>
      </c>
      <c r="F8" s="6" t="str">
        <f>"文学学士"</f>
        <v>文学学士</v>
      </c>
      <c r="G8" s="6" t="str">
        <f>"对外汉语"</f>
        <v>对外汉语</v>
      </c>
      <c r="H8" s="7" t="s">
        <v>9</v>
      </c>
    </row>
    <row r="9" spans="1:8" ht="15" customHeight="1">
      <c r="A9" s="5">
        <v>7</v>
      </c>
      <c r="B9" s="6" t="str">
        <f>"王研"</f>
        <v>王研</v>
      </c>
      <c r="C9" s="6" t="str">
        <f aca="true" t="shared" si="2" ref="C9:C12">"女"</f>
        <v>女</v>
      </c>
      <c r="D9" s="6" t="str">
        <f>"1996-04-14"</f>
        <v>1996-04-14</v>
      </c>
      <c r="E9" s="6" t="str">
        <f>"大学本科"</f>
        <v>大学本科</v>
      </c>
      <c r="F9" s="6" t="str">
        <f>"农学学士"</f>
        <v>农学学士</v>
      </c>
      <c r="G9" s="6" t="str">
        <f>"林学"</f>
        <v>林学</v>
      </c>
      <c r="H9" s="7" t="s">
        <v>9</v>
      </c>
    </row>
    <row r="10" spans="1:8" ht="15" customHeight="1">
      <c r="A10" s="5">
        <v>8</v>
      </c>
      <c r="B10" s="6" t="str">
        <f>"王晓晶"</f>
        <v>王晓晶</v>
      </c>
      <c r="C10" s="6" t="str">
        <f t="shared" si="2"/>
        <v>女</v>
      </c>
      <c r="D10" s="6" t="str">
        <f>"1993-01-12"</f>
        <v>1993-01-12</v>
      </c>
      <c r="E10" s="6" t="str">
        <f>"大学本科学历"</f>
        <v>大学本科学历</v>
      </c>
      <c r="F10" s="6" t="str">
        <f>"管理学学士"</f>
        <v>管理学学士</v>
      </c>
      <c r="G10" s="6" t="str">
        <f>"人力资源管理专业"</f>
        <v>人力资源管理专业</v>
      </c>
      <c r="H10" s="7" t="s">
        <v>9</v>
      </c>
    </row>
    <row r="11" spans="1:8" ht="15" customHeight="1">
      <c r="A11" s="5">
        <v>9</v>
      </c>
      <c r="B11" s="6" t="str">
        <f>"赵武健"</f>
        <v>赵武健</v>
      </c>
      <c r="C11" s="6" t="str">
        <f aca="true" t="shared" si="3" ref="C11:C14">"男"</f>
        <v>男</v>
      </c>
      <c r="D11" s="6" t="str">
        <f>"1994-08-07"</f>
        <v>1994-08-07</v>
      </c>
      <c r="E11" s="6" t="str">
        <f aca="true" t="shared" si="4" ref="E11:E14">"本科"</f>
        <v>本科</v>
      </c>
      <c r="F11" s="6" t="str">
        <f>"学士学位"</f>
        <v>学士学位</v>
      </c>
      <c r="G11" s="6" t="str">
        <f>"土木工程"</f>
        <v>土木工程</v>
      </c>
      <c r="H11" s="7" t="s">
        <v>9</v>
      </c>
    </row>
    <row r="12" spans="1:8" ht="15" customHeight="1">
      <c r="A12" s="5">
        <v>10</v>
      </c>
      <c r="B12" s="6" t="str">
        <f>"杜薇薇"</f>
        <v>杜薇薇</v>
      </c>
      <c r="C12" s="6" t="str">
        <f t="shared" si="2"/>
        <v>女</v>
      </c>
      <c r="D12" s="6" t="str">
        <f>"2001-02-20"</f>
        <v>2001-02-20</v>
      </c>
      <c r="E12" s="6" t="str">
        <f t="shared" si="4"/>
        <v>本科</v>
      </c>
      <c r="F12" s="6" t="str">
        <f>"经济学学士"</f>
        <v>经济学学士</v>
      </c>
      <c r="G12" s="6" t="str">
        <f>"国际经济与贸易"</f>
        <v>国际经济与贸易</v>
      </c>
      <c r="H12" s="7" t="s">
        <v>9</v>
      </c>
    </row>
    <row r="13" spans="1:8" ht="15" customHeight="1">
      <c r="A13" s="5">
        <v>11</v>
      </c>
      <c r="B13" s="6" t="str">
        <f>"谢健华"</f>
        <v>谢健华</v>
      </c>
      <c r="C13" s="6" t="str">
        <f t="shared" si="3"/>
        <v>男</v>
      </c>
      <c r="D13" s="6" t="str">
        <f>"1992-03-04"</f>
        <v>1992-03-04</v>
      </c>
      <c r="E13" s="6" t="str">
        <f t="shared" si="4"/>
        <v>本科</v>
      </c>
      <c r="F13" s="6" t="str">
        <f>"经济学学士"</f>
        <v>经济学学士</v>
      </c>
      <c r="G13" s="6" t="str">
        <f>"国际经济与贸易"</f>
        <v>国际经济与贸易</v>
      </c>
      <c r="H13" s="7" t="s">
        <v>9</v>
      </c>
    </row>
    <row r="14" spans="1:8" ht="15" customHeight="1">
      <c r="A14" s="5">
        <v>12</v>
      </c>
      <c r="B14" s="6" t="str">
        <f>"邓佳"</f>
        <v>邓佳</v>
      </c>
      <c r="C14" s="6" t="str">
        <f t="shared" si="3"/>
        <v>男</v>
      </c>
      <c r="D14" s="6" t="str">
        <f>"1998-08-19"</f>
        <v>1998-08-19</v>
      </c>
      <c r="E14" s="6" t="str">
        <f t="shared" si="4"/>
        <v>本科</v>
      </c>
      <c r="F14" s="6" t="str">
        <f>"学士"</f>
        <v>学士</v>
      </c>
      <c r="G14" s="6" t="str">
        <f>"工程造价"</f>
        <v>工程造价</v>
      </c>
      <c r="H14" s="7" t="s">
        <v>9</v>
      </c>
    </row>
    <row r="15" spans="1:8" ht="15" customHeight="1">
      <c r="A15" s="5">
        <v>13</v>
      </c>
      <c r="B15" s="6" t="str">
        <f>"许燕芬"</f>
        <v>许燕芬</v>
      </c>
      <c r="C15" s="6" t="str">
        <f>"女"</f>
        <v>女</v>
      </c>
      <c r="D15" s="6" t="str">
        <f>"1995-03-23"</f>
        <v>1995-03-23</v>
      </c>
      <c r="E15" s="6" t="str">
        <f>"大学本科"</f>
        <v>大学本科</v>
      </c>
      <c r="F15" s="6" t="str">
        <f aca="true" t="shared" si="5" ref="F15:F20">"工学学士"</f>
        <v>工学学士</v>
      </c>
      <c r="G15" s="6" t="str">
        <f>"计算机科学与技术"</f>
        <v>计算机科学与技术</v>
      </c>
      <c r="H15" s="7" t="s">
        <v>9</v>
      </c>
    </row>
    <row r="16" spans="1:8" ht="15" customHeight="1">
      <c r="A16" s="5">
        <v>14</v>
      </c>
      <c r="B16" s="6" t="str">
        <f>"张登佳"</f>
        <v>张登佳</v>
      </c>
      <c r="C16" s="6" t="str">
        <f aca="true" t="shared" si="6" ref="C16:C18">"男"</f>
        <v>男</v>
      </c>
      <c r="D16" s="6" t="str">
        <f>"1993-11-03"</f>
        <v>1993-11-03</v>
      </c>
      <c r="E16" s="6" t="str">
        <f aca="true" t="shared" si="7" ref="E16:E19">"大学本科学历"</f>
        <v>大学本科学历</v>
      </c>
      <c r="F16" s="6" t="str">
        <f>"管理学学士"</f>
        <v>管理学学士</v>
      </c>
      <c r="G16" s="6" t="str">
        <f>"工商管理"</f>
        <v>工商管理</v>
      </c>
      <c r="H16" s="7" t="s">
        <v>9</v>
      </c>
    </row>
    <row r="17" spans="1:8" ht="15" customHeight="1">
      <c r="A17" s="5">
        <v>15</v>
      </c>
      <c r="B17" s="6" t="str">
        <f>"黄炳光"</f>
        <v>黄炳光</v>
      </c>
      <c r="C17" s="6" t="str">
        <f t="shared" si="6"/>
        <v>男</v>
      </c>
      <c r="D17" s="6" t="str">
        <f>"1994-05-10"</f>
        <v>1994-05-10</v>
      </c>
      <c r="E17" s="6" t="str">
        <f aca="true" t="shared" si="8" ref="E17:E21">"本科"</f>
        <v>本科</v>
      </c>
      <c r="F17" s="6" t="str">
        <f t="shared" si="5"/>
        <v>工学学士</v>
      </c>
      <c r="G17" s="6" t="str">
        <f>"环境工程"</f>
        <v>环境工程</v>
      </c>
      <c r="H17" s="7" t="s">
        <v>9</v>
      </c>
    </row>
    <row r="18" spans="1:8" ht="15" customHeight="1">
      <c r="A18" s="5">
        <v>16</v>
      </c>
      <c r="B18" s="6" t="str">
        <f>"兰王"</f>
        <v>兰王</v>
      </c>
      <c r="C18" s="6" t="str">
        <f t="shared" si="6"/>
        <v>男</v>
      </c>
      <c r="D18" s="6" t="str">
        <f>"1993-12-03"</f>
        <v>1993-12-03</v>
      </c>
      <c r="E18" s="6" t="str">
        <f t="shared" si="7"/>
        <v>大学本科学历</v>
      </c>
      <c r="F18" s="6" t="str">
        <f aca="true" t="shared" si="9" ref="F18:F22">"文学学士"</f>
        <v>文学学士</v>
      </c>
      <c r="G18" s="6" t="str">
        <f>"对外汉语"</f>
        <v>对外汉语</v>
      </c>
      <c r="H18" s="7" t="s">
        <v>9</v>
      </c>
    </row>
    <row r="19" spans="1:8" ht="15" customHeight="1">
      <c r="A19" s="5">
        <v>17</v>
      </c>
      <c r="B19" s="6" t="str">
        <f>"唐娥飞"</f>
        <v>唐娥飞</v>
      </c>
      <c r="C19" s="6" t="str">
        <f aca="true" t="shared" si="10" ref="C19:C22">"女"</f>
        <v>女</v>
      </c>
      <c r="D19" s="6" t="str">
        <f>"1992-03-22"</f>
        <v>1992-03-22</v>
      </c>
      <c r="E19" s="6" t="str">
        <f t="shared" si="7"/>
        <v>大学本科学历</v>
      </c>
      <c r="F19" s="6" t="str">
        <f t="shared" si="9"/>
        <v>文学学士</v>
      </c>
      <c r="G19" s="6" t="str">
        <f>"秘书学"</f>
        <v>秘书学</v>
      </c>
      <c r="H19" s="7" t="s">
        <v>9</v>
      </c>
    </row>
    <row r="20" spans="1:8" ht="15" customHeight="1">
      <c r="A20" s="5">
        <v>18</v>
      </c>
      <c r="B20" s="6" t="str">
        <f>"李景岛"</f>
        <v>李景岛</v>
      </c>
      <c r="C20" s="6" t="str">
        <f aca="true" t="shared" si="11" ref="C20:C26">"男"</f>
        <v>男</v>
      </c>
      <c r="D20" s="6" t="str">
        <f>"1999-08-04"</f>
        <v>1999-08-04</v>
      </c>
      <c r="E20" s="6" t="str">
        <f t="shared" si="8"/>
        <v>本科</v>
      </c>
      <c r="F20" s="6" t="str">
        <f t="shared" si="5"/>
        <v>工学学士</v>
      </c>
      <c r="G20" s="6" t="str">
        <f>"环境工程"</f>
        <v>环境工程</v>
      </c>
      <c r="H20" s="7" t="s">
        <v>9</v>
      </c>
    </row>
    <row r="21" spans="1:8" ht="15" customHeight="1">
      <c r="A21" s="5">
        <v>19</v>
      </c>
      <c r="B21" s="6" t="str">
        <f>"张可"</f>
        <v>张可</v>
      </c>
      <c r="C21" s="6" t="str">
        <f t="shared" si="10"/>
        <v>女</v>
      </c>
      <c r="D21" s="6" t="str">
        <f>"1997-06-16"</f>
        <v>1997-06-16</v>
      </c>
      <c r="E21" s="6" t="str">
        <f t="shared" si="8"/>
        <v>本科</v>
      </c>
      <c r="F21" s="6" t="str">
        <f>"管理学学士学位"</f>
        <v>管理学学士学位</v>
      </c>
      <c r="G21" s="6" t="str">
        <f>"会计学"</f>
        <v>会计学</v>
      </c>
      <c r="H21" s="7" t="s">
        <v>9</v>
      </c>
    </row>
    <row r="22" spans="1:8" ht="15" customHeight="1">
      <c r="A22" s="5">
        <v>20</v>
      </c>
      <c r="B22" s="6" t="str">
        <f>"王迷尔"</f>
        <v>王迷尔</v>
      </c>
      <c r="C22" s="6" t="str">
        <f t="shared" si="10"/>
        <v>女</v>
      </c>
      <c r="D22" s="6" t="str">
        <f>"1995-03-28"</f>
        <v>1995-03-28</v>
      </c>
      <c r="E22" s="6" t="str">
        <f>"大学本科学历"</f>
        <v>大学本科学历</v>
      </c>
      <c r="F22" s="6" t="str">
        <f t="shared" si="9"/>
        <v>文学学士</v>
      </c>
      <c r="G22" s="6" t="str">
        <f>"汉语言文学"</f>
        <v>汉语言文学</v>
      </c>
      <c r="H22" s="7" t="s">
        <v>9</v>
      </c>
    </row>
    <row r="23" spans="1:8" ht="15" customHeight="1">
      <c r="A23" s="5">
        <v>21</v>
      </c>
      <c r="B23" s="6" t="str">
        <f>"周游"</f>
        <v>周游</v>
      </c>
      <c r="C23" s="6" t="str">
        <f t="shared" si="11"/>
        <v>男</v>
      </c>
      <c r="D23" s="6" t="str">
        <f>"1999-12-09"</f>
        <v>1999-12-09</v>
      </c>
      <c r="E23" s="6" t="str">
        <f>"全日制大学本科"</f>
        <v>全日制大学本科</v>
      </c>
      <c r="F23" s="6" t="str">
        <f>"管理学学士"</f>
        <v>管理学学士</v>
      </c>
      <c r="G23" s="6" t="str">
        <f>"土地资源管理"</f>
        <v>土地资源管理</v>
      </c>
      <c r="H23" s="7" t="s">
        <v>9</v>
      </c>
    </row>
    <row r="24" spans="1:8" ht="15" customHeight="1">
      <c r="A24" s="5">
        <v>22</v>
      </c>
      <c r="B24" s="6" t="str">
        <f>"吴宁"</f>
        <v>吴宁</v>
      </c>
      <c r="C24" s="6" t="str">
        <f aca="true" t="shared" si="12" ref="C24:C29">"女"</f>
        <v>女</v>
      </c>
      <c r="D24" s="6" t="str">
        <f>"1995-03-17"</f>
        <v>1995-03-17</v>
      </c>
      <c r="E24" s="6" t="str">
        <f aca="true" t="shared" si="13" ref="E24:E40">"本科"</f>
        <v>本科</v>
      </c>
      <c r="F24" s="6" t="str">
        <f>"管理学学士学位"</f>
        <v>管理学学士学位</v>
      </c>
      <c r="G24" s="6" t="str">
        <f>"旅游管理"</f>
        <v>旅游管理</v>
      </c>
      <c r="H24" s="7" t="s">
        <v>9</v>
      </c>
    </row>
    <row r="25" spans="1:8" ht="15" customHeight="1">
      <c r="A25" s="5">
        <v>23</v>
      </c>
      <c r="B25" s="6" t="str">
        <f>"陈晖煜"</f>
        <v>陈晖煜</v>
      </c>
      <c r="C25" s="6" t="str">
        <f t="shared" si="11"/>
        <v>男</v>
      </c>
      <c r="D25" s="6" t="str">
        <f>"1999-05-22"</f>
        <v>1999-05-22</v>
      </c>
      <c r="E25" s="6" t="str">
        <f t="shared" si="13"/>
        <v>本科</v>
      </c>
      <c r="F25" s="6" t="str">
        <f>"经济学学士"</f>
        <v>经济学学士</v>
      </c>
      <c r="G25" s="6" t="str">
        <f>"电子商务"</f>
        <v>电子商务</v>
      </c>
      <c r="H25" s="7" t="s">
        <v>9</v>
      </c>
    </row>
    <row r="26" spans="1:8" ht="15" customHeight="1">
      <c r="A26" s="5">
        <v>24</v>
      </c>
      <c r="B26" s="6" t="str">
        <f>"李瀚"</f>
        <v>李瀚</v>
      </c>
      <c r="C26" s="6" t="str">
        <f t="shared" si="11"/>
        <v>男</v>
      </c>
      <c r="D26" s="6" t="str">
        <f>"1999-01-14"</f>
        <v>1999-01-14</v>
      </c>
      <c r="E26" s="6" t="str">
        <f t="shared" si="13"/>
        <v>本科</v>
      </c>
      <c r="F26" s="6" t="str">
        <f>"管理学学位"</f>
        <v>管理学学位</v>
      </c>
      <c r="G26" s="6" t="str">
        <f>"信息管理与信息系统"</f>
        <v>信息管理与信息系统</v>
      </c>
      <c r="H26" s="7" t="s">
        <v>9</v>
      </c>
    </row>
    <row r="27" spans="1:8" ht="15" customHeight="1">
      <c r="A27" s="5">
        <v>25</v>
      </c>
      <c r="B27" s="6" t="str">
        <f>"蔡雪"</f>
        <v>蔡雪</v>
      </c>
      <c r="C27" s="6" t="str">
        <f t="shared" si="12"/>
        <v>女</v>
      </c>
      <c r="D27" s="6" t="str">
        <f>"1993-02-23"</f>
        <v>1993-02-23</v>
      </c>
      <c r="E27" s="6" t="str">
        <f t="shared" si="13"/>
        <v>本科</v>
      </c>
      <c r="F27" s="6" t="str">
        <f>"管理学学士"</f>
        <v>管理学学士</v>
      </c>
      <c r="G27" s="6" t="str">
        <f>"旅游管理"</f>
        <v>旅游管理</v>
      </c>
      <c r="H27" s="7" t="s">
        <v>9</v>
      </c>
    </row>
    <row r="28" spans="1:8" ht="15" customHeight="1">
      <c r="A28" s="5">
        <v>26</v>
      </c>
      <c r="B28" s="6" t="str">
        <f>"唐海云"</f>
        <v>唐海云</v>
      </c>
      <c r="C28" s="6" t="str">
        <f t="shared" si="12"/>
        <v>女</v>
      </c>
      <c r="D28" s="6" t="str">
        <f>"1996-11-21"</f>
        <v>1996-11-21</v>
      </c>
      <c r="E28" s="6" t="str">
        <f t="shared" si="13"/>
        <v>本科</v>
      </c>
      <c r="F28" s="6" t="str">
        <f aca="true" t="shared" si="14" ref="F28:F34">"工学学士"</f>
        <v>工学学士</v>
      </c>
      <c r="G28" s="6" t="str">
        <f>"城乡规划"</f>
        <v>城乡规划</v>
      </c>
      <c r="H28" s="7" t="s">
        <v>9</v>
      </c>
    </row>
    <row r="29" spans="1:8" ht="15" customHeight="1">
      <c r="A29" s="5">
        <v>27</v>
      </c>
      <c r="B29" s="6" t="str">
        <f>"陈晓玲"</f>
        <v>陈晓玲</v>
      </c>
      <c r="C29" s="6" t="str">
        <f t="shared" si="12"/>
        <v>女</v>
      </c>
      <c r="D29" s="6" t="str">
        <f>"1994-03-15"</f>
        <v>1994-03-15</v>
      </c>
      <c r="E29" s="6" t="str">
        <f t="shared" si="13"/>
        <v>本科</v>
      </c>
      <c r="F29" s="6" t="str">
        <f>"农学学位"</f>
        <v>农学学位</v>
      </c>
      <c r="G29" s="6" t="str">
        <f>"植物保护（农药方向）"</f>
        <v>植物保护（农药方向）</v>
      </c>
      <c r="H29" s="7" t="s">
        <v>9</v>
      </c>
    </row>
    <row r="30" spans="1:8" ht="15" customHeight="1">
      <c r="A30" s="5">
        <v>28</v>
      </c>
      <c r="B30" s="6" t="str">
        <f>"何宝圣"</f>
        <v>何宝圣</v>
      </c>
      <c r="C30" s="6" t="str">
        <f aca="true" t="shared" si="15" ref="C30:C35">"男"</f>
        <v>男</v>
      </c>
      <c r="D30" s="6" t="str">
        <f>"1995-03-17"</f>
        <v>1995-03-17</v>
      </c>
      <c r="E30" s="6" t="str">
        <f t="shared" si="13"/>
        <v>本科</v>
      </c>
      <c r="F30" s="6" t="str">
        <f t="shared" si="14"/>
        <v>工学学士</v>
      </c>
      <c r="G30" s="6" t="str">
        <f>"建筑学"</f>
        <v>建筑学</v>
      </c>
      <c r="H30" s="7" t="s">
        <v>9</v>
      </c>
    </row>
    <row r="31" spans="1:8" ht="15" customHeight="1">
      <c r="A31" s="5">
        <v>29</v>
      </c>
      <c r="B31" s="6" t="str">
        <f>"王珊岚"</f>
        <v>王珊岚</v>
      </c>
      <c r="C31" s="6" t="str">
        <f aca="true" t="shared" si="16" ref="C31:C33">"女"</f>
        <v>女</v>
      </c>
      <c r="D31" s="6" t="str">
        <f>"1988-06-01"</f>
        <v>1988-06-01</v>
      </c>
      <c r="E31" s="6" t="str">
        <f t="shared" si="13"/>
        <v>本科</v>
      </c>
      <c r="F31" s="6" t="str">
        <f>"管理学士"</f>
        <v>管理学士</v>
      </c>
      <c r="G31" s="6" t="str">
        <f>"人力资源管理"</f>
        <v>人力资源管理</v>
      </c>
      <c r="H31" s="7" t="s">
        <v>9</v>
      </c>
    </row>
    <row r="32" spans="1:8" ht="15" customHeight="1">
      <c r="A32" s="5">
        <v>30</v>
      </c>
      <c r="B32" s="6" t="str">
        <f>"符春娜"</f>
        <v>符春娜</v>
      </c>
      <c r="C32" s="6" t="str">
        <f t="shared" si="16"/>
        <v>女</v>
      </c>
      <c r="D32" s="6" t="str">
        <f>"1991-02-22"</f>
        <v>1991-02-22</v>
      </c>
      <c r="E32" s="6" t="str">
        <f t="shared" si="13"/>
        <v>本科</v>
      </c>
      <c r="F32" s="6" t="str">
        <f>"管理学学士学位"</f>
        <v>管理学学士学位</v>
      </c>
      <c r="G32" s="6" t="str">
        <f>"工程管理"</f>
        <v>工程管理</v>
      </c>
      <c r="H32" s="7" t="s">
        <v>9</v>
      </c>
    </row>
    <row r="33" spans="1:8" ht="15" customHeight="1">
      <c r="A33" s="5">
        <v>31</v>
      </c>
      <c r="B33" s="6" t="str">
        <f>"黄青霞"</f>
        <v>黄青霞</v>
      </c>
      <c r="C33" s="6" t="str">
        <f t="shared" si="16"/>
        <v>女</v>
      </c>
      <c r="D33" s="6" t="str">
        <f>"1997-03-10"</f>
        <v>1997-03-10</v>
      </c>
      <c r="E33" s="6" t="str">
        <f t="shared" si="13"/>
        <v>本科</v>
      </c>
      <c r="F33" s="6" t="str">
        <f t="shared" si="14"/>
        <v>工学学士</v>
      </c>
      <c r="G33" s="6" t="str">
        <f>"计算机科学与技术"</f>
        <v>计算机科学与技术</v>
      </c>
      <c r="H33" s="7" t="s">
        <v>9</v>
      </c>
    </row>
    <row r="34" spans="1:8" ht="15" customHeight="1">
      <c r="A34" s="5">
        <v>32</v>
      </c>
      <c r="B34" s="6" t="str">
        <f>"孙加强"</f>
        <v>孙加强</v>
      </c>
      <c r="C34" s="6" t="str">
        <f t="shared" si="15"/>
        <v>男</v>
      </c>
      <c r="D34" s="6" t="str">
        <f>"1998-11-11"</f>
        <v>1998-11-11</v>
      </c>
      <c r="E34" s="6" t="str">
        <f t="shared" si="13"/>
        <v>本科</v>
      </c>
      <c r="F34" s="6" t="str">
        <f t="shared" si="14"/>
        <v>工学学士</v>
      </c>
      <c r="G34" s="6" t="str">
        <f>"土木工程"</f>
        <v>土木工程</v>
      </c>
      <c r="H34" s="7" t="s">
        <v>9</v>
      </c>
    </row>
    <row r="35" spans="1:8" ht="15" customHeight="1">
      <c r="A35" s="5">
        <v>33</v>
      </c>
      <c r="B35" s="6" t="str">
        <f>"林世鹏"</f>
        <v>林世鹏</v>
      </c>
      <c r="C35" s="6" t="str">
        <f t="shared" si="15"/>
        <v>男</v>
      </c>
      <c r="D35" s="6" t="str">
        <f>"1997-03-27"</f>
        <v>1997-03-27</v>
      </c>
      <c r="E35" s="6" t="str">
        <f t="shared" si="13"/>
        <v>本科</v>
      </c>
      <c r="F35" s="6" t="str">
        <f aca="true" t="shared" si="17" ref="F35:F39">"管理学学士"</f>
        <v>管理学学士</v>
      </c>
      <c r="G35" s="6" t="str">
        <f>"工程管理"</f>
        <v>工程管理</v>
      </c>
      <c r="H35" s="7" t="s">
        <v>9</v>
      </c>
    </row>
    <row r="36" spans="1:8" ht="15" customHeight="1">
      <c r="A36" s="5">
        <v>34</v>
      </c>
      <c r="B36" s="6" t="str">
        <f>"李雪汝"</f>
        <v>李雪汝</v>
      </c>
      <c r="C36" s="6" t="str">
        <f aca="true" t="shared" si="18" ref="C36:C39">"女"</f>
        <v>女</v>
      </c>
      <c r="D36" s="6" t="str">
        <f>"1995-03-28"</f>
        <v>1995-03-28</v>
      </c>
      <c r="E36" s="6" t="str">
        <f t="shared" si="13"/>
        <v>本科</v>
      </c>
      <c r="F36" s="6" t="str">
        <f>"工学学士"</f>
        <v>工学学士</v>
      </c>
      <c r="G36" s="6" t="str">
        <f>"建筑环境与能源应用工程"</f>
        <v>建筑环境与能源应用工程</v>
      </c>
      <c r="H36" s="7" t="s">
        <v>9</v>
      </c>
    </row>
    <row r="37" spans="1:8" ht="15" customHeight="1">
      <c r="A37" s="5">
        <v>35</v>
      </c>
      <c r="B37" s="6" t="str">
        <f>"陈日乾"</f>
        <v>陈日乾</v>
      </c>
      <c r="C37" s="6" t="str">
        <f t="shared" si="18"/>
        <v>女</v>
      </c>
      <c r="D37" s="6" t="str">
        <f>"1999-08-08"</f>
        <v>1999-08-08</v>
      </c>
      <c r="E37" s="6" t="str">
        <f t="shared" si="13"/>
        <v>本科</v>
      </c>
      <c r="F37" s="6" t="str">
        <f t="shared" si="17"/>
        <v>管理学学士</v>
      </c>
      <c r="G37" s="6" t="str">
        <f>"会计学"</f>
        <v>会计学</v>
      </c>
      <c r="H37" s="7" t="s">
        <v>9</v>
      </c>
    </row>
    <row r="38" spans="1:8" ht="15" customHeight="1">
      <c r="A38" s="5">
        <v>36</v>
      </c>
      <c r="B38" s="6" t="str">
        <f>"王应明"</f>
        <v>王应明</v>
      </c>
      <c r="C38" s="6" t="str">
        <f aca="true" t="shared" si="19" ref="C38:C42">"男"</f>
        <v>男</v>
      </c>
      <c r="D38" s="6" t="str">
        <f>"1991-08-16"</f>
        <v>1991-08-16</v>
      </c>
      <c r="E38" s="6" t="str">
        <f t="shared" si="13"/>
        <v>本科</v>
      </c>
      <c r="F38" s="6" t="str">
        <f t="shared" si="17"/>
        <v>管理学学士</v>
      </c>
      <c r="G38" s="6" t="str">
        <f>"市场营销"</f>
        <v>市场营销</v>
      </c>
      <c r="H38" s="7" t="s">
        <v>9</v>
      </c>
    </row>
    <row r="39" spans="1:8" ht="15" customHeight="1">
      <c r="A39" s="5">
        <v>37</v>
      </c>
      <c r="B39" s="6" t="str">
        <f>"王亚茹"</f>
        <v>王亚茹</v>
      </c>
      <c r="C39" s="6" t="str">
        <f t="shared" si="18"/>
        <v>女</v>
      </c>
      <c r="D39" s="6" t="str">
        <f>"1990-11-13"</f>
        <v>1990-11-13</v>
      </c>
      <c r="E39" s="6" t="str">
        <f t="shared" si="13"/>
        <v>本科</v>
      </c>
      <c r="F39" s="6" t="str">
        <f t="shared" si="17"/>
        <v>管理学学士</v>
      </c>
      <c r="G39" s="6" t="str">
        <f>"旅游管理专业"</f>
        <v>旅游管理专业</v>
      </c>
      <c r="H39" s="7" t="s">
        <v>9</v>
      </c>
    </row>
    <row r="40" spans="1:8" ht="15" customHeight="1">
      <c r="A40" s="5">
        <v>38</v>
      </c>
      <c r="B40" s="6" t="str">
        <f>"李翼达"</f>
        <v>李翼达</v>
      </c>
      <c r="C40" s="6" t="str">
        <f t="shared" si="19"/>
        <v>男</v>
      </c>
      <c r="D40" s="6" t="str">
        <f>"1992-06-24"</f>
        <v>1992-06-24</v>
      </c>
      <c r="E40" s="6" t="str">
        <f t="shared" si="13"/>
        <v>本科</v>
      </c>
      <c r="F40" s="6" t="str">
        <f>"经济学学士"</f>
        <v>经济学学士</v>
      </c>
      <c r="G40" s="6" t="str">
        <f>"经济学"</f>
        <v>经济学</v>
      </c>
      <c r="H40" s="7" t="s">
        <v>9</v>
      </c>
    </row>
    <row r="41" spans="1:8" ht="15" customHeight="1">
      <c r="A41" s="5">
        <v>39</v>
      </c>
      <c r="B41" s="6" t="str">
        <f>"黄伟"</f>
        <v>黄伟</v>
      </c>
      <c r="C41" s="6" t="str">
        <f t="shared" si="19"/>
        <v>男</v>
      </c>
      <c r="D41" s="6" t="str">
        <f>"1995-05-03"</f>
        <v>1995-05-03</v>
      </c>
      <c r="E41" s="6" t="str">
        <f>"大学本科"</f>
        <v>大学本科</v>
      </c>
      <c r="F41" s="6" t="str">
        <f aca="true" t="shared" si="20" ref="F41:F47">"工学学士"</f>
        <v>工学学士</v>
      </c>
      <c r="G41" s="6" t="str">
        <f>"土木工程专业"</f>
        <v>土木工程专业</v>
      </c>
      <c r="H41" s="7" t="s">
        <v>9</v>
      </c>
    </row>
    <row r="42" spans="1:8" ht="15" customHeight="1">
      <c r="A42" s="5">
        <v>40</v>
      </c>
      <c r="B42" s="6" t="str">
        <f>"梁其干"</f>
        <v>梁其干</v>
      </c>
      <c r="C42" s="6" t="str">
        <f t="shared" si="19"/>
        <v>男</v>
      </c>
      <c r="D42" s="6" t="str">
        <f>"1995-06-12"</f>
        <v>1995-06-12</v>
      </c>
      <c r="E42" s="6" t="str">
        <f>"硕士研究生"</f>
        <v>硕士研究生</v>
      </c>
      <c r="F42" s="6" t="str">
        <f>"农业硕士"</f>
        <v>农业硕士</v>
      </c>
      <c r="G42" s="6" t="str">
        <f>"作物"</f>
        <v>作物</v>
      </c>
      <c r="H42" s="7" t="s">
        <v>9</v>
      </c>
    </row>
    <row r="43" spans="1:8" ht="15" customHeight="1">
      <c r="A43" s="5">
        <v>41</v>
      </c>
      <c r="B43" s="6" t="str">
        <f>"袁源"</f>
        <v>袁源</v>
      </c>
      <c r="C43" s="6" t="str">
        <f aca="true" t="shared" si="21" ref="C43:C48">"女"</f>
        <v>女</v>
      </c>
      <c r="D43" s="6" t="str">
        <f>"1995-11-18"</f>
        <v>1995-11-18</v>
      </c>
      <c r="E43" s="6" t="str">
        <f aca="true" t="shared" si="22" ref="E43:E51">"本科"</f>
        <v>本科</v>
      </c>
      <c r="F43" s="6" t="str">
        <f>"经济学学士"</f>
        <v>经济学学士</v>
      </c>
      <c r="G43" s="6" t="str">
        <f>"经济学"</f>
        <v>经济学</v>
      </c>
      <c r="H43" s="7" t="s">
        <v>9</v>
      </c>
    </row>
    <row r="44" spans="1:8" ht="15" customHeight="1">
      <c r="A44" s="5">
        <v>42</v>
      </c>
      <c r="B44" s="6" t="str">
        <f>"林瑞富"</f>
        <v>林瑞富</v>
      </c>
      <c r="C44" s="6" t="str">
        <f aca="true" t="shared" si="23" ref="C44:C47">"男"</f>
        <v>男</v>
      </c>
      <c r="D44" s="6" t="str">
        <f>"1990-03-23"</f>
        <v>1990-03-23</v>
      </c>
      <c r="E44" s="6" t="str">
        <f>"大学本科学历"</f>
        <v>大学本科学历</v>
      </c>
      <c r="F44" s="6" t="str">
        <f t="shared" si="20"/>
        <v>工学学士</v>
      </c>
      <c r="G44" s="6" t="str">
        <f>"网络工程"</f>
        <v>网络工程</v>
      </c>
      <c r="H44" s="7" t="s">
        <v>9</v>
      </c>
    </row>
    <row r="45" spans="1:8" ht="15" customHeight="1">
      <c r="A45" s="5">
        <v>43</v>
      </c>
      <c r="B45" s="6" t="str">
        <f>"李惠君"</f>
        <v>李惠君</v>
      </c>
      <c r="C45" s="6" t="str">
        <f t="shared" si="21"/>
        <v>女</v>
      </c>
      <c r="D45" s="6" t="str">
        <f>"1998-01-04"</f>
        <v>1998-01-04</v>
      </c>
      <c r="E45" s="6" t="str">
        <f t="shared" si="22"/>
        <v>本科</v>
      </c>
      <c r="F45" s="6" t="str">
        <f>"经济学"</f>
        <v>经济学</v>
      </c>
      <c r="G45" s="6" t="str">
        <f>"经济统计学"</f>
        <v>经济统计学</v>
      </c>
      <c r="H45" s="7" t="s">
        <v>9</v>
      </c>
    </row>
    <row r="46" spans="1:8" ht="15" customHeight="1">
      <c r="A46" s="5">
        <v>44</v>
      </c>
      <c r="B46" s="6" t="str">
        <f>"吉常奋"</f>
        <v>吉常奋</v>
      </c>
      <c r="C46" s="6" t="str">
        <f t="shared" si="23"/>
        <v>男</v>
      </c>
      <c r="D46" s="6" t="str">
        <f>"1998-03-19"</f>
        <v>1998-03-19</v>
      </c>
      <c r="E46" s="6" t="str">
        <f>"大学本科"</f>
        <v>大学本科</v>
      </c>
      <c r="F46" s="6" t="str">
        <f t="shared" si="20"/>
        <v>工学学士</v>
      </c>
      <c r="G46" s="6" t="str">
        <f>"工业工程"</f>
        <v>工业工程</v>
      </c>
      <c r="H46" s="7" t="s">
        <v>9</v>
      </c>
    </row>
    <row r="47" spans="1:8" ht="15" customHeight="1">
      <c r="A47" s="5">
        <v>45</v>
      </c>
      <c r="B47" s="6" t="str">
        <f>"陈泓材"</f>
        <v>陈泓材</v>
      </c>
      <c r="C47" s="6" t="str">
        <f t="shared" si="23"/>
        <v>男</v>
      </c>
      <c r="D47" s="6" t="str">
        <f>"1998-05-05"</f>
        <v>1998-05-05</v>
      </c>
      <c r="E47" s="6" t="str">
        <f t="shared" si="22"/>
        <v>本科</v>
      </c>
      <c r="F47" s="6" t="str">
        <f t="shared" si="20"/>
        <v>工学学士</v>
      </c>
      <c r="G47" s="6" t="str">
        <f>"建筑学"</f>
        <v>建筑学</v>
      </c>
      <c r="H47" s="7" t="s">
        <v>9</v>
      </c>
    </row>
    <row r="48" spans="1:8" ht="15" customHeight="1">
      <c r="A48" s="5">
        <v>46</v>
      </c>
      <c r="B48" s="6" t="str">
        <f>"陈南姑"</f>
        <v>陈南姑</v>
      </c>
      <c r="C48" s="6" t="str">
        <f t="shared" si="21"/>
        <v>女</v>
      </c>
      <c r="D48" s="6" t="str">
        <f>"1997-06-10"</f>
        <v>1997-06-10</v>
      </c>
      <c r="E48" s="6" t="str">
        <f t="shared" si="22"/>
        <v>本科</v>
      </c>
      <c r="F48" s="6" t="str">
        <f>"学士"</f>
        <v>学士</v>
      </c>
      <c r="G48" s="6" t="str">
        <f>"计算机科学与技术"</f>
        <v>计算机科学与技术</v>
      </c>
      <c r="H48" s="7" t="s">
        <v>9</v>
      </c>
    </row>
    <row r="49" spans="1:8" ht="15" customHeight="1">
      <c r="A49" s="5">
        <v>47</v>
      </c>
      <c r="B49" s="6" t="str">
        <f>"赵志航"</f>
        <v>赵志航</v>
      </c>
      <c r="C49" s="6" t="str">
        <f aca="true" t="shared" si="24" ref="C49:C51">"男"</f>
        <v>男</v>
      </c>
      <c r="D49" s="6" t="str">
        <f>"1999-09-28"</f>
        <v>1999-09-28</v>
      </c>
      <c r="E49" s="6" t="str">
        <f t="shared" si="22"/>
        <v>本科</v>
      </c>
      <c r="F49" s="6" t="str">
        <f aca="true" t="shared" si="25" ref="F49:F54">"工学学士"</f>
        <v>工学学士</v>
      </c>
      <c r="G49" s="6" t="str">
        <f>"计算机科学与技术"</f>
        <v>计算机科学与技术</v>
      </c>
      <c r="H49" s="7" t="s">
        <v>9</v>
      </c>
    </row>
    <row r="50" spans="1:8" ht="15" customHeight="1">
      <c r="A50" s="5">
        <v>48</v>
      </c>
      <c r="B50" s="6" t="str">
        <f>"蒙昱臻"</f>
        <v>蒙昱臻</v>
      </c>
      <c r="C50" s="6" t="str">
        <f t="shared" si="24"/>
        <v>男</v>
      </c>
      <c r="D50" s="6" t="str">
        <f>"1992-11-07"</f>
        <v>1992-11-07</v>
      </c>
      <c r="E50" s="6" t="str">
        <f t="shared" si="22"/>
        <v>本科</v>
      </c>
      <c r="F50" s="6" t="str">
        <f t="shared" si="25"/>
        <v>工学学士</v>
      </c>
      <c r="G50" s="6" t="str">
        <f>"环境工程"</f>
        <v>环境工程</v>
      </c>
      <c r="H50" s="7" t="s">
        <v>9</v>
      </c>
    </row>
    <row r="51" spans="1:8" ht="15" customHeight="1">
      <c r="A51" s="5">
        <v>49</v>
      </c>
      <c r="B51" s="6" t="str">
        <f>"蔡亲玺"</f>
        <v>蔡亲玺</v>
      </c>
      <c r="C51" s="6" t="str">
        <f t="shared" si="24"/>
        <v>男</v>
      </c>
      <c r="D51" s="6" t="str">
        <f>"1995-06-30"</f>
        <v>1995-06-30</v>
      </c>
      <c r="E51" s="6" t="str">
        <f t="shared" si="22"/>
        <v>本科</v>
      </c>
      <c r="F51" s="6" t="str">
        <f aca="true" t="shared" si="26" ref="F51:F53">"管理学学士"</f>
        <v>管理学学士</v>
      </c>
      <c r="G51" s="6" t="str">
        <f>"工程管理"</f>
        <v>工程管理</v>
      </c>
      <c r="H51" s="7" t="s">
        <v>9</v>
      </c>
    </row>
    <row r="52" spans="1:8" ht="15" customHeight="1">
      <c r="A52" s="5">
        <v>50</v>
      </c>
      <c r="B52" s="6" t="str">
        <f>"黄彩凤"</f>
        <v>黄彩凤</v>
      </c>
      <c r="C52" s="6" t="str">
        <f>"女"</f>
        <v>女</v>
      </c>
      <c r="D52" s="6" t="str">
        <f>"1994-04-22"</f>
        <v>1994-04-22</v>
      </c>
      <c r="E52" s="6" t="str">
        <f aca="true" t="shared" si="27" ref="E52:E57">"大学本科"</f>
        <v>大学本科</v>
      </c>
      <c r="F52" s="6" t="str">
        <f t="shared" si="26"/>
        <v>管理学学士</v>
      </c>
      <c r="G52" s="6" t="str">
        <f>"公共事业管理"</f>
        <v>公共事业管理</v>
      </c>
      <c r="H52" s="7" t="s">
        <v>9</v>
      </c>
    </row>
    <row r="53" spans="1:8" ht="15" customHeight="1">
      <c r="A53" s="5">
        <v>51</v>
      </c>
      <c r="B53" s="6" t="str">
        <f>"文登俊"</f>
        <v>文登俊</v>
      </c>
      <c r="C53" s="6" t="str">
        <f aca="true" t="shared" si="28" ref="C53:C56">"男"</f>
        <v>男</v>
      </c>
      <c r="D53" s="6" t="str">
        <f>"1998-07-15"</f>
        <v>1998-07-15</v>
      </c>
      <c r="E53" s="6" t="str">
        <f>"全日制本科"</f>
        <v>全日制本科</v>
      </c>
      <c r="F53" s="6" t="str">
        <f t="shared" si="26"/>
        <v>管理学学士</v>
      </c>
      <c r="G53" s="6" t="str">
        <f>"审计学"</f>
        <v>审计学</v>
      </c>
      <c r="H53" s="7" t="s">
        <v>9</v>
      </c>
    </row>
    <row r="54" spans="1:8" ht="15" customHeight="1">
      <c r="A54" s="5">
        <v>52</v>
      </c>
      <c r="B54" s="6" t="str">
        <f>"罗皇"</f>
        <v>罗皇</v>
      </c>
      <c r="C54" s="6" t="str">
        <f t="shared" si="28"/>
        <v>男</v>
      </c>
      <c r="D54" s="6" t="str">
        <f>"1999-07-21"</f>
        <v>1999-07-21</v>
      </c>
      <c r="E54" s="6" t="str">
        <f t="shared" si="27"/>
        <v>大学本科</v>
      </c>
      <c r="F54" s="6" t="str">
        <f t="shared" si="25"/>
        <v>工学学士</v>
      </c>
      <c r="G54" s="6" t="str">
        <f>"道路桥梁与渡河工程"</f>
        <v>道路桥梁与渡河工程</v>
      </c>
      <c r="H54" s="7" t="s">
        <v>9</v>
      </c>
    </row>
    <row r="55" spans="1:8" ht="15" customHeight="1">
      <c r="A55" s="5">
        <v>53</v>
      </c>
      <c r="B55" s="6" t="str">
        <f>"吉世能"</f>
        <v>吉世能</v>
      </c>
      <c r="C55" s="6" t="str">
        <f t="shared" si="28"/>
        <v>男</v>
      </c>
      <c r="D55" s="6" t="str">
        <f>"1992-09-08"</f>
        <v>1992-09-08</v>
      </c>
      <c r="E55" s="6" t="str">
        <f t="shared" si="27"/>
        <v>大学本科</v>
      </c>
      <c r="F55" s="6" t="str">
        <f aca="true" t="shared" si="29" ref="F55:F58">"管理学学士"</f>
        <v>管理学学士</v>
      </c>
      <c r="G55" s="6" t="str">
        <f>"工商管理"</f>
        <v>工商管理</v>
      </c>
      <c r="H55" s="7" t="s">
        <v>9</v>
      </c>
    </row>
    <row r="56" spans="1:8" ht="15" customHeight="1">
      <c r="A56" s="5">
        <v>54</v>
      </c>
      <c r="B56" s="6" t="str">
        <f>"李然"</f>
        <v>李然</v>
      </c>
      <c r="C56" s="6" t="str">
        <f t="shared" si="28"/>
        <v>男</v>
      </c>
      <c r="D56" s="6" t="str">
        <f>"1997-06-01"</f>
        <v>1997-06-01</v>
      </c>
      <c r="E56" s="6" t="str">
        <f t="shared" si="27"/>
        <v>大学本科</v>
      </c>
      <c r="F56" s="6" t="str">
        <f t="shared" si="29"/>
        <v>管理学学士</v>
      </c>
      <c r="G56" s="6" t="str">
        <f>"旅游管理"</f>
        <v>旅游管理</v>
      </c>
      <c r="H56" s="7" t="s">
        <v>9</v>
      </c>
    </row>
    <row r="57" spans="1:8" ht="15" customHeight="1">
      <c r="A57" s="5">
        <v>55</v>
      </c>
      <c r="B57" s="6" t="str">
        <f>"王翠灵"</f>
        <v>王翠灵</v>
      </c>
      <c r="C57" s="6" t="str">
        <f aca="true" t="shared" si="30" ref="C57:C62">"女"</f>
        <v>女</v>
      </c>
      <c r="D57" s="6" t="str">
        <f>"1995-06-17"</f>
        <v>1995-06-17</v>
      </c>
      <c r="E57" s="6" t="str">
        <f t="shared" si="27"/>
        <v>大学本科</v>
      </c>
      <c r="F57" s="6" t="str">
        <f t="shared" si="29"/>
        <v>管理学学士</v>
      </c>
      <c r="G57" s="6" t="str">
        <f>"信息管理与信息系统"</f>
        <v>信息管理与信息系统</v>
      </c>
      <c r="H57" s="7" t="s">
        <v>9</v>
      </c>
    </row>
    <row r="58" spans="1:8" ht="15" customHeight="1">
      <c r="A58" s="5">
        <v>56</v>
      </c>
      <c r="B58" s="6" t="str">
        <f>"范虓肇"</f>
        <v>范虓肇</v>
      </c>
      <c r="C58" s="6" t="str">
        <f aca="true" t="shared" si="31" ref="C58:C63">"男"</f>
        <v>男</v>
      </c>
      <c r="D58" s="6" t="str">
        <f>"1998-01-29"</f>
        <v>1998-01-29</v>
      </c>
      <c r="E58" s="6" t="str">
        <f aca="true" t="shared" si="32" ref="E58:E61">"本科"</f>
        <v>本科</v>
      </c>
      <c r="F58" s="6" t="str">
        <f t="shared" si="29"/>
        <v>管理学学士</v>
      </c>
      <c r="G58" s="6" t="str">
        <f>"工程管理"</f>
        <v>工程管理</v>
      </c>
      <c r="H58" s="7" t="s">
        <v>9</v>
      </c>
    </row>
    <row r="59" spans="1:8" ht="15" customHeight="1">
      <c r="A59" s="5">
        <v>57</v>
      </c>
      <c r="B59" s="6" t="str">
        <f>"陆蕾"</f>
        <v>陆蕾</v>
      </c>
      <c r="C59" s="6" t="str">
        <f t="shared" si="30"/>
        <v>女</v>
      </c>
      <c r="D59" s="6" t="str">
        <f>"1995-12-17"</f>
        <v>1995-12-17</v>
      </c>
      <c r="E59" s="6" t="str">
        <f>"大学本科学历"</f>
        <v>大学本科学历</v>
      </c>
      <c r="F59" s="6" t="str">
        <f>"管理学学位"</f>
        <v>管理学学位</v>
      </c>
      <c r="G59" s="6" t="str">
        <f>"工程管理"</f>
        <v>工程管理</v>
      </c>
      <c r="H59" s="7" t="s">
        <v>9</v>
      </c>
    </row>
    <row r="60" spans="1:8" ht="15" customHeight="1">
      <c r="A60" s="5">
        <v>58</v>
      </c>
      <c r="B60" s="6" t="str">
        <f>"林诗放"</f>
        <v>林诗放</v>
      </c>
      <c r="C60" s="6" t="str">
        <f t="shared" si="31"/>
        <v>男</v>
      </c>
      <c r="D60" s="6" t="str">
        <f>"1999-10-01"</f>
        <v>1999-10-01</v>
      </c>
      <c r="E60" s="6" t="str">
        <f t="shared" si="32"/>
        <v>本科</v>
      </c>
      <c r="F60" s="6" t="str">
        <f>"农学学士"</f>
        <v>农学学士</v>
      </c>
      <c r="G60" s="6" t="str">
        <f>"种子科学与工程"</f>
        <v>种子科学与工程</v>
      </c>
      <c r="H60" s="7" t="s">
        <v>9</v>
      </c>
    </row>
    <row r="61" spans="1:8" ht="15" customHeight="1">
      <c r="A61" s="5">
        <v>59</v>
      </c>
      <c r="B61" s="6" t="str">
        <f>"曹珊珊"</f>
        <v>曹珊珊</v>
      </c>
      <c r="C61" s="6" t="str">
        <f t="shared" si="30"/>
        <v>女</v>
      </c>
      <c r="D61" s="6" t="str">
        <f>"1991-08-05"</f>
        <v>1991-08-05</v>
      </c>
      <c r="E61" s="6" t="str">
        <f t="shared" si="32"/>
        <v>本科</v>
      </c>
      <c r="F61" s="6" t="str">
        <f>"管理学学士学位"</f>
        <v>管理学学士学位</v>
      </c>
      <c r="G61" s="6" t="str">
        <f>"市场营销"</f>
        <v>市场营销</v>
      </c>
      <c r="H61" s="7" t="s">
        <v>9</v>
      </c>
    </row>
    <row r="62" spans="1:8" ht="15" customHeight="1">
      <c r="A62" s="5">
        <v>60</v>
      </c>
      <c r="B62" s="6" t="str">
        <f>"陈圆圆"</f>
        <v>陈圆圆</v>
      </c>
      <c r="C62" s="6" t="str">
        <f t="shared" si="30"/>
        <v>女</v>
      </c>
      <c r="D62" s="6" t="str">
        <f>"1995-08-28"</f>
        <v>1995-08-28</v>
      </c>
      <c r="E62" s="6" t="str">
        <f>"大学本科"</f>
        <v>大学本科</v>
      </c>
      <c r="F62" s="6" t="str">
        <f aca="true" t="shared" si="33" ref="F62:F68">"管理学学士"</f>
        <v>管理学学士</v>
      </c>
      <c r="G62" s="6" t="str">
        <f>"旅游管理"</f>
        <v>旅游管理</v>
      </c>
      <c r="H62" s="7" t="s">
        <v>9</v>
      </c>
    </row>
    <row r="63" spans="1:8" ht="15" customHeight="1">
      <c r="A63" s="5">
        <v>61</v>
      </c>
      <c r="B63" s="6" t="str">
        <f>"黄宗文"</f>
        <v>黄宗文</v>
      </c>
      <c r="C63" s="6" t="str">
        <f t="shared" si="31"/>
        <v>男</v>
      </c>
      <c r="D63" s="6" t="str">
        <f>"1995-11-13"</f>
        <v>1995-11-13</v>
      </c>
      <c r="E63" s="6" t="str">
        <f aca="true" t="shared" si="34" ref="E63:E65">"本科"</f>
        <v>本科</v>
      </c>
      <c r="F63" s="6" t="str">
        <f>"工学学士"</f>
        <v>工学学士</v>
      </c>
      <c r="G63" s="6" t="str">
        <f>"土木工程"</f>
        <v>土木工程</v>
      </c>
      <c r="H63" s="7" t="s">
        <v>9</v>
      </c>
    </row>
    <row r="64" spans="1:8" ht="15" customHeight="1">
      <c r="A64" s="5">
        <v>62</v>
      </c>
      <c r="B64" s="6" t="str">
        <f>"曹泽文"</f>
        <v>曹泽文</v>
      </c>
      <c r="C64" s="6" t="str">
        <f aca="true" t="shared" si="35" ref="C64:C69">"女"</f>
        <v>女</v>
      </c>
      <c r="D64" s="6" t="str">
        <f>"1996-10-13"</f>
        <v>1996-10-13</v>
      </c>
      <c r="E64" s="6" t="str">
        <f t="shared" si="34"/>
        <v>本科</v>
      </c>
      <c r="F64" s="6" t="str">
        <f t="shared" si="33"/>
        <v>管理学学士</v>
      </c>
      <c r="G64" s="6" t="str">
        <f>"市场营销"</f>
        <v>市场营销</v>
      </c>
      <c r="H64" s="7" t="s">
        <v>9</v>
      </c>
    </row>
    <row r="65" spans="1:8" ht="15" customHeight="1">
      <c r="A65" s="5">
        <v>63</v>
      </c>
      <c r="B65" s="6" t="str">
        <f>"白莹雪"</f>
        <v>白莹雪</v>
      </c>
      <c r="C65" s="6" t="str">
        <f t="shared" si="35"/>
        <v>女</v>
      </c>
      <c r="D65" s="6" t="str">
        <f>"1999-06-21"</f>
        <v>1999-06-21</v>
      </c>
      <c r="E65" s="6" t="str">
        <f t="shared" si="34"/>
        <v>本科</v>
      </c>
      <c r="F65" s="6" t="str">
        <f>"经济学学士"</f>
        <v>经济学学士</v>
      </c>
      <c r="G65" s="6" t="str">
        <f>"财政学"</f>
        <v>财政学</v>
      </c>
      <c r="H65" s="7" t="s">
        <v>9</v>
      </c>
    </row>
    <row r="66" spans="1:8" ht="15" customHeight="1">
      <c r="A66" s="5">
        <v>64</v>
      </c>
      <c r="B66" s="6" t="str">
        <f>"钟同鹏"</f>
        <v>钟同鹏</v>
      </c>
      <c r="C66" s="6" t="str">
        <f>"男"</f>
        <v>男</v>
      </c>
      <c r="D66" s="6" t="str">
        <f>"2001-05-04"</f>
        <v>2001-05-04</v>
      </c>
      <c r="E66" s="6" t="str">
        <f>"大学本科"</f>
        <v>大学本科</v>
      </c>
      <c r="F66" s="6" t="str">
        <f>"工学学士"</f>
        <v>工学学士</v>
      </c>
      <c r="G66" s="6" t="str">
        <f>"环境工程"</f>
        <v>环境工程</v>
      </c>
      <c r="H66" s="7" t="s">
        <v>9</v>
      </c>
    </row>
    <row r="67" spans="1:8" ht="15" customHeight="1">
      <c r="A67" s="5">
        <v>65</v>
      </c>
      <c r="B67" s="6" t="str">
        <f>"薛丽斌"</f>
        <v>薛丽斌</v>
      </c>
      <c r="C67" s="6" t="str">
        <f t="shared" si="35"/>
        <v>女</v>
      </c>
      <c r="D67" s="6" t="str">
        <f>"1997-10-02"</f>
        <v>1997-10-02</v>
      </c>
      <c r="E67" s="6" t="str">
        <f aca="true" t="shared" si="36" ref="E67:E70">"本科"</f>
        <v>本科</v>
      </c>
      <c r="F67" s="6" t="str">
        <f t="shared" si="33"/>
        <v>管理学学士</v>
      </c>
      <c r="G67" s="6" t="str">
        <f>"酒店管理"</f>
        <v>酒店管理</v>
      </c>
      <c r="H67" s="7" t="s">
        <v>9</v>
      </c>
    </row>
    <row r="68" spans="1:8" ht="15" customHeight="1">
      <c r="A68" s="5">
        <v>66</v>
      </c>
      <c r="B68" s="6" t="str">
        <f>"蒋海圆"</f>
        <v>蒋海圆</v>
      </c>
      <c r="C68" s="6" t="str">
        <f t="shared" si="35"/>
        <v>女</v>
      </c>
      <c r="D68" s="6" t="str">
        <f>"1999-01-22"</f>
        <v>1999-01-22</v>
      </c>
      <c r="E68" s="6" t="str">
        <f t="shared" si="36"/>
        <v>本科</v>
      </c>
      <c r="F68" s="6" t="str">
        <f t="shared" si="33"/>
        <v>管理学学士</v>
      </c>
      <c r="G68" s="6" t="str">
        <f>"物流管理"</f>
        <v>物流管理</v>
      </c>
      <c r="H68" s="7" t="s">
        <v>9</v>
      </c>
    </row>
    <row r="69" spans="1:8" ht="15" customHeight="1">
      <c r="A69" s="5">
        <v>67</v>
      </c>
      <c r="B69" s="6" t="str">
        <f>"徐斯桦"</f>
        <v>徐斯桦</v>
      </c>
      <c r="C69" s="6" t="str">
        <f t="shared" si="35"/>
        <v>女</v>
      </c>
      <c r="D69" s="6" t="str">
        <f>"1990-12-17"</f>
        <v>1990-12-17</v>
      </c>
      <c r="E69" s="6" t="str">
        <f t="shared" si="36"/>
        <v>本科</v>
      </c>
      <c r="F69" s="6" t="str">
        <f>"管理学学士学位"</f>
        <v>管理学学士学位</v>
      </c>
      <c r="G69" s="6" t="str">
        <f>"财务管理"</f>
        <v>财务管理</v>
      </c>
      <c r="H69" s="7" t="s">
        <v>9</v>
      </c>
    </row>
    <row r="70" spans="1:8" ht="15" customHeight="1">
      <c r="A70" s="5">
        <v>68</v>
      </c>
      <c r="B70" s="6" t="str">
        <f>"林以政"</f>
        <v>林以政</v>
      </c>
      <c r="C70" s="6" t="str">
        <f>"男"</f>
        <v>男</v>
      </c>
      <c r="D70" s="6" t="str">
        <f>"1997-04-27"</f>
        <v>1997-04-27</v>
      </c>
      <c r="E70" s="6" t="str">
        <f t="shared" si="36"/>
        <v>本科</v>
      </c>
      <c r="F70" s="6" t="str">
        <f>"工学学士"</f>
        <v>工学学士</v>
      </c>
      <c r="G70" s="6" t="str">
        <f>"计算机科学与技术"</f>
        <v>计算机科学与技术</v>
      </c>
      <c r="H70" s="7" t="s">
        <v>9</v>
      </c>
    </row>
    <row r="71" spans="1:8" ht="15" customHeight="1">
      <c r="A71" s="5">
        <v>69</v>
      </c>
      <c r="B71" s="6" t="str">
        <f>"韦锦连"</f>
        <v>韦锦连</v>
      </c>
      <c r="C71" s="6" t="str">
        <f aca="true" t="shared" si="37" ref="C71:C75">"女"</f>
        <v>女</v>
      </c>
      <c r="D71" s="6" t="str">
        <f>"1989-04-12"</f>
        <v>1989-04-12</v>
      </c>
      <c r="E71" s="6" t="str">
        <f aca="true" t="shared" si="38" ref="E71:E75">"大学本科"</f>
        <v>大学本科</v>
      </c>
      <c r="F71" s="6" t="str">
        <f aca="true" t="shared" si="39" ref="F71:F77">"管理学学士"</f>
        <v>管理学学士</v>
      </c>
      <c r="G71" s="6" t="str">
        <f>"市场营销（电子商务方向）"</f>
        <v>市场营销（电子商务方向）</v>
      </c>
      <c r="H71" s="7" t="s">
        <v>9</v>
      </c>
    </row>
    <row r="72" spans="1:8" ht="15" customHeight="1">
      <c r="A72" s="5">
        <v>70</v>
      </c>
      <c r="B72" s="6" t="str">
        <f>"韩丁鑫"</f>
        <v>韩丁鑫</v>
      </c>
      <c r="C72" s="6" t="str">
        <f t="shared" si="37"/>
        <v>女</v>
      </c>
      <c r="D72" s="6" t="str">
        <f>"1999-06-08"</f>
        <v>1999-06-08</v>
      </c>
      <c r="E72" s="6" t="str">
        <f>"大学本科学历"</f>
        <v>大学本科学历</v>
      </c>
      <c r="F72" s="6" t="str">
        <f>"工学学位"</f>
        <v>工学学位</v>
      </c>
      <c r="G72" s="6" t="str">
        <f>"建筑环境与能源应用工程"</f>
        <v>建筑环境与能源应用工程</v>
      </c>
      <c r="H72" s="7" t="s">
        <v>9</v>
      </c>
    </row>
    <row r="73" spans="1:8" ht="15" customHeight="1">
      <c r="A73" s="5">
        <v>71</v>
      </c>
      <c r="B73" s="6" t="str">
        <f>"陈功毓"</f>
        <v>陈功毓</v>
      </c>
      <c r="C73" s="6" t="str">
        <f aca="true" t="shared" si="40" ref="C73:C78">"男"</f>
        <v>男</v>
      </c>
      <c r="D73" s="6" t="str">
        <f>"1998-03-12"</f>
        <v>1998-03-12</v>
      </c>
      <c r="E73" s="6" t="str">
        <f t="shared" si="38"/>
        <v>大学本科</v>
      </c>
      <c r="F73" s="6" t="str">
        <f>"学士学位"</f>
        <v>学士学位</v>
      </c>
      <c r="G73" s="6" t="str">
        <f>"电子商务"</f>
        <v>电子商务</v>
      </c>
      <c r="H73" s="7" t="s">
        <v>9</v>
      </c>
    </row>
    <row r="74" spans="1:8" ht="15" customHeight="1">
      <c r="A74" s="5">
        <v>72</v>
      </c>
      <c r="B74" s="6" t="str">
        <f>"郑海玲"</f>
        <v>郑海玲</v>
      </c>
      <c r="C74" s="6" t="str">
        <f t="shared" si="37"/>
        <v>女</v>
      </c>
      <c r="D74" s="6" t="str">
        <f>"1993-03-28"</f>
        <v>1993-03-28</v>
      </c>
      <c r="E74" s="6" t="str">
        <f>"大学本科学历"</f>
        <v>大学本科学历</v>
      </c>
      <c r="F74" s="6" t="str">
        <f t="shared" si="39"/>
        <v>管理学学士</v>
      </c>
      <c r="G74" s="6" t="str">
        <f>"会计学"</f>
        <v>会计学</v>
      </c>
      <c r="H74" s="7" t="s">
        <v>9</v>
      </c>
    </row>
    <row r="75" spans="1:8" ht="15" customHeight="1">
      <c r="A75" s="5">
        <v>73</v>
      </c>
      <c r="B75" s="6" t="str">
        <f>"赵嘉玮"</f>
        <v>赵嘉玮</v>
      </c>
      <c r="C75" s="6" t="str">
        <f t="shared" si="37"/>
        <v>女</v>
      </c>
      <c r="D75" s="6" t="str">
        <f>"1995-11-21"</f>
        <v>1995-11-21</v>
      </c>
      <c r="E75" s="6" t="str">
        <f t="shared" si="38"/>
        <v>大学本科</v>
      </c>
      <c r="F75" s="6" t="str">
        <f>"经济学学士"</f>
        <v>经济学学士</v>
      </c>
      <c r="G75" s="6" t="str">
        <f>"金融学"</f>
        <v>金融学</v>
      </c>
      <c r="H75" s="7" t="s">
        <v>9</v>
      </c>
    </row>
    <row r="76" spans="1:8" ht="15" customHeight="1">
      <c r="A76" s="5">
        <v>74</v>
      </c>
      <c r="B76" s="6" t="str">
        <f>"孙阳君"</f>
        <v>孙阳君</v>
      </c>
      <c r="C76" s="6" t="str">
        <f t="shared" si="40"/>
        <v>男</v>
      </c>
      <c r="D76" s="6" t="str">
        <f>"1992-10-18"</f>
        <v>1992-10-18</v>
      </c>
      <c r="E76" s="6" t="str">
        <f aca="true" t="shared" si="41" ref="E76:E82">"本科"</f>
        <v>本科</v>
      </c>
      <c r="F76" s="6" t="str">
        <f t="shared" si="39"/>
        <v>管理学学士</v>
      </c>
      <c r="G76" s="6" t="str">
        <f>"房地产经营管理"</f>
        <v>房地产经营管理</v>
      </c>
      <c r="H76" s="7" t="s">
        <v>9</v>
      </c>
    </row>
    <row r="77" spans="1:8" ht="15" customHeight="1">
      <c r="A77" s="5">
        <v>75</v>
      </c>
      <c r="B77" s="6" t="str">
        <f>"吴孙香"</f>
        <v>吴孙香</v>
      </c>
      <c r="C77" s="6" t="str">
        <f aca="true" t="shared" si="42" ref="C77:C80">"女"</f>
        <v>女</v>
      </c>
      <c r="D77" s="6" t="str">
        <f>"1993-12-05"</f>
        <v>1993-12-05</v>
      </c>
      <c r="E77" s="6" t="str">
        <f t="shared" si="41"/>
        <v>本科</v>
      </c>
      <c r="F77" s="6" t="str">
        <f t="shared" si="39"/>
        <v>管理学学士</v>
      </c>
      <c r="G77" s="6" t="str">
        <f>"旅游管理"</f>
        <v>旅游管理</v>
      </c>
      <c r="H77" s="7" t="s">
        <v>9</v>
      </c>
    </row>
    <row r="78" spans="1:8" ht="15" customHeight="1">
      <c r="A78" s="5">
        <v>76</v>
      </c>
      <c r="B78" s="6" t="str">
        <f>"陈灵"</f>
        <v>陈灵</v>
      </c>
      <c r="C78" s="6" t="str">
        <f t="shared" si="40"/>
        <v>男</v>
      </c>
      <c r="D78" s="6" t="str">
        <f>"1994-10-12"</f>
        <v>1994-10-12</v>
      </c>
      <c r="E78" s="6" t="str">
        <f>"大学本科学历"</f>
        <v>大学本科学历</v>
      </c>
      <c r="F78" s="6" t="str">
        <f>"工学学士"</f>
        <v>工学学士</v>
      </c>
      <c r="G78" s="6" t="str">
        <f>"土木工程"</f>
        <v>土木工程</v>
      </c>
      <c r="H78" s="7" t="s">
        <v>9</v>
      </c>
    </row>
    <row r="79" spans="1:8" ht="15" customHeight="1">
      <c r="A79" s="5">
        <v>77</v>
      </c>
      <c r="B79" s="6" t="str">
        <f>"符庆莉"</f>
        <v>符庆莉</v>
      </c>
      <c r="C79" s="6" t="str">
        <f t="shared" si="42"/>
        <v>女</v>
      </c>
      <c r="D79" s="6" t="str">
        <f>"1989-10-13"</f>
        <v>1989-10-13</v>
      </c>
      <c r="E79" s="6" t="str">
        <f t="shared" si="41"/>
        <v>本科</v>
      </c>
      <c r="F79" s="6" t="str">
        <f>"教育学学士"</f>
        <v>教育学学士</v>
      </c>
      <c r="G79" s="6" t="str">
        <f>"文秘教育"</f>
        <v>文秘教育</v>
      </c>
      <c r="H79" s="7" t="s">
        <v>9</v>
      </c>
    </row>
    <row r="80" spans="1:8" ht="15" customHeight="1">
      <c r="A80" s="5">
        <v>78</v>
      </c>
      <c r="B80" s="6" t="str">
        <f>"赵园桃"</f>
        <v>赵园桃</v>
      </c>
      <c r="C80" s="6" t="str">
        <f t="shared" si="42"/>
        <v>女</v>
      </c>
      <c r="D80" s="6" t="str">
        <f>"1995-07-18"</f>
        <v>1995-07-18</v>
      </c>
      <c r="E80" s="6" t="str">
        <f t="shared" si="41"/>
        <v>本科</v>
      </c>
      <c r="F80" s="6" t="str">
        <f>"学士"</f>
        <v>学士</v>
      </c>
      <c r="G80" s="6" t="str">
        <f>"财务管理"</f>
        <v>财务管理</v>
      </c>
      <c r="H80" s="7" t="s">
        <v>9</v>
      </c>
    </row>
    <row r="81" spans="1:8" ht="15" customHeight="1">
      <c r="A81" s="5">
        <v>79</v>
      </c>
      <c r="B81" s="6" t="str">
        <f>"邢增智"</f>
        <v>邢增智</v>
      </c>
      <c r="C81" s="6" t="str">
        <f aca="true" t="shared" si="43" ref="C81:C83">"男"</f>
        <v>男</v>
      </c>
      <c r="D81" s="6" t="str">
        <f>"1998-11-15"</f>
        <v>1998-11-15</v>
      </c>
      <c r="E81" s="6" t="str">
        <f t="shared" si="41"/>
        <v>本科</v>
      </c>
      <c r="F81" s="6" t="str">
        <f>"管理学学士"</f>
        <v>管理学学士</v>
      </c>
      <c r="G81" s="6" t="str">
        <f>"会计学"</f>
        <v>会计学</v>
      </c>
      <c r="H81" s="7" t="s">
        <v>9</v>
      </c>
    </row>
    <row r="82" spans="1:8" ht="15" customHeight="1">
      <c r="A82" s="5">
        <v>80</v>
      </c>
      <c r="B82" s="6" t="str">
        <f>"王敦锐"</f>
        <v>王敦锐</v>
      </c>
      <c r="C82" s="6" t="str">
        <f t="shared" si="43"/>
        <v>男</v>
      </c>
      <c r="D82" s="6" t="str">
        <f>"1999-11-27"</f>
        <v>1999-11-27</v>
      </c>
      <c r="E82" s="6" t="str">
        <f t="shared" si="41"/>
        <v>本科</v>
      </c>
      <c r="F82" s="6" t="str">
        <f>"经济学学士"</f>
        <v>经济学学士</v>
      </c>
      <c r="G82" s="6" t="str">
        <f>"经济学"</f>
        <v>经济学</v>
      </c>
      <c r="H82" s="7" t="s">
        <v>9</v>
      </c>
    </row>
    <row r="83" spans="1:8" ht="15" customHeight="1">
      <c r="A83" s="5">
        <v>81</v>
      </c>
      <c r="B83" s="6" t="str">
        <f>"李焕茗"</f>
        <v>李焕茗</v>
      </c>
      <c r="C83" s="6" t="str">
        <f t="shared" si="43"/>
        <v>男</v>
      </c>
      <c r="D83" s="6" t="str">
        <f>"1999-08-23"</f>
        <v>1999-08-23</v>
      </c>
      <c r="E83" s="6" t="str">
        <f aca="true" t="shared" si="44" ref="E83:E86">"大学本科"</f>
        <v>大学本科</v>
      </c>
      <c r="F83" s="6" t="str">
        <f>"经济学学士"</f>
        <v>经济学学士</v>
      </c>
      <c r="G83" s="6" t="str">
        <f>"投资学"</f>
        <v>投资学</v>
      </c>
      <c r="H83" s="7" t="s">
        <v>9</v>
      </c>
    </row>
    <row r="84" spans="1:8" ht="15" customHeight="1">
      <c r="A84" s="5">
        <v>82</v>
      </c>
      <c r="B84" s="6" t="str">
        <f>"吴金柳"</f>
        <v>吴金柳</v>
      </c>
      <c r="C84" s="6" t="str">
        <f aca="true" t="shared" si="45" ref="C84:C87">"女"</f>
        <v>女</v>
      </c>
      <c r="D84" s="6" t="str">
        <f>"1997-11-04"</f>
        <v>1997-11-04</v>
      </c>
      <c r="E84" s="6" t="str">
        <f aca="true" t="shared" si="46" ref="E84:E90">"本科"</f>
        <v>本科</v>
      </c>
      <c r="F84" s="6" t="str">
        <f>"管理学学士"</f>
        <v>管理学学士</v>
      </c>
      <c r="G84" s="6" t="str">
        <f>"市场营销"</f>
        <v>市场营销</v>
      </c>
      <c r="H84" s="7" t="s">
        <v>9</v>
      </c>
    </row>
    <row r="85" spans="1:8" ht="15" customHeight="1">
      <c r="A85" s="5">
        <v>83</v>
      </c>
      <c r="B85" s="6" t="str">
        <f>"黎兴香"</f>
        <v>黎兴香</v>
      </c>
      <c r="C85" s="6" t="str">
        <f t="shared" si="45"/>
        <v>女</v>
      </c>
      <c r="D85" s="6" t="str">
        <f>"1994-12-04"</f>
        <v>1994-12-04</v>
      </c>
      <c r="E85" s="6" t="str">
        <f t="shared" si="44"/>
        <v>大学本科</v>
      </c>
      <c r="F85" s="6" t="str">
        <f>"农学学士"</f>
        <v>农学学士</v>
      </c>
      <c r="G85" s="6" t="str">
        <f>"植物保护(农药与农产品安全方向)"</f>
        <v>植物保护(农药与农产品安全方向)</v>
      </c>
      <c r="H85" s="7" t="s">
        <v>9</v>
      </c>
    </row>
    <row r="86" spans="1:8" ht="15" customHeight="1">
      <c r="A86" s="5">
        <v>84</v>
      </c>
      <c r="B86" s="6" t="str">
        <f>"黎品良"</f>
        <v>黎品良</v>
      </c>
      <c r="C86" s="6" t="str">
        <f aca="true" t="shared" si="47" ref="C86:C91">"男"</f>
        <v>男</v>
      </c>
      <c r="D86" s="6" t="str">
        <f>"1996-01-02"</f>
        <v>1996-01-02</v>
      </c>
      <c r="E86" s="6" t="str">
        <f t="shared" si="44"/>
        <v>大学本科</v>
      </c>
      <c r="F86" s="6" t="str">
        <f aca="true" t="shared" si="48" ref="F86:F89">"工学学士"</f>
        <v>工学学士</v>
      </c>
      <c r="G86" s="6" t="str">
        <f>"计算机科学与技术"</f>
        <v>计算机科学与技术</v>
      </c>
      <c r="H86" s="7" t="s">
        <v>9</v>
      </c>
    </row>
    <row r="87" spans="1:8" ht="15" customHeight="1">
      <c r="A87" s="5">
        <v>85</v>
      </c>
      <c r="B87" s="6" t="str">
        <f>"王丽莹"</f>
        <v>王丽莹</v>
      </c>
      <c r="C87" s="6" t="str">
        <f t="shared" si="45"/>
        <v>女</v>
      </c>
      <c r="D87" s="6" t="str">
        <f>"1998-08-28"</f>
        <v>1998-08-28</v>
      </c>
      <c r="E87" s="6" t="str">
        <f t="shared" si="46"/>
        <v>本科</v>
      </c>
      <c r="F87" s="6" t="str">
        <f aca="true" t="shared" si="49" ref="F87:F92">"管理学学士"</f>
        <v>管理学学士</v>
      </c>
      <c r="G87" s="6" t="str">
        <f>"行政管理"</f>
        <v>行政管理</v>
      </c>
      <c r="H87" s="7" t="s">
        <v>9</v>
      </c>
    </row>
    <row r="88" spans="1:8" ht="15" customHeight="1">
      <c r="A88" s="5">
        <v>86</v>
      </c>
      <c r="B88" s="6" t="str">
        <f>"王洪敏"</f>
        <v>王洪敏</v>
      </c>
      <c r="C88" s="6" t="str">
        <f t="shared" si="47"/>
        <v>男</v>
      </c>
      <c r="D88" s="6" t="str">
        <f>"1991-12-01"</f>
        <v>1991-12-01</v>
      </c>
      <c r="E88" s="6" t="str">
        <f>"大学本科"</f>
        <v>大学本科</v>
      </c>
      <c r="F88" s="6" t="str">
        <f t="shared" si="48"/>
        <v>工学学士</v>
      </c>
      <c r="G88" s="6" t="str">
        <f>"土木工程"</f>
        <v>土木工程</v>
      </c>
      <c r="H88" s="7" t="s">
        <v>9</v>
      </c>
    </row>
    <row r="89" spans="1:8" ht="15" customHeight="1">
      <c r="A89" s="5">
        <v>87</v>
      </c>
      <c r="B89" s="6" t="str">
        <f>"李如辉"</f>
        <v>李如辉</v>
      </c>
      <c r="C89" s="6" t="str">
        <f t="shared" si="47"/>
        <v>男</v>
      </c>
      <c r="D89" s="6" t="str">
        <f>"1994-02-05"</f>
        <v>1994-02-05</v>
      </c>
      <c r="E89" s="6" t="str">
        <f t="shared" si="46"/>
        <v>本科</v>
      </c>
      <c r="F89" s="6" t="str">
        <f t="shared" si="48"/>
        <v>工学学士</v>
      </c>
      <c r="G89" s="6" t="str">
        <f>"土木工程"</f>
        <v>土木工程</v>
      </c>
      <c r="H89" s="7" t="s">
        <v>9</v>
      </c>
    </row>
    <row r="90" spans="1:8" ht="15" customHeight="1">
      <c r="A90" s="5">
        <v>88</v>
      </c>
      <c r="B90" s="6" t="str">
        <f>"林壮国"</f>
        <v>林壮国</v>
      </c>
      <c r="C90" s="6" t="str">
        <f t="shared" si="47"/>
        <v>男</v>
      </c>
      <c r="D90" s="6" t="str">
        <f>"2002-09-24"</f>
        <v>2002-09-24</v>
      </c>
      <c r="E90" s="6" t="str">
        <f t="shared" si="46"/>
        <v>本科</v>
      </c>
      <c r="F90" s="6" t="str">
        <f t="shared" si="49"/>
        <v>管理学学士</v>
      </c>
      <c r="G90" s="6" t="str">
        <f>"电子商务"</f>
        <v>电子商务</v>
      </c>
      <c r="H90" s="7" t="s">
        <v>9</v>
      </c>
    </row>
    <row r="91" spans="1:8" ht="15" customHeight="1">
      <c r="A91" s="5">
        <v>89</v>
      </c>
      <c r="B91" s="6" t="str">
        <f>"林陈丰"</f>
        <v>林陈丰</v>
      </c>
      <c r="C91" s="6" t="str">
        <f t="shared" si="47"/>
        <v>男</v>
      </c>
      <c r="D91" s="6" t="str">
        <f>"1998-01-12"</f>
        <v>1998-01-12</v>
      </c>
      <c r="E91" s="6" t="str">
        <f>"大学本科"</f>
        <v>大学本科</v>
      </c>
      <c r="F91" s="6" t="str">
        <f>"工学学士"</f>
        <v>工学学士</v>
      </c>
      <c r="G91" s="6" t="str">
        <f>"网络工程"</f>
        <v>网络工程</v>
      </c>
      <c r="H91" s="7" t="s">
        <v>9</v>
      </c>
    </row>
    <row r="92" spans="1:8" ht="15" customHeight="1">
      <c r="A92" s="5">
        <v>90</v>
      </c>
      <c r="B92" s="6" t="str">
        <f>"李贤代"</f>
        <v>李贤代</v>
      </c>
      <c r="C92" s="6" t="str">
        <f aca="true" t="shared" si="50" ref="C92:C98">"女"</f>
        <v>女</v>
      </c>
      <c r="D92" s="6" t="str">
        <f>"1997-04-30"</f>
        <v>1997-04-30</v>
      </c>
      <c r="E92" s="6" t="str">
        <f aca="true" t="shared" si="51" ref="E92:E94">"本科"</f>
        <v>本科</v>
      </c>
      <c r="F92" s="6" t="str">
        <f t="shared" si="49"/>
        <v>管理学学士</v>
      </c>
      <c r="G92" s="6" t="str">
        <f>"工商管理"</f>
        <v>工商管理</v>
      </c>
      <c r="H92" s="7" t="s">
        <v>9</v>
      </c>
    </row>
    <row r="93" spans="1:8" ht="15" customHeight="1">
      <c r="A93" s="5">
        <v>91</v>
      </c>
      <c r="B93" s="6" t="str">
        <f>"羊嘉球"</f>
        <v>羊嘉球</v>
      </c>
      <c r="C93" s="6" t="str">
        <f>"男"</f>
        <v>男</v>
      </c>
      <c r="D93" s="6" t="str">
        <f>"1992-06-12"</f>
        <v>1992-06-12</v>
      </c>
      <c r="E93" s="6" t="str">
        <f t="shared" si="51"/>
        <v>本科</v>
      </c>
      <c r="F93" s="6" t="str">
        <f>"工学学士"</f>
        <v>工学学士</v>
      </c>
      <c r="G93" s="6" t="str">
        <f>"计算机科学与技术"</f>
        <v>计算机科学与技术</v>
      </c>
      <c r="H93" s="7" t="s">
        <v>9</v>
      </c>
    </row>
    <row r="94" spans="1:8" ht="15" customHeight="1">
      <c r="A94" s="5">
        <v>92</v>
      </c>
      <c r="B94" s="6" t="str">
        <f>"李长升"</f>
        <v>李长升</v>
      </c>
      <c r="C94" s="6" t="str">
        <f>"男"</f>
        <v>男</v>
      </c>
      <c r="D94" s="6" t="str">
        <f>"1999-03-01"</f>
        <v>1999-03-01</v>
      </c>
      <c r="E94" s="6" t="str">
        <f t="shared" si="51"/>
        <v>本科</v>
      </c>
      <c r="F94" s="6" t="str">
        <f aca="true" t="shared" si="52" ref="F94:F99">"管理学学士"</f>
        <v>管理学学士</v>
      </c>
      <c r="G94" s="6" t="str">
        <f>"旅游管理"</f>
        <v>旅游管理</v>
      </c>
      <c r="H94" s="7" t="s">
        <v>9</v>
      </c>
    </row>
    <row r="95" spans="1:8" ht="15" customHeight="1">
      <c r="A95" s="5">
        <v>93</v>
      </c>
      <c r="B95" s="6" t="str">
        <f>"张菊"</f>
        <v>张菊</v>
      </c>
      <c r="C95" s="6" t="str">
        <f t="shared" si="50"/>
        <v>女</v>
      </c>
      <c r="D95" s="6" t="str">
        <f>"1997-05-03"</f>
        <v>1997-05-03</v>
      </c>
      <c r="E95" s="6" t="str">
        <f>"大学本科学历"</f>
        <v>大学本科学历</v>
      </c>
      <c r="F95" s="6" t="str">
        <f t="shared" si="52"/>
        <v>管理学学士</v>
      </c>
      <c r="G95" s="6" t="str">
        <f>"会计学"</f>
        <v>会计学</v>
      </c>
      <c r="H95" s="7" t="s">
        <v>9</v>
      </c>
    </row>
    <row r="96" spans="1:8" ht="15" customHeight="1">
      <c r="A96" s="5">
        <v>94</v>
      </c>
      <c r="B96" s="6" t="str">
        <f>"刘春妹"</f>
        <v>刘春妹</v>
      </c>
      <c r="C96" s="6" t="str">
        <f t="shared" si="50"/>
        <v>女</v>
      </c>
      <c r="D96" s="6" t="str">
        <f>"1990-07-05"</f>
        <v>1990-07-05</v>
      </c>
      <c r="E96" s="6" t="str">
        <f aca="true" t="shared" si="53" ref="E96:E101">"大学本科"</f>
        <v>大学本科</v>
      </c>
      <c r="F96" s="6" t="str">
        <f>"经济学学士"</f>
        <v>经济学学士</v>
      </c>
      <c r="G96" s="6" t="str">
        <f>"国际经济与贸易"</f>
        <v>国际经济与贸易</v>
      </c>
      <c r="H96" s="7" t="s">
        <v>9</v>
      </c>
    </row>
    <row r="97" spans="1:8" ht="15" customHeight="1">
      <c r="A97" s="5">
        <v>95</v>
      </c>
      <c r="B97" s="6" t="str">
        <f>"司徒慧敏"</f>
        <v>司徒慧敏</v>
      </c>
      <c r="C97" s="6" t="str">
        <f t="shared" si="50"/>
        <v>女</v>
      </c>
      <c r="D97" s="6" t="str">
        <f>"1998-02-24"</f>
        <v>1998-02-24</v>
      </c>
      <c r="E97" s="6" t="str">
        <f>"本科全日制"</f>
        <v>本科全日制</v>
      </c>
      <c r="F97" s="6" t="str">
        <f>"文学学士"</f>
        <v>文学学士</v>
      </c>
      <c r="G97" s="6" t="str">
        <f>"汉语言文学"</f>
        <v>汉语言文学</v>
      </c>
      <c r="H97" s="7" t="s">
        <v>9</v>
      </c>
    </row>
    <row r="98" spans="1:8" ht="15" customHeight="1">
      <c r="A98" s="5">
        <v>96</v>
      </c>
      <c r="B98" s="6" t="str">
        <f>"徐英梅"</f>
        <v>徐英梅</v>
      </c>
      <c r="C98" s="6" t="str">
        <f t="shared" si="50"/>
        <v>女</v>
      </c>
      <c r="D98" s="6" t="str">
        <f>"1998-11-12"</f>
        <v>1998-11-12</v>
      </c>
      <c r="E98" s="6" t="str">
        <f>"大学本科学历"</f>
        <v>大学本科学历</v>
      </c>
      <c r="F98" s="6" t="str">
        <f>"管理学学生"</f>
        <v>管理学学生</v>
      </c>
      <c r="G98" s="6" t="str">
        <f>"工商管理"</f>
        <v>工商管理</v>
      </c>
      <c r="H98" s="7" t="s">
        <v>9</v>
      </c>
    </row>
    <row r="99" spans="1:8" ht="15" customHeight="1">
      <c r="A99" s="5">
        <v>97</v>
      </c>
      <c r="B99" s="6" t="str">
        <f>"文良春"</f>
        <v>文良春</v>
      </c>
      <c r="C99" s="6" t="str">
        <f aca="true" t="shared" si="54" ref="C99:C102">"男"</f>
        <v>男</v>
      </c>
      <c r="D99" s="6" t="str">
        <f>"1995-11-25"</f>
        <v>1995-11-25</v>
      </c>
      <c r="E99" s="6" t="str">
        <f t="shared" si="53"/>
        <v>大学本科</v>
      </c>
      <c r="F99" s="6" t="str">
        <f t="shared" si="52"/>
        <v>管理学学士</v>
      </c>
      <c r="G99" s="6" t="str">
        <f>"管理科学"</f>
        <v>管理科学</v>
      </c>
      <c r="H99" s="7" t="s">
        <v>9</v>
      </c>
    </row>
    <row r="100" spans="1:8" ht="15" customHeight="1">
      <c r="A100" s="5">
        <v>98</v>
      </c>
      <c r="B100" s="6" t="str">
        <f>"谢宗燃"</f>
        <v>谢宗燃</v>
      </c>
      <c r="C100" s="6" t="str">
        <f t="shared" si="54"/>
        <v>男</v>
      </c>
      <c r="D100" s="6" t="str">
        <f>"1995-04-04"</f>
        <v>1995-04-04</v>
      </c>
      <c r="E100" s="6" t="str">
        <f aca="true" t="shared" si="55" ref="E100:E107">"本科"</f>
        <v>本科</v>
      </c>
      <c r="F100" s="6" t="str">
        <f>"工学学士"</f>
        <v>工学学士</v>
      </c>
      <c r="G100" s="6" t="str">
        <f>"土木工程"</f>
        <v>土木工程</v>
      </c>
      <c r="H100" s="7" t="s">
        <v>9</v>
      </c>
    </row>
    <row r="101" spans="1:8" ht="15" customHeight="1">
      <c r="A101" s="5">
        <v>99</v>
      </c>
      <c r="B101" s="6" t="str">
        <f>"侯旭涛"</f>
        <v>侯旭涛</v>
      </c>
      <c r="C101" s="6" t="str">
        <f t="shared" si="54"/>
        <v>男</v>
      </c>
      <c r="D101" s="6" t="str">
        <f>"1994-04-17"</f>
        <v>1994-04-17</v>
      </c>
      <c r="E101" s="6" t="str">
        <f t="shared" si="53"/>
        <v>大学本科</v>
      </c>
      <c r="F101" s="6" t="str">
        <f aca="true" t="shared" si="56" ref="F101:F103">"管理学学士"</f>
        <v>管理学学士</v>
      </c>
      <c r="G101" s="6" t="str">
        <f>"会计学（项目评估师方向）"</f>
        <v>会计学（项目评估师方向）</v>
      </c>
      <c r="H101" s="7" t="s">
        <v>9</v>
      </c>
    </row>
    <row r="102" spans="1:8" ht="15" customHeight="1">
      <c r="A102" s="5">
        <v>100</v>
      </c>
      <c r="B102" s="6" t="str">
        <f>"周始鹏"</f>
        <v>周始鹏</v>
      </c>
      <c r="C102" s="6" t="str">
        <f t="shared" si="54"/>
        <v>男</v>
      </c>
      <c r="D102" s="6" t="str">
        <f>"1996-08-21"</f>
        <v>1996-08-21</v>
      </c>
      <c r="E102" s="6" t="str">
        <f t="shared" si="55"/>
        <v>本科</v>
      </c>
      <c r="F102" s="6" t="str">
        <f t="shared" si="56"/>
        <v>管理学学士</v>
      </c>
      <c r="G102" s="6" t="str">
        <f>"电子商务"</f>
        <v>电子商务</v>
      </c>
      <c r="H102" s="7" t="s">
        <v>9</v>
      </c>
    </row>
    <row r="103" spans="1:8" ht="15" customHeight="1">
      <c r="A103" s="5">
        <v>101</v>
      </c>
      <c r="B103" s="6" t="str">
        <f>"符芳菊"</f>
        <v>符芳菊</v>
      </c>
      <c r="C103" s="6" t="str">
        <f aca="true" t="shared" si="57" ref="C103:C106">"女"</f>
        <v>女</v>
      </c>
      <c r="D103" s="6" t="str">
        <f>"1998-10-12"</f>
        <v>1998-10-12</v>
      </c>
      <c r="E103" s="6" t="str">
        <f t="shared" si="55"/>
        <v>本科</v>
      </c>
      <c r="F103" s="6" t="str">
        <f t="shared" si="56"/>
        <v>管理学学士</v>
      </c>
      <c r="G103" s="6" t="str">
        <f>"行政管理"</f>
        <v>行政管理</v>
      </c>
      <c r="H103" s="7" t="s">
        <v>9</v>
      </c>
    </row>
    <row r="104" spans="1:8" ht="15" customHeight="1">
      <c r="A104" s="5">
        <v>102</v>
      </c>
      <c r="B104" s="6" t="str">
        <f>"陈惠天"</f>
        <v>陈惠天</v>
      </c>
      <c r="C104" s="6" t="str">
        <f t="shared" si="57"/>
        <v>女</v>
      </c>
      <c r="D104" s="6" t="str">
        <f>"1999-05-17"</f>
        <v>1999-05-17</v>
      </c>
      <c r="E104" s="6" t="str">
        <f t="shared" si="55"/>
        <v>本科</v>
      </c>
      <c r="F104" s="6" t="str">
        <f>"农学学士"</f>
        <v>农学学士</v>
      </c>
      <c r="G104" s="6" t="str">
        <f>"园艺"</f>
        <v>园艺</v>
      </c>
      <c r="H104" s="7" t="s">
        <v>9</v>
      </c>
    </row>
    <row r="105" spans="1:8" ht="15" customHeight="1">
      <c r="A105" s="5">
        <v>103</v>
      </c>
      <c r="B105" s="6" t="str">
        <f>"赵君瑶"</f>
        <v>赵君瑶</v>
      </c>
      <c r="C105" s="6" t="str">
        <f t="shared" si="57"/>
        <v>女</v>
      </c>
      <c r="D105" s="6" t="str">
        <f>"2000-03-07"</f>
        <v>2000-03-07</v>
      </c>
      <c r="E105" s="6" t="str">
        <f t="shared" si="55"/>
        <v>本科</v>
      </c>
      <c r="F105" s="6" t="str">
        <f>"农学学士"</f>
        <v>农学学士</v>
      </c>
      <c r="G105" s="6" t="str">
        <f>"园林"</f>
        <v>园林</v>
      </c>
      <c r="H105" s="7" t="s">
        <v>9</v>
      </c>
    </row>
    <row r="106" spans="1:8" ht="15" customHeight="1">
      <c r="A106" s="5">
        <v>104</v>
      </c>
      <c r="B106" s="6" t="str">
        <f>"王明英"</f>
        <v>王明英</v>
      </c>
      <c r="C106" s="6" t="str">
        <f t="shared" si="57"/>
        <v>女</v>
      </c>
      <c r="D106" s="6" t="str">
        <f>"1997-05-05"</f>
        <v>1997-05-05</v>
      </c>
      <c r="E106" s="6" t="str">
        <f t="shared" si="55"/>
        <v>本科</v>
      </c>
      <c r="F106" s="6" t="str">
        <f>"学士"</f>
        <v>学士</v>
      </c>
      <c r="G106" s="6" t="str">
        <f>"旅游管理"</f>
        <v>旅游管理</v>
      </c>
      <c r="H106" s="7" t="s">
        <v>9</v>
      </c>
    </row>
    <row r="107" spans="1:8" ht="15" customHeight="1">
      <c r="A107" s="5">
        <v>105</v>
      </c>
      <c r="B107" s="6" t="str">
        <f>"陈运挺"</f>
        <v>陈运挺</v>
      </c>
      <c r="C107" s="6" t="str">
        <f aca="true" t="shared" si="58" ref="C107:C110">"男"</f>
        <v>男</v>
      </c>
      <c r="D107" s="6" t="str">
        <f>"1996-12-15"</f>
        <v>1996-12-15</v>
      </c>
      <c r="E107" s="6" t="str">
        <f t="shared" si="55"/>
        <v>本科</v>
      </c>
      <c r="F107" s="6" t="str">
        <f>"工学学士"</f>
        <v>工学学士</v>
      </c>
      <c r="G107" s="6" t="str">
        <f>"风景园林（园林工程技术方向）"</f>
        <v>风景园林（园林工程技术方向）</v>
      </c>
      <c r="H107" s="7" t="s">
        <v>9</v>
      </c>
    </row>
    <row r="108" spans="1:8" ht="15" customHeight="1">
      <c r="A108" s="5">
        <v>106</v>
      </c>
      <c r="B108" s="6" t="str">
        <f>"梁国栋"</f>
        <v>梁国栋</v>
      </c>
      <c r="C108" s="6" t="str">
        <f t="shared" si="58"/>
        <v>男</v>
      </c>
      <c r="D108" s="6" t="str">
        <f>"1994-12-12"</f>
        <v>1994-12-12</v>
      </c>
      <c r="E108" s="6" t="str">
        <f>"大学本科"</f>
        <v>大学本科</v>
      </c>
      <c r="F108" s="6" t="str">
        <f>"管理学学士"</f>
        <v>管理学学士</v>
      </c>
      <c r="G108" s="6" t="str">
        <f>"电子商务"</f>
        <v>电子商务</v>
      </c>
      <c r="H108" s="7" t="s">
        <v>9</v>
      </c>
    </row>
    <row r="109" spans="1:8" ht="15" customHeight="1">
      <c r="A109" s="5">
        <v>107</v>
      </c>
      <c r="B109" s="6" t="str">
        <f>"李梓娇"</f>
        <v>李梓娇</v>
      </c>
      <c r="C109" s="6" t="str">
        <f aca="true" t="shared" si="59" ref="C109:C116">"女"</f>
        <v>女</v>
      </c>
      <c r="D109" s="6" t="str">
        <f>"1997-03-16"</f>
        <v>1997-03-16</v>
      </c>
      <c r="E109" s="6" t="str">
        <f aca="true" t="shared" si="60" ref="E109:E112">"本科"</f>
        <v>本科</v>
      </c>
      <c r="F109" s="6" t="str">
        <f>"经济学学士"</f>
        <v>经济学学士</v>
      </c>
      <c r="G109" s="6" t="str">
        <f>"国际经济与贸易"</f>
        <v>国际经济与贸易</v>
      </c>
      <c r="H109" s="7" t="s">
        <v>9</v>
      </c>
    </row>
    <row r="110" spans="1:8" ht="15" customHeight="1">
      <c r="A110" s="5">
        <v>108</v>
      </c>
      <c r="B110" s="6" t="str">
        <f>"黎祺昕"</f>
        <v>黎祺昕</v>
      </c>
      <c r="C110" s="6" t="str">
        <f t="shared" si="58"/>
        <v>男</v>
      </c>
      <c r="D110" s="6" t="str">
        <f>"1997-02-09"</f>
        <v>1997-02-09</v>
      </c>
      <c r="E110" s="6" t="str">
        <f t="shared" si="60"/>
        <v>本科</v>
      </c>
      <c r="F110" s="6" t="str">
        <f>"工学学士"</f>
        <v>工学学士</v>
      </c>
      <c r="G110" s="6" t="str">
        <f>"城乡规划"</f>
        <v>城乡规划</v>
      </c>
      <c r="H110" s="7" t="s">
        <v>9</v>
      </c>
    </row>
    <row r="111" spans="1:8" ht="15" customHeight="1">
      <c r="A111" s="5">
        <v>109</v>
      </c>
      <c r="B111" s="6" t="str">
        <f>"吴清雅"</f>
        <v>吴清雅</v>
      </c>
      <c r="C111" s="6" t="str">
        <f t="shared" si="59"/>
        <v>女</v>
      </c>
      <c r="D111" s="6" t="str">
        <f>"1998-06-16"</f>
        <v>1998-06-16</v>
      </c>
      <c r="E111" s="6" t="str">
        <f t="shared" si="60"/>
        <v>本科</v>
      </c>
      <c r="F111" s="6" t="str">
        <f aca="true" t="shared" si="61" ref="F111:F116">"管理学学士学位"</f>
        <v>管理学学士学位</v>
      </c>
      <c r="G111" s="6" t="str">
        <f>"市场营销"</f>
        <v>市场营销</v>
      </c>
      <c r="H111" s="7" t="s">
        <v>9</v>
      </c>
    </row>
    <row r="112" spans="1:8" ht="15" customHeight="1">
      <c r="A112" s="5">
        <v>110</v>
      </c>
      <c r="B112" s="6" t="str">
        <f>"王世标"</f>
        <v>王世标</v>
      </c>
      <c r="C112" s="6" t="str">
        <f>"男"</f>
        <v>男</v>
      </c>
      <c r="D112" s="6" t="str">
        <f>"1999-08-24"</f>
        <v>1999-08-24</v>
      </c>
      <c r="E112" s="6" t="str">
        <f t="shared" si="60"/>
        <v>本科</v>
      </c>
      <c r="F112" s="6" t="str">
        <f>"管理学学士"</f>
        <v>管理学学士</v>
      </c>
      <c r="G112" s="6" t="str">
        <f>"旅游管理"</f>
        <v>旅游管理</v>
      </c>
      <c r="H112" s="7" t="s">
        <v>9</v>
      </c>
    </row>
    <row r="113" spans="1:8" ht="15" customHeight="1">
      <c r="A113" s="5">
        <v>111</v>
      </c>
      <c r="B113" s="6" t="str">
        <f>"黄其美"</f>
        <v>黄其美</v>
      </c>
      <c r="C113" s="6" t="str">
        <f t="shared" si="59"/>
        <v>女</v>
      </c>
      <c r="D113" s="6" t="str">
        <f>"1995-07-27"</f>
        <v>1995-07-27</v>
      </c>
      <c r="E113" s="6" t="str">
        <f>"统招本科"</f>
        <v>统招本科</v>
      </c>
      <c r="F113" s="6" t="str">
        <f t="shared" si="61"/>
        <v>管理学学士学位</v>
      </c>
      <c r="G113" s="6" t="str">
        <f>"旅游管理"</f>
        <v>旅游管理</v>
      </c>
      <c r="H113" s="7" t="s">
        <v>9</v>
      </c>
    </row>
    <row r="114" spans="1:8" ht="15" customHeight="1">
      <c r="A114" s="5">
        <v>112</v>
      </c>
      <c r="B114" s="6" t="str">
        <f>"羊位婧"</f>
        <v>羊位婧</v>
      </c>
      <c r="C114" s="6" t="str">
        <f t="shared" si="59"/>
        <v>女</v>
      </c>
      <c r="D114" s="6" t="str">
        <f>"2000-11-09"</f>
        <v>2000-11-09</v>
      </c>
      <c r="E114" s="6" t="str">
        <f aca="true" t="shared" si="62" ref="E114:E116">"大学本科学历"</f>
        <v>大学本科学历</v>
      </c>
      <c r="F114" s="6" t="str">
        <f>"文学学士"</f>
        <v>文学学士</v>
      </c>
      <c r="G114" s="6" t="str">
        <f>"汉语言文学"</f>
        <v>汉语言文学</v>
      </c>
      <c r="H114" s="7" t="s">
        <v>9</v>
      </c>
    </row>
    <row r="115" spans="1:8" ht="15" customHeight="1">
      <c r="A115" s="5">
        <v>113</v>
      </c>
      <c r="B115" s="6" t="str">
        <f>"邓莹莹"</f>
        <v>邓莹莹</v>
      </c>
      <c r="C115" s="6" t="str">
        <f t="shared" si="59"/>
        <v>女</v>
      </c>
      <c r="D115" s="6" t="str">
        <f>"1999-08-10"</f>
        <v>1999-08-10</v>
      </c>
      <c r="E115" s="6" t="str">
        <f t="shared" si="62"/>
        <v>大学本科学历</v>
      </c>
      <c r="F115" s="6" t="str">
        <f>"管理学学士"</f>
        <v>管理学学士</v>
      </c>
      <c r="G115" s="6" t="str">
        <f>"会展经济与管理"</f>
        <v>会展经济与管理</v>
      </c>
      <c r="H115" s="7" t="s">
        <v>9</v>
      </c>
    </row>
    <row r="116" spans="1:8" ht="15" customHeight="1">
      <c r="A116" s="5">
        <v>114</v>
      </c>
      <c r="B116" s="6" t="str">
        <f>"王淑莺"</f>
        <v>王淑莺</v>
      </c>
      <c r="C116" s="6" t="str">
        <f t="shared" si="59"/>
        <v>女</v>
      </c>
      <c r="D116" s="6" t="str">
        <f>"1995-05-20"</f>
        <v>1995-05-20</v>
      </c>
      <c r="E116" s="6" t="str">
        <f t="shared" si="62"/>
        <v>大学本科学历</v>
      </c>
      <c r="F116" s="6" t="str">
        <f t="shared" si="61"/>
        <v>管理学学士学位</v>
      </c>
      <c r="G116" s="6" t="str">
        <f>"会计学"</f>
        <v>会计学</v>
      </c>
      <c r="H116" s="7" t="s">
        <v>9</v>
      </c>
    </row>
    <row r="117" spans="1:8" ht="15" customHeight="1">
      <c r="A117" s="5">
        <v>115</v>
      </c>
      <c r="B117" s="6" t="str">
        <f>"王毓赋"</f>
        <v>王毓赋</v>
      </c>
      <c r="C117" s="6" t="str">
        <f aca="true" t="shared" si="63" ref="C117:C123">"男"</f>
        <v>男</v>
      </c>
      <c r="D117" s="6" t="str">
        <f>"1994-10-09"</f>
        <v>1994-10-09</v>
      </c>
      <c r="E117" s="6" t="str">
        <f>"本科"</f>
        <v>本科</v>
      </c>
      <c r="F117" s="6" t="str">
        <f>"工学学士"</f>
        <v>工学学士</v>
      </c>
      <c r="G117" s="6" t="str">
        <f>"土木工程"</f>
        <v>土木工程</v>
      </c>
      <c r="H117" s="7" t="s">
        <v>9</v>
      </c>
    </row>
    <row r="118" spans="1:8" ht="15" customHeight="1">
      <c r="A118" s="5">
        <v>116</v>
      </c>
      <c r="B118" s="6" t="str">
        <f>"钟云"</f>
        <v>钟云</v>
      </c>
      <c r="C118" s="6" t="str">
        <f aca="true" t="shared" si="64" ref="C118:C120">"女"</f>
        <v>女</v>
      </c>
      <c r="D118" s="6" t="str">
        <f>"1999-01-05"</f>
        <v>1999-01-05</v>
      </c>
      <c r="E118" s="6" t="str">
        <f aca="true" t="shared" si="65" ref="E118:E122">"大学本科"</f>
        <v>大学本科</v>
      </c>
      <c r="F118" s="6" t="str">
        <f>"学士学位"</f>
        <v>学士学位</v>
      </c>
      <c r="G118" s="6" t="str">
        <f>"汉语言文学（中国语言文学）"</f>
        <v>汉语言文学（中国语言文学）</v>
      </c>
      <c r="H118" s="7" t="s">
        <v>9</v>
      </c>
    </row>
    <row r="119" spans="1:8" ht="15" customHeight="1">
      <c r="A119" s="5">
        <v>117</v>
      </c>
      <c r="B119" s="6" t="str">
        <f>"洪桂婷"</f>
        <v>洪桂婷</v>
      </c>
      <c r="C119" s="6" t="str">
        <f t="shared" si="64"/>
        <v>女</v>
      </c>
      <c r="D119" s="6" t="str">
        <f>"1997-02-26"</f>
        <v>1997-02-26</v>
      </c>
      <c r="E119" s="6" t="str">
        <f>"大学本科学历"</f>
        <v>大学本科学历</v>
      </c>
      <c r="F119" s="6" t="str">
        <f aca="true" t="shared" si="66" ref="F119:F124">"管理学学士"</f>
        <v>管理学学士</v>
      </c>
      <c r="G119" s="6" t="str">
        <f>"工商管理"</f>
        <v>工商管理</v>
      </c>
      <c r="H119" s="7" t="s">
        <v>9</v>
      </c>
    </row>
    <row r="120" spans="1:8" ht="15" customHeight="1">
      <c r="A120" s="5">
        <v>118</v>
      </c>
      <c r="B120" s="6" t="str">
        <f>"龙小媛"</f>
        <v>龙小媛</v>
      </c>
      <c r="C120" s="6" t="str">
        <f t="shared" si="64"/>
        <v>女</v>
      </c>
      <c r="D120" s="6" t="str">
        <f>"1998-06-10"</f>
        <v>1998-06-10</v>
      </c>
      <c r="E120" s="6" t="str">
        <f t="shared" si="65"/>
        <v>大学本科</v>
      </c>
      <c r="F120" s="6" t="str">
        <f>"理学学士"</f>
        <v>理学学士</v>
      </c>
      <c r="G120" s="6" t="str">
        <f>"环境科学"</f>
        <v>环境科学</v>
      </c>
      <c r="H120" s="7" t="s">
        <v>9</v>
      </c>
    </row>
    <row r="121" spans="1:8" ht="15" customHeight="1">
      <c r="A121" s="5">
        <v>119</v>
      </c>
      <c r="B121" s="6" t="str">
        <f>"王进史"</f>
        <v>王进史</v>
      </c>
      <c r="C121" s="6" t="str">
        <f t="shared" si="63"/>
        <v>男</v>
      </c>
      <c r="D121" s="6" t="str">
        <f>"1991-10-16"</f>
        <v>1991-10-16</v>
      </c>
      <c r="E121" s="6" t="str">
        <f aca="true" t="shared" si="67" ref="E121:E124">"本科"</f>
        <v>本科</v>
      </c>
      <c r="F121" s="6" t="str">
        <f t="shared" si="66"/>
        <v>管理学学士</v>
      </c>
      <c r="G121" s="6" t="str">
        <f>"公共事业管理"</f>
        <v>公共事业管理</v>
      </c>
      <c r="H121" s="7" t="s">
        <v>9</v>
      </c>
    </row>
    <row r="122" spans="1:8" ht="15" customHeight="1">
      <c r="A122" s="5">
        <v>120</v>
      </c>
      <c r="B122" s="6" t="str">
        <f>"吴卓里"</f>
        <v>吴卓里</v>
      </c>
      <c r="C122" s="6" t="str">
        <f t="shared" si="63"/>
        <v>男</v>
      </c>
      <c r="D122" s="6" t="str">
        <f>"1997-02-25"</f>
        <v>1997-02-25</v>
      </c>
      <c r="E122" s="6" t="str">
        <f t="shared" si="65"/>
        <v>大学本科</v>
      </c>
      <c r="F122" s="6" t="str">
        <f>"文学学士学位"</f>
        <v>文学学士学位</v>
      </c>
      <c r="G122" s="6" t="str">
        <f>"汉语言文学"</f>
        <v>汉语言文学</v>
      </c>
      <c r="H122" s="7" t="s">
        <v>9</v>
      </c>
    </row>
    <row r="123" spans="1:8" ht="15" customHeight="1">
      <c r="A123" s="5">
        <v>121</v>
      </c>
      <c r="B123" s="6" t="str">
        <f>"马振卿"</f>
        <v>马振卿</v>
      </c>
      <c r="C123" s="6" t="str">
        <f t="shared" si="63"/>
        <v>男</v>
      </c>
      <c r="D123" s="6" t="str">
        <f>"1990-10-11"</f>
        <v>1990-10-11</v>
      </c>
      <c r="E123" s="6" t="str">
        <f t="shared" si="67"/>
        <v>本科</v>
      </c>
      <c r="F123" s="6" t="str">
        <f>"学士"</f>
        <v>学士</v>
      </c>
      <c r="G123" s="6" t="str">
        <f>"环境工程"</f>
        <v>环境工程</v>
      </c>
      <c r="H123" s="7" t="s">
        <v>9</v>
      </c>
    </row>
    <row r="124" spans="1:8" ht="15" customHeight="1">
      <c r="A124" s="5">
        <v>122</v>
      </c>
      <c r="B124" s="6" t="str">
        <f>"陈秋婷"</f>
        <v>陈秋婷</v>
      </c>
      <c r="C124" s="6" t="str">
        <f aca="true" t="shared" si="68" ref="C124:C127">"女"</f>
        <v>女</v>
      </c>
      <c r="D124" s="6" t="str">
        <f>"1994-01-17"</f>
        <v>1994-01-17</v>
      </c>
      <c r="E124" s="6" t="str">
        <f t="shared" si="67"/>
        <v>本科</v>
      </c>
      <c r="F124" s="6" t="str">
        <f t="shared" si="66"/>
        <v>管理学学士</v>
      </c>
      <c r="G124" s="6" t="str">
        <f>"信息管理与信息系统"</f>
        <v>信息管理与信息系统</v>
      </c>
      <c r="H124" s="7" t="s">
        <v>9</v>
      </c>
    </row>
    <row r="125" spans="1:8" ht="15" customHeight="1">
      <c r="A125" s="5">
        <v>123</v>
      </c>
      <c r="B125" s="6" t="str">
        <f>"吴乾青"</f>
        <v>吴乾青</v>
      </c>
      <c r="C125" s="6" t="str">
        <f t="shared" si="68"/>
        <v>女</v>
      </c>
      <c r="D125" s="6" t="str">
        <f>"1997-10-04"</f>
        <v>1997-10-04</v>
      </c>
      <c r="E125" s="6" t="str">
        <f>"全日制本科"</f>
        <v>全日制本科</v>
      </c>
      <c r="F125" s="6" t="str">
        <f>"经济学学士"</f>
        <v>经济学学士</v>
      </c>
      <c r="G125" s="6" t="str">
        <f>"国际经济与贸易（国际金融）"</f>
        <v>国际经济与贸易（国际金融）</v>
      </c>
      <c r="H125" s="7" t="s">
        <v>9</v>
      </c>
    </row>
    <row r="126" spans="1:8" ht="15" customHeight="1">
      <c r="A126" s="5">
        <v>124</v>
      </c>
      <c r="B126" s="6" t="str">
        <f>"林津茹"</f>
        <v>林津茹</v>
      </c>
      <c r="C126" s="6" t="str">
        <f t="shared" si="68"/>
        <v>女</v>
      </c>
      <c r="D126" s="6" t="str">
        <f>"1997-07-24"</f>
        <v>1997-07-24</v>
      </c>
      <c r="E126" s="6" t="str">
        <f>"大学本科"</f>
        <v>大学本科</v>
      </c>
      <c r="F126" s="6" t="str">
        <f>"管理学学士"</f>
        <v>管理学学士</v>
      </c>
      <c r="G126" s="6" t="str">
        <f>"电子商务"</f>
        <v>电子商务</v>
      </c>
      <c r="H126" s="7" t="s">
        <v>9</v>
      </c>
    </row>
    <row r="127" spans="1:8" ht="15" customHeight="1">
      <c r="A127" s="5">
        <v>125</v>
      </c>
      <c r="B127" s="6" t="str">
        <f>"邢其婷"</f>
        <v>邢其婷</v>
      </c>
      <c r="C127" s="6" t="str">
        <f t="shared" si="68"/>
        <v>女</v>
      </c>
      <c r="D127" s="6" t="str">
        <f>"1997-05-28"</f>
        <v>1997-05-28</v>
      </c>
      <c r="E127" s="6" t="str">
        <f aca="true" t="shared" si="69" ref="E127:E131">"本科"</f>
        <v>本科</v>
      </c>
      <c r="F127" s="6" t="str">
        <f>"经济学学士"</f>
        <v>经济学学士</v>
      </c>
      <c r="G127" s="6" t="str">
        <f>"国际经济与贸易"</f>
        <v>国际经济与贸易</v>
      </c>
      <c r="H127" s="7" t="s">
        <v>9</v>
      </c>
    </row>
    <row r="128" spans="1:8" ht="15" customHeight="1">
      <c r="A128" s="5">
        <v>126</v>
      </c>
      <c r="B128" s="6" t="str">
        <f>"陈太鹏"</f>
        <v>陈太鹏</v>
      </c>
      <c r="C128" s="6" t="str">
        <f aca="true" t="shared" si="70" ref="C128:C134">"男"</f>
        <v>男</v>
      </c>
      <c r="D128" s="6" t="str">
        <f>"1992-05-05"</f>
        <v>1992-05-05</v>
      </c>
      <c r="E128" s="6" t="str">
        <f>"大学本科"</f>
        <v>大学本科</v>
      </c>
      <c r="F128" s="6" t="str">
        <f aca="true" t="shared" si="71" ref="F128:F130">"工学学士"</f>
        <v>工学学士</v>
      </c>
      <c r="G128" s="6" t="str">
        <f>"计算机科学与技术"</f>
        <v>计算机科学与技术</v>
      </c>
      <c r="H128" s="7" t="s">
        <v>9</v>
      </c>
    </row>
    <row r="129" spans="1:8" ht="15" customHeight="1">
      <c r="A129" s="5">
        <v>127</v>
      </c>
      <c r="B129" s="6" t="str">
        <f>"谭照照"</f>
        <v>谭照照</v>
      </c>
      <c r="C129" s="6" t="str">
        <f>"女"</f>
        <v>女</v>
      </c>
      <c r="D129" s="6" t="str">
        <f>"1995-05-19"</f>
        <v>1995-05-19</v>
      </c>
      <c r="E129" s="6" t="str">
        <f t="shared" si="69"/>
        <v>本科</v>
      </c>
      <c r="F129" s="6" t="str">
        <f t="shared" si="71"/>
        <v>工学学士</v>
      </c>
      <c r="G129" s="6" t="str">
        <f>"土木工程"</f>
        <v>土木工程</v>
      </c>
      <c r="H129" s="7" t="s">
        <v>9</v>
      </c>
    </row>
    <row r="130" spans="1:8" ht="15" customHeight="1">
      <c r="A130" s="5">
        <v>128</v>
      </c>
      <c r="B130" s="6" t="str">
        <f>"李桂南"</f>
        <v>李桂南</v>
      </c>
      <c r="C130" s="6" t="str">
        <f t="shared" si="70"/>
        <v>男</v>
      </c>
      <c r="D130" s="6" t="str">
        <f>"1994-03-12"</f>
        <v>1994-03-12</v>
      </c>
      <c r="E130" s="6" t="str">
        <f t="shared" si="69"/>
        <v>本科</v>
      </c>
      <c r="F130" s="6" t="str">
        <f t="shared" si="71"/>
        <v>工学学士</v>
      </c>
      <c r="G130" s="6" t="str">
        <f>"土木工程"</f>
        <v>土木工程</v>
      </c>
      <c r="H130" s="7" t="s">
        <v>9</v>
      </c>
    </row>
    <row r="131" spans="1:8" ht="15" customHeight="1">
      <c r="A131" s="5">
        <v>129</v>
      </c>
      <c r="B131" s="6" t="str">
        <f>"罗子阳"</f>
        <v>罗子阳</v>
      </c>
      <c r="C131" s="6" t="str">
        <f t="shared" si="70"/>
        <v>男</v>
      </c>
      <c r="D131" s="6" t="str">
        <f>"1999-04-17"</f>
        <v>1999-04-17</v>
      </c>
      <c r="E131" s="6" t="str">
        <f t="shared" si="69"/>
        <v>本科</v>
      </c>
      <c r="F131" s="6" t="str">
        <f>"工学学位"</f>
        <v>工学学位</v>
      </c>
      <c r="G131" s="6" t="str">
        <f>"城乡规划"</f>
        <v>城乡规划</v>
      </c>
      <c r="H131" s="7" t="s">
        <v>9</v>
      </c>
    </row>
    <row r="132" spans="1:8" ht="15" customHeight="1">
      <c r="A132" s="5">
        <v>130</v>
      </c>
      <c r="B132" s="6" t="str">
        <f>"林树仁"</f>
        <v>林树仁</v>
      </c>
      <c r="C132" s="6" t="str">
        <f t="shared" si="70"/>
        <v>男</v>
      </c>
      <c r="D132" s="6" t="str">
        <f>"1998-10-03"</f>
        <v>1998-10-03</v>
      </c>
      <c r="E132" s="6" t="str">
        <f>"本科学历"</f>
        <v>本科学历</v>
      </c>
      <c r="F132" s="6" t="str">
        <f>"管理学学士学位"</f>
        <v>管理学学士学位</v>
      </c>
      <c r="G132" s="6" t="str">
        <f>"会展经济与管理"</f>
        <v>会展经济与管理</v>
      </c>
      <c r="H132" s="7" t="s">
        <v>9</v>
      </c>
    </row>
    <row r="133" spans="1:8" ht="15" customHeight="1">
      <c r="A133" s="5">
        <v>131</v>
      </c>
      <c r="B133" s="6" t="str">
        <f>"刘教伟"</f>
        <v>刘教伟</v>
      </c>
      <c r="C133" s="6" t="str">
        <f t="shared" si="70"/>
        <v>男</v>
      </c>
      <c r="D133" s="6" t="str">
        <f>"1992-07-23"</f>
        <v>1992-07-23</v>
      </c>
      <c r="E133" s="6" t="str">
        <f>"大学本科"</f>
        <v>大学本科</v>
      </c>
      <c r="F133" s="6" t="str">
        <f aca="true" t="shared" si="72" ref="F133:F137">"管理学学士"</f>
        <v>管理学学士</v>
      </c>
      <c r="G133" s="6" t="str">
        <f>"财务管理"</f>
        <v>财务管理</v>
      </c>
      <c r="H133" s="7" t="s">
        <v>9</v>
      </c>
    </row>
    <row r="134" spans="1:8" ht="15" customHeight="1">
      <c r="A134" s="5">
        <v>132</v>
      </c>
      <c r="B134" s="6" t="str">
        <f>"陈增通"</f>
        <v>陈增通</v>
      </c>
      <c r="C134" s="6" t="str">
        <f t="shared" si="70"/>
        <v>男</v>
      </c>
      <c r="D134" s="6" t="str">
        <f>"1996-08-21"</f>
        <v>1996-08-21</v>
      </c>
      <c r="E134" s="6" t="str">
        <f aca="true" t="shared" si="73" ref="E134:E144">"本科"</f>
        <v>本科</v>
      </c>
      <c r="F134" s="6" t="str">
        <f t="shared" si="72"/>
        <v>管理学学士</v>
      </c>
      <c r="G134" s="6" t="str">
        <f>"市场营销"</f>
        <v>市场营销</v>
      </c>
      <c r="H134" s="7" t="s">
        <v>9</v>
      </c>
    </row>
    <row r="135" spans="1:8" ht="15" customHeight="1">
      <c r="A135" s="5">
        <v>133</v>
      </c>
      <c r="B135" s="6" t="str">
        <f>"王丽茹"</f>
        <v>王丽茹</v>
      </c>
      <c r="C135" s="6" t="str">
        <f>"女"</f>
        <v>女</v>
      </c>
      <c r="D135" s="6" t="str">
        <f>"1996-06-17"</f>
        <v>1996-06-17</v>
      </c>
      <c r="E135" s="6" t="str">
        <f t="shared" si="73"/>
        <v>本科</v>
      </c>
      <c r="F135" s="6" t="str">
        <f>"文学学士"</f>
        <v>文学学士</v>
      </c>
      <c r="G135" s="6" t="str">
        <f>"汉语国际教育"</f>
        <v>汉语国际教育</v>
      </c>
      <c r="H135" s="7" t="s">
        <v>9</v>
      </c>
    </row>
    <row r="136" spans="1:8" ht="15" customHeight="1">
      <c r="A136" s="5">
        <v>134</v>
      </c>
      <c r="B136" s="6" t="str">
        <f>"谢宗明"</f>
        <v>谢宗明</v>
      </c>
      <c r="C136" s="6" t="str">
        <f aca="true" t="shared" si="74" ref="C136:C139">"男"</f>
        <v>男</v>
      </c>
      <c r="D136" s="6" t="str">
        <f>"1994-08-03"</f>
        <v>1994-08-03</v>
      </c>
      <c r="E136" s="6" t="str">
        <f t="shared" si="73"/>
        <v>本科</v>
      </c>
      <c r="F136" s="6" t="str">
        <f t="shared" si="72"/>
        <v>管理学学士</v>
      </c>
      <c r="G136" s="6" t="str">
        <f>"市场营销"</f>
        <v>市场营销</v>
      </c>
      <c r="H136" s="7" t="s">
        <v>9</v>
      </c>
    </row>
    <row r="137" spans="1:8" ht="15" customHeight="1">
      <c r="A137" s="5">
        <v>135</v>
      </c>
      <c r="B137" s="6" t="str">
        <f>"郭金善"</f>
        <v>郭金善</v>
      </c>
      <c r="C137" s="6" t="str">
        <f t="shared" si="74"/>
        <v>男</v>
      </c>
      <c r="D137" s="6" t="str">
        <f>"1994-09-25"</f>
        <v>1994-09-25</v>
      </c>
      <c r="E137" s="6" t="str">
        <f t="shared" si="73"/>
        <v>本科</v>
      </c>
      <c r="F137" s="6" t="str">
        <f t="shared" si="72"/>
        <v>管理学学士</v>
      </c>
      <c r="G137" s="6" t="str">
        <f>"工程造价管理"</f>
        <v>工程造价管理</v>
      </c>
      <c r="H137" s="7" t="s">
        <v>9</v>
      </c>
    </row>
    <row r="138" spans="1:8" ht="15" customHeight="1">
      <c r="A138" s="5">
        <v>136</v>
      </c>
      <c r="B138" s="6" t="str">
        <f>"苏定民"</f>
        <v>苏定民</v>
      </c>
      <c r="C138" s="6" t="str">
        <f t="shared" si="74"/>
        <v>男</v>
      </c>
      <c r="D138" s="6" t="str">
        <f>"1996-04-10"</f>
        <v>1996-04-10</v>
      </c>
      <c r="E138" s="6" t="str">
        <f t="shared" si="73"/>
        <v>本科</v>
      </c>
      <c r="F138" s="6" t="str">
        <f>"工学学士"</f>
        <v>工学学士</v>
      </c>
      <c r="G138" s="6" t="str">
        <f>"工程管理"</f>
        <v>工程管理</v>
      </c>
      <c r="H138" s="7" t="s">
        <v>9</v>
      </c>
    </row>
    <row r="139" spans="1:8" ht="15" customHeight="1">
      <c r="A139" s="5">
        <v>137</v>
      </c>
      <c r="B139" s="6" t="str">
        <f>"陈玺任"</f>
        <v>陈玺任</v>
      </c>
      <c r="C139" s="6" t="str">
        <f t="shared" si="74"/>
        <v>男</v>
      </c>
      <c r="D139" s="6" t="str">
        <f>"1998-01-03"</f>
        <v>1998-01-03</v>
      </c>
      <c r="E139" s="6" t="str">
        <f t="shared" si="73"/>
        <v>本科</v>
      </c>
      <c r="F139" s="6" t="str">
        <f>"学士学位"</f>
        <v>学士学位</v>
      </c>
      <c r="G139" s="6" t="str">
        <f>"环境工程"</f>
        <v>环境工程</v>
      </c>
      <c r="H139" s="7" t="s">
        <v>9</v>
      </c>
    </row>
    <row r="140" spans="1:8" ht="15" customHeight="1">
      <c r="A140" s="5">
        <v>138</v>
      </c>
      <c r="B140" s="6" t="str">
        <f>"王彩欣"</f>
        <v>王彩欣</v>
      </c>
      <c r="C140" s="6" t="str">
        <f aca="true" t="shared" si="75" ref="C140:C142">"女"</f>
        <v>女</v>
      </c>
      <c r="D140" s="6" t="str">
        <f>"1995-01-20"</f>
        <v>1995-01-20</v>
      </c>
      <c r="E140" s="6" t="str">
        <f t="shared" si="73"/>
        <v>本科</v>
      </c>
      <c r="F140" s="6" t="str">
        <f>"学士"</f>
        <v>学士</v>
      </c>
      <c r="G140" s="6" t="str">
        <f>"工商管理"</f>
        <v>工商管理</v>
      </c>
      <c r="H140" s="7" t="s">
        <v>9</v>
      </c>
    </row>
    <row r="141" spans="1:8" ht="15" customHeight="1">
      <c r="A141" s="5">
        <v>139</v>
      </c>
      <c r="B141" s="6" t="str">
        <f>"吴美倩"</f>
        <v>吴美倩</v>
      </c>
      <c r="C141" s="6" t="str">
        <f t="shared" si="75"/>
        <v>女</v>
      </c>
      <c r="D141" s="6" t="str">
        <f>"1999-07-28"</f>
        <v>1999-07-28</v>
      </c>
      <c r="E141" s="6" t="str">
        <f t="shared" si="73"/>
        <v>本科</v>
      </c>
      <c r="F141" s="6" t="str">
        <f>"学士"</f>
        <v>学士</v>
      </c>
      <c r="G141" s="6" t="str">
        <f>"财务管理"</f>
        <v>财务管理</v>
      </c>
      <c r="H141" s="7" t="s">
        <v>9</v>
      </c>
    </row>
    <row r="142" spans="1:8" ht="15" customHeight="1">
      <c r="A142" s="5">
        <v>140</v>
      </c>
      <c r="B142" s="6" t="str">
        <f>"陈笔愉"</f>
        <v>陈笔愉</v>
      </c>
      <c r="C142" s="6" t="str">
        <f t="shared" si="75"/>
        <v>女</v>
      </c>
      <c r="D142" s="6" t="str">
        <f>"1997-01-20"</f>
        <v>1997-01-20</v>
      </c>
      <c r="E142" s="6" t="str">
        <f t="shared" si="73"/>
        <v>本科</v>
      </c>
      <c r="F142" s="6" t="str">
        <f aca="true" t="shared" si="76" ref="F142:F148">"管理学学士"</f>
        <v>管理学学士</v>
      </c>
      <c r="G142" s="6" t="str">
        <f>"审计学"</f>
        <v>审计学</v>
      </c>
      <c r="H142" s="7" t="s">
        <v>9</v>
      </c>
    </row>
    <row r="143" spans="1:8" ht="15" customHeight="1">
      <c r="A143" s="5">
        <v>141</v>
      </c>
      <c r="B143" s="6" t="str">
        <f>"羊贤德"</f>
        <v>羊贤德</v>
      </c>
      <c r="C143" s="6" t="str">
        <f>"男"</f>
        <v>男</v>
      </c>
      <c r="D143" s="6" t="str">
        <f>"1995-01-28"</f>
        <v>1995-01-28</v>
      </c>
      <c r="E143" s="6" t="str">
        <f t="shared" si="73"/>
        <v>本科</v>
      </c>
      <c r="F143" s="6" t="str">
        <f>"工学学士"</f>
        <v>工学学士</v>
      </c>
      <c r="G143" s="6" t="str">
        <f>"土木工程"</f>
        <v>土木工程</v>
      </c>
      <c r="H143" s="7" t="s">
        <v>9</v>
      </c>
    </row>
    <row r="144" spans="1:8" ht="15" customHeight="1">
      <c r="A144" s="5">
        <v>142</v>
      </c>
      <c r="B144" s="6" t="str">
        <f>"符钰婕"</f>
        <v>符钰婕</v>
      </c>
      <c r="C144" s="6" t="str">
        <f aca="true" t="shared" si="77" ref="C144:C149">"女"</f>
        <v>女</v>
      </c>
      <c r="D144" s="6" t="str">
        <f>"1995-02-06"</f>
        <v>1995-02-06</v>
      </c>
      <c r="E144" s="6" t="str">
        <f t="shared" si="73"/>
        <v>本科</v>
      </c>
      <c r="F144" s="6" t="str">
        <f t="shared" si="76"/>
        <v>管理学学士</v>
      </c>
      <c r="G144" s="6" t="str">
        <f>"会展经济与管理"</f>
        <v>会展经济与管理</v>
      </c>
      <c r="H144" s="7" t="s">
        <v>9</v>
      </c>
    </row>
    <row r="145" spans="1:8" ht="15" customHeight="1">
      <c r="A145" s="5">
        <v>143</v>
      </c>
      <c r="B145" s="6" t="str">
        <f>"钟立翠"</f>
        <v>钟立翠</v>
      </c>
      <c r="C145" s="6" t="str">
        <f t="shared" si="77"/>
        <v>女</v>
      </c>
      <c r="D145" s="6" t="str">
        <f>"2000-01-18"</f>
        <v>2000-01-18</v>
      </c>
      <c r="E145" s="6" t="str">
        <f>"大学本科学历"</f>
        <v>大学本科学历</v>
      </c>
      <c r="F145" s="6" t="str">
        <f>"无"</f>
        <v>无</v>
      </c>
      <c r="G145" s="6" t="str">
        <f>"汉语言文学"</f>
        <v>汉语言文学</v>
      </c>
      <c r="H145" s="7" t="s">
        <v>9</v>
      </c>
    </row>
    <row r="146" spans="1:8" ht="15" customHeight="1">
      <c r="A146" s="5">
        <v>144</v>
      </c>
      <c r="B146" s="6" t="str">
        <f>"杜振威"</f>
        <v>杜振威</v>
      </c>
      <c r="C146" s="6" t="str">
        <f>"男"</f>
        <v>男</v>
      </c>
      <c r="D146" s="6" t="str">
        <f>"2000-03-15"</f>
        <v>2000-03-15</v>
      </c>
      <c r="E146" s="6" t="str">
        <f>"本科学历"</f>
        <v>本科学历</v>
      </c>
      <c r="F146" s="6" t="str">
        <f>"工学学士"</f>
        <v>工学学士</v>
      </c>
      <c r="G146" s="6" t="str">
        <f>"工程造价"</f>
        <v>工程造价</v>
      </c>
      <c r="H146" s="7" t="s">
        <v>9</v>
      </c>
    </row>
    <row r="147" spans="1:8" ht="15" customHeight="1">
      <c r="A147" s="5">
        <v>145</v>
      </c>
      <c r="B147" s="6" t="str">
        <f>"李莉"</f>
        <v>李莉</v>
      </c>
      <c r="C147" s="6" t="str">
        <f t="shared" si="77"/>
        <v>女</v>
      </c>
      <c r="D147" s="6" t="str">
        <f>"1993-08-15"</f>
        <v>1993-08-15</v>
      </c>
      <c r="E147" s="6" t="str">
        <f aca="true" t="shared" si="78" ref="E147:E149">"本科"</f>
        <v>本科</v>
      </c>
      <c r="F147" s="6" t="str">
        <f t="shared" si="76"/>
        <v>管理学学士</v>
      </c>
      <c r="G147" s="6" t="str">
        <f>"旅游管理"</f>
        <v>旅游管理</v>
      </c>
      <c r="H147" s="7" t="s">
        <v>9</v>
      </c>
    </row>
    <row r="148" spans="1:8" ht="15" customHeight="1">
      <c r="A148" s="5">
        <v>146</v>
      </c>
      <c r="B148" s="6" t="str">
        <f>"刘子怡"</f>
        <v>刘子怡</v>
      </c>
      <c r="C148" s="6" t="str">
        <f t="shared" si="77"/>
        <v>女</v>
      </c>
      <c r="D148" s="6" t="str">
        <f>"1997-02-06"</f>
        <v>1997-02-06</v>
      </c>
      <c r="E148" s="6" t="str">
        <f t="shared" si="78"/>
        <v>本科</v>
      </c>
      <c r="F148" s="6" t="str">
        <f t="shared" si="76"/>
        <v>管理学学士</v>
      </c>
      <c r="G148" s="6" t="str">
        <f>"行政管理"</f>
        <v>行政管理</v>
      </c>
      <c r="H148" s="7" t="s">
        <v>9</v>
      </c>
    </row>
    <row r="149" spans="1:8" ht="15" customHeight="1">
      <c r="A149" s="5">
        <v>147</v>
      </c>
      <c r="B149" s="6" t="str">
        <f>"羊科丽"</f>
        <v>羊科丽</v>
      </c>
      <c r="C149" s="6" t="str">
        <f t="shared" si="77"/>
        <v>女</v>
      </c>
      <c r="D149" s="6" t="str">
        <f>"1995-10-05"</f>
        <v>1995-10-05</v>
      </c>
      <c r="E149" s="6" t="str">
        <f t="shared" si="78"/>
        <v>本科</v>
      </c>
      <c r="F149" s="6" t="str">
        <f>"经济学学士"</f>
        <v>经济学学士</v>
      </c>
      <c r="G149" s="6" t="str">
        <f>"经济学"</f>
        <v>经济学</v>
      </c>
      <c r="H149" s="7" t="s">
        <v>9</v>
      </c>
    </row>
    <row r="150" spans="1:8" ht="15" customHeight="1">
      <c r="A150" s="5">
        <v>148</v>
      </c>
      <c r="B150" s="6" t="str">
        <f>"杨全鸿"</f>
        <v>杨全鸿</v>
      </c>
      <c r="C150" s="6" t="str">
        <f aca="true" t="shared" si="79" ref="C150:C156">"男"</f>
        <v>男</v>
      </c>
      <c r="D150" s="6" t="str">
        <f>"1995-07-26"</f>
        <v>1995-07-26</v>
      </c>
      <c r="E150" s="6" t="str">
        <f>"大学本科学历"</f>
        <v>大学本科学历</v>
      </c>
      <c r="F150" s="6" t="str">
        <f>"文学学士"</f>
        <v>文学学士</v>
      </c>
      <c r="G150" s="6" t="str">
        <f>"汉语言文学"</f>
        <v>汉语言文学</v>
      </c>
      <c r="H150" s="7" t="s">
        <v>9</v>
      </c>
    </row>
    <row r="151" spans="1:8" ht="15" customHeight="1">
      <c r="A151" s="5">
        <v>149</v>
      </c>
      <c r="B151" s="6" t="str">
        <f>"陈娜"</f>
        <v>陈娜</v>
      </c>
      <c r="C151" s="6" t="str">
        <f aca="true" t="shared" si="80" ref="C151:C153">"女"</f>
        <v>女</v>
      </c>
      <c r="D151" s="6" t="str">
        <f>"1993-12-03"</f>
        <v>1993-12-03</v>
      </c>
      <c r="E151" s="6" t="str">
        <f>"大学本科"</f>
        <v>大学本科</v>
      </c>
      <c r="F151" s="6" t="str">
        <f>"管理学"</f>
        <v>管理学</v>
      </c>
      <c r="G151" s="6" t="str">
        <f>"行政管理"</f>
        <v>行政管理</v>
      </c>
      <c r="H151" s="7" t="s">
        <v>9</v>
      </c>
    </row>
    <row r="152" spans="1:8" ht="15" customHeight="1">
      <c r="A152" s="5">
        <v>150</v>
      </c>
      <c r="B152" s="6" t="str">
        <f>"石琳芝"</f>
        <v>石琳芝</v>
      </c>
      <c r="C152" s="6" t="str">
        <f t="shared" si="80"/>
        <v>女</v>
      </c>
      <c r="D152" s="6" t="str">
        <f>"1997-07-16"</f>
        <v>1997-07-16</v>
      </c>
      <c r="E152" s="6" t="str">
        <f>"大学本科"</f>
        <v>大学本科</v>
      </c>
      <c r="F152" s="6" t="str">
        <f>"管理学学士"</f>
        <v>管理学学士</v>
      </c>
      <c r="G152" s="6" t="str">
        <f>"旅游管理"</f>
        <v>旅游管理</v>
      </c>
      <c r="H152" s="7" t="s">
        <v>9</v>
      </c>
    </row>
    <row r="153" spans="1:8" ht="15" customHeight="1">
      <c r="A153" s="5">
        <v>151</v>
      </c>
      <c r="B153" s="6" t="str">
        <f>"周罗晶"</f>
        <v>周罗晶</v>
      </c>
      <c r="C153" s="6" t="str">
        <f t="shared" si="80"/>
        <v>女</v>
      </c>
      <c r="D153" s="6" t="str">
        <f>"1996-06-12"</f>
        <v>1996-06-12</v>
      </c>
      <c r="E153" s="6" t="str">
        <f aca="true" t="shared" si="81" ref="E153:E156">"本科"</f>
        <v>本科</v>
      </c>
      <c r="F153" s="6" t="str">
        <f>"文学学士"</f>
        <v>文学学士</v>
      </c>
      <c r="G153" s="6" t="str">
        <f>"汉语言文学"</f>
        <v>汉语言文学</v>
      </c>
      <c r="H153" s="7" t="s">
        <v>9</v>
      </c>
    </row>
    <row r="154" spans="1:8" ht="15" customHeight="1">
      <c r="A154" s="5">
        <v>152</v>
      </c>
      <c r="B154" s="6" t="str">
        <f>"梁定粳"</f>
        <v>梁定粳</v>
      </c>
      <c r="C154" s="6" t="str">
        <f t="shared" si="79"/>
        <v>男</v>
      </c>
      <c r="D154" s="6" t="str">
        <f>"1995-12-03"</f>
        <v>1995-12-03</v>
      </c>
      <c r="E154" s="6" t="str">
        <f t="shared" si="81"/>
        <v>本科</v>
      </c>
      <c r="F154" s="6" t="str">
        <f>"管理学士"</f>
        <v>管理学士</v>
      </c>
      <c r="G154" s="6" t="str">
        <f>"酒店管理"</f>
        <v>酒店管理</v>
      </c>
      <c r="H154" s="7" t="s">
        <v>9</v>
      </c>
    </row>
    <row r="155" spans="1:8" ht="15" customHeight="1">
      <c r="A155" s="5">
        <v>153</v>
      </c>
      <c r="B155" s="6" t="str">
        <f>"梁正唯"</f>
        <v>梁正唯</v>
      </c>
      <c r="C155" s="6" t="str">
        <f t="shared" si="79"/>
        <v>男</v>
      </c>
      <c r="D155" s="6" t="str">
        <f>"2000-08-02"</f>
        <v>2000-08-02</v>
      </c>
      <c r="E155" s="6" t="str">
        <f t="shared" si="81"/>
        <v>本科</v>
      </c>
      <c r="F155" s="6" t="str">
        <f>"农学学士"</f>
        <v>农学学士</v>
      </c>
      <c r="G155" s="6" t="str">
        <f>"农学"</f>
        <v>农学</v>
      </c>
      <c r="H155" s="7" t="s">
        <v>9</v>
      </c>
    </row>
    <row r="156" spans="1:8" ht="15" customHeight="1">
      <c r="A156" s="5">
        <v>154</v>
      </c>
      <c r="B156" s="6" t="str">
        <f>"赵江山"</f>
        <v>赵江山</v>
      </c>
      <c r="C156" s="6" t="str">
        <f t="shared" si="79"/>
        <v>男</v>
      </c>
      <c r="D156" s="6" t="str">
        <f>"1991-04-10"</f>
        <v>1991-04-10</v>
      </c>
      <c r="E156" s="6" t="str">
        <f t="shared" si="81"/>
        <v>本科</v>
      </c>
      <c r="F156" s="6" t="str">
        <f>"经济学学士"</f>
        <v>经济学学士</v>
      </c>
      <c r="G156" s="6" t="str">
        <f>"经济学"</f>
        <v>经济学</v>
      </c>
      <c r="H156" s="7" t="s">
        <v>9</v>
      </c>
    </row>
    <row r="157" spans="1:8" ht="15" customHeight="1">
      <c r="A157" s="5">
        <v>155</v>
      </c>
      <c r="B157" s="6" t="str">
        <f>"梁慧"</f>
        <v>梁慧</v>
      </c>
      <c r="C157" s="6" t="str">
        <f aca="true" t="shared" si="82" ref="C157:C160">"女"</f>
        <v>女</v>
      </c>
      <c r="D157" s="6" t="str">
        <f>"1997-06-16"</f>
        <v>1997-06-16</v>
      </c>
      <c r="E157" s="6" t="str">
        <f>"大学本科"</f>
        <v>大学本科</v>
      </c>
      <c r="F157" s="6" t="str">
        <f>"管理学学士"</f>
        <v>管理学学士</v>
      </c>
      <c r="G157" s="6" t="str">
        <f>"电子商务"</f>
        <v>电子商务</v>
      </c>
      <c r="H157" s="7" t="s">
        <v>9</v>
      </c>
    </row>
    <row r="158" spans="1:8" ht="15" customHeight="1">
      <c r="A158" s="5">
        <v>156</v>
      </c>
      <c r="B158" s="6" t="str">
        <f>"张斐斐"</f>
        <v>张斐斐</v>
      </c>
      <c r="C158" s="6" t="str">
        <f t="shared" si="82"/>
        <v>女</v>
      </c>
      <c r="D158" s="6" t="str">
        <f>"1993-03-28"</f>
        <v>1993-03-28</v>
      </c>
      <c r="E158" s="6" t="str">
        <f aca="true" t="shared" si="83" ref="E158:E164">"本科"</f>
        <v>本科</v>
      </c>
      <c r="F158" s="6" t="str">
        <f aca="true" t="shared" si="84" ref="F158:F162">"工学学士"</f>
        <v>工学学士</v>
      </c>
      <c r="G158" s="6" t="str">
        <f>"环境工程"</f>
        <v>环境工程</v>
      </c>
      <c r="H158" s="7" t="s">
        <v>9</v>
      </c>
    </row>
    <row r="159" spans="1:8" ht="15" customHeight="1">
      <c r="A159" s="5">
        <v>157</v>
      </c>
      <c r="B159" s="6" t="str">
        <f>"张博云"</f>
        <v>张博云</v>
      </c>
      <c r="C159" s="6" t="str">
        <f aca="true" t="shared" si="85" ref="C159:C165">"男"</f>
        <v>男</v>
      </c>
      <c r="D159" s="6" t="str">
        <f>"1995-08-02"</f>
        <v>1995-08-02</v>
      </c>
      <c r="E159" s="6" t="str">
        <f>"全日制本科"</f>
        <v>全日制本科</v>
      </c>
      <c r="F159" s="6" t="str">
        <f t="shared" si="84"/>
        <v>工学学士</v>
      </c>
      <c r="G159" s="6" t="str">
        <f>"土木工程专业"</f>
        <v>土木工程专业</v>
      </c>
      <c r="H159" s="7" t="s">
        <v>9</v>
      </c>
    </row>
    <row r="160" spans="1:8" ht="15" customHeight="1">
      <c r="A160" s="5">
        <v>158</v>
      </c>
      <c r="B160" s="6" t="str">
        <f>"王明莉"</f>
        <v>王明莉</v>
      </c>
      <c r="C160" s="6" t="str">
        <f t="shared" si="82"/>
        <v>女</v>
      </c>
      <c r="D160" s="6" t="str">
        <f>"1998-08-15"</f>
        <v>1998-08-15</v>
      </c>
      <c r="E160" s="6" t="str">
        <f>"大学本科学历"</f>
        <v>大学本科学历</v>
      </c>
      <c r="F160" s="6" t="str">
        <f>"管理学学士"</f>
        <v>管理学学士</v>
      </c>
      <c r="G160" s="6" t="str">
        <f>"市场营销"</f>
        <v>市场营销</v>
      </c>
      <c r="H160" s="7" t="s">
        <v>9</v>
      </c>
    </row>
    <row r="161" spans="1:8" ht="15" customHeight="1">
      <c r="A161" s="5">
        <v>159</v>
      </c>
      <c r="B161" s="6" t="str">
        <f>"黄华通"</f>
        <v>黄华通</v>
      </c>
      <c r="C161" s="6" t="str">
        <f t="shared" si="85"/>
        <v>男</v>
      </c>
      <c r="D161" s="6" t="str">
        <f>"1992-03-04"</f>
        <v>1992-03-04</v>
      </c>
      <c r="E161" s="6" t="str">
        <f t="shared" si="83"/>
        <v>本科</v>
      </c>
      <c r="F161" s="6" t="str">
        <f t="shared" si="84"/>
        <v>工学学士</v>
      </c>
      <c r="G161" s="6" t="str">
        <f>"土木工程"</f>
        <v>土木工程</v>
      </c>
      <c r="H161" s="7" t="s">
        <v>9</v>
      </c>
    </row>
    <row r="162" spans="1:8" ht="15" customHeight="1">
      <c r="A162" s="5">
        <v>160</v>
      </c>
      <c r="B162" s="6" t="str">
        <f>"王志亮"</f>
        <v>王志亮</v>
      </c>
      <c r="C162" s="6" t="str">
        <f t="shared" si="85"/>
        <v>男</v>
      </c>
      <c r="D162" s="6" t="str">
        <f>"1990-10-10"</f>
        <v>1990-10-10</v>
      </c>
      <c r="E162" s="6" t="str">
        <f>"大学本科学历"</f>
        <v>大学本科学历</v>
      </c>
      <c r="F162" s="6" t="str">
        <f t="shared" si="84"/>
        <v>工学学士</v>
      </c>
      <c r="G162" s="6" t="str">
        <f>"计算机科学与技术（软件外包方向）"</f>
        <v>计算机科学与技术（软件外包方向）</v>
      </c>
      <c r="H162" s="7" t="s">
        <v>9</v>
      </c>
    </row>
    <row r="163" spans="1:8" ht="15" customHeight="1">
      <c r="A163" s="5">
        <v>161</v>
      </c>
      <c r="B163" s="6" t="str">
        <f>"何卜富"</f>
        <v>何卜富</v>
      </c>
      <c r="C163" s="6" t="str">
        <f t="shared" si="85"/>
        <v>男</v>
      </c>
      <c r="D163" s="6" t="str">
        <f>"1999-01-16"</f>
        <v>1999-01-16</v>
      </c>
      <c r="E163" s="6" t="str">
        <f t="shared" si="83"/>
        <v>本科</v>
      </c>
      <c r="F163" s="6" t="str">
        <f>"工科学士"</f>
        <v>工科学士</v>
      </c>
      <c r="G163" s="6" t="str">
        <f>"物联网工程"</f>
        <v>物联网工程</v>
      </c>
      <c r="H163" s="7" t="s">
        <v>9</v>
      </c>
    </row>
    <row r="164" spans="1:8" ht="15" customHeight="1">
      <c r="A164" s="5">
        <v>162</v>
      </c>
      <c r="B164" s="6" t="str">
        <f>"沈传扬"</f>
        <v>沈传扬</v>
      </c>
      <c r="C164" s="6" t="str">
        <f t="shared" si="85"/>
        <v>男</v>
      </c>
      <c r="D164" s="6" t="str">
        <f>"1994-11-20"</f>
        <v>1994-11-20</v>
      </c>
      <c r="E164" s="6" t="str">
        <f t="shared" si="83"/>
        <v>本科</v>
      </c>
      <c r="F164" s="6" t="str">
        <f aca="true" t="shared" si="86" ref="F164:F169">"工学学士"</f>
        <v>工学学士</v>
      </c>
      <c r="G164" s="6" t="str">
        <f>"工程管理"</f>
        <v>工程管理</v>
      </c>
      <c r="H164" s="7" t="s">
        <v>9</v>
      </c>
    </row>
    <row r="165" spans="1:8" ht="15" customHeight="1">
      <c r="A165" s="5">
        <v>163</v>
      </c>
      <c r="B165" s="6" t="str">
        <f>"王坤林"</f>
        <v>王坤林</v>
      </c>
      <c r="C165" s="6" t="str">
        <f t="shared" si="85"/>
        <v>男</v>
      </c>
      <c r="D165" s="6" t="str">
        <f>"1997-08-05"</f>
        <v>1997-08-05</v>
      </c>
      <c r="E165" s="6" t="str">
        <f>"大学本科"</f>
        <v>大学本科</v>
      </c>
      <c r="F165" s="6" t="str">
        <f>"管理学学士"</f>
        <v>管理学学士</v>
      </c>
      <c r="G165" s="6" t="str">
        <f>"农林经济管理"</f>
        <v>农林经济管理</v>
      </c>
      <c r="H165" s="7" t="s">
        <v>9</v>
      </c>
    </row>
    <row r="166" spans="1:8" ht="15" customHeight="1">
      <c r="A166" s="5">
        <v>164</v>
      </c>
      <c r="B166" s="6" t="str">
        <f>"向凯萍"</f>
        <v>向凯萍</v>
      </c>
      <c r="C166" s="6" t="str">
        <f>"女"</f>
        <v>女</v>
      </c>
      <c r="D166" s="6" t="str">
        <f>"1997-01-13"</f>
        <v>1997-01-13</v>
      </c>
      <c r="E166" s="6" t="str">
        <f>"硕士研究生"</f>
        <v>硕士研究生</v>
      </c>
      <c r="F166" s="6" t="str">
        <f>"农业硕士"</f>
        <v>农业硕士</v>
      </c>
      <c r="G166" s="6" t="str">
        <f>"资源利用与植物保护"</f>
        <v>资源利用与植物保护</v>
      </c>
      <c r="H166" s="7" t="s">
        <v>9</v>
      </c>
    </row>
    <row r="167" spans="1:8" ht="15" customHeight="1">
      <c r="A167" s="5">
        <v>165</v>
      </c>
      <c r="B167" s="6" t="str">
        <f>"林拥书"</f>
        <v>林拥书</v>
      </c>
      <c r="C167" s="6" t="str">
        <f aca="true" t="shared" si="87" ref="C167:C169">"男"</f>
        <v>男</v>
      </c>
      <c r="D167" s="6" t="str">
        <f>"1994-12-01"</f>
        <v>1994-12-01</v>
      </c>
      <c r="E167" s="6" t="str">
        <f>"大学本科"</f>
        <v>大学本科</v>
      </c>
      <c r="F167" s="6" t="str">
        <f t="shared" si="86"/>
        <v>工学学士</v>
      </c>
      <c r="G167" s="6" t="str">
        <f>"土木工程"</f>
        <v>土木工程</v>
      </c>
      <c r="H167" s="7" t="s">
        <v>9</v>
      </c>
    </row>
    <row r="168" spans="1:8" ht="15" customHeight="1">
      <c r="A168" s="5">
        <v>166</v>
      </c>
      <c r="B168" s="6" t="str">
        <f>"王运辉"</f>
        <v>王运辉</v>
      </c>
      <c r="C168" s="6" t="str">
        <f t="shared" si="87"/>
        <v>男</v>
      </c>
      <c r="D168" s="6" t="str">
        <f>"1991-11-15"</f>
        <v>1991-11-15</v>
      </c>
      <c r="E168" s="6" t="str">
        <f aca="true" t="shared" si="88" ref="E168:E173">"本科"</f>
        <v>本科</v>
      </c>
      <c r="F168" s="6" t="str">
        <f>"农学学士"</f>
        <v>农学学士</v>
      </c>
      <c r="G168" s="6" t="str">
        <f>"动物科学"</f>
        <v>动物科学</v>
      </c>
      <c r="H168" s="7" t="s">
        <v>9</v>
      </c>
    </row>
    <row r="169" spans="1:8" ht="15" customHeight="1">
      <c r="A169" s="5">
        <v>167</v>
      </c>
      <c r="B169" s="6" t="str">
        <f>"曾德峰"</f>
        <v>曾德峰</v>
      </c>
      <c r="C169" s="6" t="str">
        <f t="shared" si="87"/>
        <v>男</v>
      </c>
      <c r="D169" s="6" t="str">
        <f>"1995-05-05"</f>
        <v>1995-05-05</v>
      </c>
      <c r="E169" s="6" t="str">
        <f t="shared" si="88"/>
        <v>本科</v>
      </c>
      <c r="F169" s="6" t="str">
        <f t="shared" si="86"/>
        <v>工学学士</v>
      </c>
      <c r="G169" s="6" t="str">
        <f>"土木工程"</f>
        <v>土木工程</v>
      </c>
      <c r="H169" s="7" t="s">
        <v>9</v>
      </c>
    </row>
    <row r="170" spans="1:8" ht="15" customHeight="1">
      <c r="A170" s="5">
        <v>168</v>
      </c>
      <c r="B170" s="6" t="str">
        <f>"吉甜甜"</f>
        <v>吉甜甜</v>
      </c>
      <c r="C170" s="6" t="str">
        <f>"女"</f>
        <v>女</v>
      </c>
      <c r="D170" s="6" t="str">
        <f>"1997-10-05"</f>
        <v>1997-10-05</v>
      </c>
      <c r="E170" s="6" t="str">
        <f t="shared" si="88"/>
        <v>本科</v>
      </c>
      <c r="F170" s="6" t="str">
        <f>"管理学学士"</f>
        <v>管理学学士</v>
      </c>
      <c r="G170" s="6" t="str">
        <f>"市场营销专业"</f>
        <v>市场营销专业</v>
      </c>
      <c r="H170" s="7" t="s">
        <v>9</v>
      </c>
    </row>
    <row r="171" spans="1:8" ht="15" customHeight="1">
      <c r="A171" s="5">
        <v>169</v>
      </c>
      <c r="B171" s="6" t="str">
        <f>"黄博"</f>
        <v>黄博</v>
      </c>
      <c r="C171" s="6" t="str">
        <f aca="true" t="shared" si="89" ref="C171:C175">"男"</f>
        <v>男</v>
      </c>
      <c r="D171" s="6" t="str">
        <f>"2000-07-21"</f>
        <v>2000-07-21</v>
      </c>
      <c r="E171" s="6" t="str">
        <f t="shared" si="88"/>
        <v>本科</v>
      </c>
      <c r="F171" s="6" t="str">
        <f>"经济学学士"</f>
        <v>经济学学士</v>
      </c>
      <c r="G171" s="6" t="str">
        <f>"金融学"</f>
        <v>金融学</v>
      </c>
      <c r="H171" s="7" t="s">
        <v>9</v>
      </c>
    </row>
    <row r="172" spans="1:8" ht="15" customHeight="1">
      <c r="A172" s="5">
        <v>170</v>
      </c>
      <c r="B172" s="6" t="str">
        <f>"陈彩丁"</f>
        <v>陈彩丁</v>
      </c>
      <c r="C172" s="6" t="str">
        <f>"女"</f>
        <v>女</v>
      </c>
      <c r="D172" s="6" t="str">
        <f>"1992-09-22"</f>
        <v>1992-09-22</v>
      </c>
      <c r="E172" s="6" t="str">
        <f t="shared" si="88"/>
        <v>本科</v>
      </c>
      <c r="F172" s="6" t="str">
        <f>"学士"</f>
        <v>学士</v>
      </c>
      <c r="G172" s="6" t="str">
        <f>"旅游管理"</f>
        <v>旅游管理</v>
      </c>
      <c r="H172" s="7" t="s">
        <v>9</v>
      </c>
    </row>
    <row r="173" spans="1:8" ht="15" customHeight="1">
      <c r="A173" s="5">
        <v>171</v>
      </c>
      <c r="B173" s="6" t="str">
        <f>"林立雄"</f>
        <v>林立雄</v>
      </c>
      <c r="C173" s="6" t="str">
        <f t="shared" si="89"/>
        <v>男</v>
      </c>
      <c r="D173" s="6" t="str">
        <f>"1991-01-22"</f>
        <v>1991-01-22</v>
      </c>
      <c r="E173" s="6" t="str">
        <f t="shared" si="88"/>
        <v>本科</v>
      </c>
      <c r="F173" s="6" t="str">
        <f>"工学学士"</f>
        <v>工学学士</v>
      </c>
      <c r="G173" s="6" t="str">
        <f>"土木工程"</f>
        <v>土木工程</v>
      </c>
      <c r="H173" s="7" t="s">
        <v>9</v>
      </c>
    </row>
    <row r="174" spans="1:8" ht="15" customHeight="1">
      <c r="A174" s="5">
        <v>172</v>
      </c>
      <c r="B174" s="6" t="str">
        <f>"张泽龙"</f>
        <v>张泽龙</v>
      </c>
      <c r="C174" s="6" t="str">
        <f t="shared" si="89"/>
        <v>男</v>
      </c>
      <c r="D174" s="6" t="str">
        <f>"2000-12-10"</f>
        <v>2000-12-10</v>
      </c>
      <c r="E174" s="6" t="str">
        <f>"全日制本科"</f>
        <v>全日制本科</v>
      </c>
      <c r="F174" s="6" t="str">
        <f>"农学学士学位"</f>
        <v>农学学士学位</v>
      </c>
      <c r="G174" s="6" t="str">
        <f>"野生动物与自然保护区管理"</f>
        <v>野生动物与自然保护区管理</v>
      </c>
      <c r="H174" s="7" t="s">
        <v>9</v>
      </c>
    </row>
    <row r="175" spans="1:8" ht="15" customHeight="1">
      <c r="A175" s="5">
        <v>173</v>
      </c>
      <c r="B175" s="6" t="str">
        <f>"王书锐"</f>
        <v>王书锐</v>
      </c>
      <c r="C175" s="6" t="str">
        <f t="shared" si="89"/>
        <v>男</v>
      </c>
      <c r="D175" s="6" t="str">
        <f>"1996-08-10"</f>
        <v>1996-08-10</v>
      </c>
      <c r="E175" s="6" t="str">
        <f aca="true" t="shared" si="90" ref="E175:E183">"本科"</f>
        <v>本科</v>
      </c>
      <c r="F175" s="6" t="str">
        <f>"农学学士"</f>
        <v>农学学士</v>
      </c>
      <c r="G175" s="6" t="str">
        <f>"园艺"</f>
        <v>园艺</v>
      </c>
      <c r="H175" s="7" t="s">
        <v>9</v>
      </c>
    </row>
    <row r="176" spans="1:8" ht="15" customHeight="1">
      <c r="A176" s="5">
        <v>174</v>
      </c>
      <c r="B176" s="6" t="str">
        <f>"孙有干"</f>
        <v>孙有干</v>
      </c>
      <c r="C176" s="6" t="str">
        <f aca="true" t="shared" si="91" ref="C176:C182">"女"</f>
        <v>女</v>
      </c>
      <c r="D176" s="6" t="str">
        <f>"1998-09-05"</f>
        <v>1998-09-05</v>
      </c>
      <c r="E176" s="6" t="str">
        <f>"大学本科学历"</f>
        <v>大学本科学历</v>
      </c>
      <c r="F176" s="6" t="str">
        <f>"工学学士"</f>
        <v>工学学士</v>
      </c>
      <c r="G176" s="6" t="str">
        <f>"物联网工程"</f>
        <v>物联网工程</v>
      </c>
      <c r="H176" s="7" t="s">
        <v>9</v>
      </c>
    </row>
    <row r="177" spans="1:8" ht="15" customHeight="1">
      <c r="A177" s="5">
        <v>175</v>
      </c>
      <c r="B177" s="6" t="str">
        <f>"符武逸"</f>
        <v>符武逸</v>
      </c>
      <c r="C177" s="6" t="str">
        <f>"男"</f>
        <v>男</v>
      </c>
      <c r="D177" s="6" t="str">
        <f>"1995-06-09"</f>
        <v>1995-06-09</v>
      </c>
      <c r="E177" s="6" t="str">
        <f t="shared" si="90"/>
        <v>本科</v>
      </c>
      <c r="F177" s="6" t="str">
        <f>"经济学学士学位"</f>
        <v>经济学学士学位</v>
      </c>
      <c r="G177" s="6" t="str">
        <f>"经济学"</f>
        <v>经济学</v>
      </c>
      <c r="H177" s="7" t="s">
        <v>9</v>
      </c>
    </row>
    <row r="178" spans="1:8" ht="15" customHeight="1">
      <c r="A178" s="5">
        <v>176</v>
      </c>
      <c r="B178" s="6" t="str">
        <f>"曹德明"</f>
        <v>曹德明</v>
      </c>
      <c r="C178" s="6" t="str">
        <f>"男"</f>
        <v>男</v>
      </c>
      <c r="D178" s="6" t="str">
        <f>"1993-02-15"</f>
        <v>1993-02-15</v>
      </c>
      <c r="E178" s="6" t="str">
        <f>"大学本科"</f>
        <v>大学本科</v>
      </c>
      <c r="F178" s="6" t="str">
        <f>"经济学学士"</f>
        <v>经济学学士</v>
      </c>
      <c r="G178" s="6" t="str">
        <f>"国际经济与贸易"</f>
        <v>国际经济与贸易</v>
      </c>
      <c r="H178" s="7" t="s">
        <v>9</v>
      </c>
    </row>
    <row r="179" spans="1:8" ht="15" customHeight="1">
      <c r="A179" s="5">
        <v>177</v>
      </c>
      <c r="B179" s="6" t="str">
        <f>"罗伶"</f>
        <v>罗伶</v>
      </c>
      <c r="C179" s="6" t="str">
        <f t="shared" si="91"/>
        <v>女</v>
      </c>
      <c r="D179" s="6" t="str">
        <f>"1996-12-25"</f>
        <v>1996-12-25</v>
      </c>
      <c r="E179" s="6" t="str">
        <f t="shared" si="90"/>
        <v>本科</v>
      </c>
      <c r="F179" s="6" t="str">
        <f>"管理学学士"</f>
        <v>管理学学士</v>
      </c>
      <c r="G179" s="6" t="str">
        <f>"行政管理（行政文秘方向）专业"</f>
        <v>行政管理（行政文秘方向）专业</v>
      </c>
      <c r="H179" s="7" t="s">
        <v>9</v>
      </c>
    </row>
    <row r="180" spans="1:8" ht="15" customHeight="1">
      <c r="A180" s="5">
        <v>178</v>
      </c>
      <c r="B180" s="6" t="str">
        <f>"陈晓宇"</f>
        <v>陈晓宇</v>
      </c>
      <c r="C180" s="6" t="str">
        <f t="shared" si="91"/>
        <v>女</v>
      </c>
      <c r="D180" s="6" t="str">
        <f>"1996-12-18"</f>
        <v>1996-12-18</v>
      </c>
      <c r="E180" s="6" t="str">
        <f t="shared" si="90"/>
        <v>本科</v>
      </c>
      <c r="F180" s="6" t="str">
        <f>"文学学士"</f>
        <v>文学学士</v>
      </c>
      <c r="G180" s="6" t="str">
        <f>"汉语国际教育"</f>
        <v>汉语国际教育</v>
      </c>
      <c r="H180" s="7" t="s">
        <v>9</v>
      </c>
    </row>
    <row r="181" spans="1:8" ht="15" customHeight="1">
      <c r="A181" s="5">
        <v>179</v>
      </c>
      <c r="B181" s="6" t="str">
        <f>"韩诗琦"</f>
        <v>韩诗琦</v>
      </c>
      <c r="C181" s="6" t="str">
        <f t="shared" si="91"/>
        <v>女</v>
      </c>
      <c r="D181" s="6" t="str">
        <f>"1996-10-18"</f>
        <v>1996-10-18</v>
      </c>
      <c r="E181" s="6" t="str">
        <f t="shared" si="90"/>
        <v>本科</v>
      </c>
      <c r="F181" s="6" t="str">
        <f>"理学学士"</f>
        <v>理学学士</v>
      </c>
      <c r="G181" s="6" t="str">
        <f>"环境科学"</f>
        <v>环境科学</v>
      </c>
      <c r="H181" s="7" t="s">
        <v>9</v>
      </c>
    </row>
    <row r="182" spans="1:8" ht="15" customHeight="1">
      <c r="A182" s="5">
        <v>180</v>
      </c>
      <c r="B182" s="6" t="str">
        <f>"苏杨慧"</f>
        <v>苏杨慧</v>
      </c>
      <c r="C182" s="6" t="str">
        <f t="shared" si="91"/>
        <v>女</v>
      </c>
      <c r="D182" s="6" t="str">
        <f>"1991-10-01"</f>
        <v>1991-10-01</v>
      </c>
      <c r="E182" s="6" t="str">
        <f t="shared" si="90"/>
        <v>本科</v>
      </c>
      <c r="F182" s="6" t="str">
        <f>"文学学士"</f>
        <v>文学学士</v>
      </c>
      <c r="G182" s="6" t="str">
        <f>"中国少数民族语言文学"</f>
        <v>中国少数民族语言文学</v>
      </c>
      <c r="H182" s="7" t="s">
        <v>9</v>
      </c>
    </row>
    <row r="183" spans="1:8" ht="15" customHeight="1">
      <c r="A183" s="5">
        <v>181</v>
      </c>
      <c r="B183" s="6" t="str">
        <f>"邢孔体"</f>
        <v>邢孔体</v>
      </c>
      <c r="C183" s="6" t="str">
        <f aca="true" t="shared" si="92" ref="C183:C186">"男"</f>
        <v>男</v>
      </c>
      <c r="D183" s="6" t="str">
        <f>"1998-02-24"</f>
        <v>1998-02-24</v>
      </c>
      <c r="E183" s="6" t="str">
        <f t="shared" si="90"/>
        <v>本科</v>
      </c>
      <c r="F183" s="6" t="str">
        <f aca="true" t="shared" si="93" ref="F183:F185">"工学学士"</f>
        <v>工学学士</v>
      </c>
      <c r="G183" s="6" t="str">
        <f>"计算机科学与技术"</f>
        <v>计算机科学与技术</v>
      </c>
      <c r="H183" s="7" t="s">
        <v>9</v>
      </c>
    </row>
    <row r="184" spans="1:8" ht="15" customHeight="1">
      <c r="A184" s="5">
        <v>182</v>
      </c>
      <c r="B184" s="6" t="str">
        <f>"陆家斌"</f>
        <v>陆家斌</v>
      </c>
      <c r="C184" s="6" t="str">
        <f t="shared" si="92"/>
        <v>男</v>
      </c>
      <c r="D184" s="6" t="str">
        <f>"2001-02-12"</f>
        <v>2001-02-12</v>
      </c>
      <c r="E184" s="6" t="str">
        <f>"全日制本科"</f>
        <v>全日制本科</v>
      </c>
      <c r="F184" s="6" t="str">
        <f t="shared" si="93"/>
        <v>工学学士</v>
      </c>
      <c r="G184" s="6" t="str">
        <f>"环境工程"</f>
        <v>环境工程</v>
      </c>
      <c r="H184" s="7" t="s">
        <v>9</v>
      </c>
    </row>
    <row r="185" spans="1:8" ht="15" customHeight="1">
      <c r="A185" s="5">
        <v>183</v>
      </c>
      <c r="B185" s="6" t="str">
        <f>"蒙钟孟"</f>
        <v>蒙钟孟</v>
      </c>
      <c r="C185" s="6" t="str">
        <f aca="true" t="shared" si="94" ref="C185:C188">"女"</f>
        <v>女</v>
      </c>
      <c r="D185" s="6" t="str">
        <f>"1993-02-08"</f>
        <v>1993-02-08</v>
      </c>
      <c r="E185" s="6" t="str">
        <f aca="true" t="shared" si="95" ref="E185:E191">"大学本科"</f>
        <v>大学本科</v>
      </c>
      <c r="F185" s="6" t="str">
        <f t="shared" si="93"/>
        <v>工学学士</v>
      </c>
      <c r="G185" s="6" t="str">
        <f>"城市规划"</f>
        <v>城市规划</v>
      </c>
      <c r="H185" s="7" t="s">
        <v>9</v>
      </c>
    </row>
    <row r="186" spans="1:8" ht="15" customHeight="1">
      <c r="A186" s="5">
        <v>184</v>
      </c>
      <c r="B186" s="6" t="str">
        <f>"林道仁"</f>
        <v>林道仁</v>
      </c>
      <c r="C186" s="6" t="str">
        <f t="shared" si="92"/>
        <v>男</v>
      </c>
      <c r="D186" s="6" t="str">
        <f>"1996-03-11"</f>
        <v>1996-03-11</v>
      </c>
      <c r="E186" s="6" t="str">
        <f aca="true" t="shared" si="96" ref="E186:E189">"本科"</f>
        <v>本科</v>
      </c>
      <c r="F186" s="6" t="str">
        <f>"农学学士"</f>
        <v>农学学士</v>
      </c>
      <c r="G186" s="6" t="str">
        <f>"种子科学与工程"</f>
        <v>种子科学与工程</v>
      </c>
      <c r="H186" s="7" t="s">
        <v>9</v>
      </c>
    </row>
    <row r="187" spans="1:8" ht="15" customHeight="1">
      <c r="A187" s="5">
        <v>185</v>
      </c>
      <c r="B187" s="6" t="str">
        <f>"吴惠尾"</f>
        <v>吴惠尾</v>
      </c>
      <c r="C187" s="6" t="str">
        <f t="shared" si="94"/>
        <v>女</v>
      </c>
      <c r="D187" s="6" t="str">
        <f>"1992-06-15"</f>
        <v>1992-06-15</v>
      </c>
      <c r="E187" s="6" t="str">
        <f t="shared" si="95"/>
        <v>大学本科</v>
      </c>
      <c r="F187" s="6" t="str">
        <f>"管理学学士"</f>
        <v>管理学学士</v>
      </c>
      <c r="G187" s="6" t="str">
        <f>"公共事业管理"</f>
        <v>公共事业管理</v>
      </c>
      <c r="H187" s="7" t="s">
        <v>9</v>
      </c>
    </row>
    <row r="188" spans="1:8" ht="15" customHeight="1">
      <c r="A188" s="5">
        <v>186</v>
      </c>
      <c r="B188" s="6" t="str">
        <f>"卢洁琳"</f>
        <v>卢洁琳</v>
      </c>
      <c r="C188" s="6" t="str">
        <f t="shared" si="94"/>
        <v>女</v>
      </c>
      <c r="D188" s="6" t="str">
        <f>"1996-06-28"</f>
        <v>1996-06-28</v>
      </c>
      <c r="E188" s="6" t="str">
        <f t="shared" si="96"/>
        <v>本科</v>
      </c>
      <c r="F188" s="6" t="str">
        <f>"管理学学士学位"</f>
        <v>管理学学士学位</v>
      </c>
      <c r="G188" s="6" t="str">
        <f>"人力资源管理"</f>
        <v>人力资源管理</v>
      </c>
      <c r="H188" s="7" t="s">
        <v>9</v>
      </c>
    </row>
    <row r="189" spans="1:8" ht="15" customHeight="1">
      <c r="A189" s="5">
        <v>187</v>
      </c>
      <c r="B189" s="6" t="str">
        <f>"蒙重良"</f>
        <v>蒙重良</v>
      </c>
      <c r="C189" s="6" t="str">
        <f aca="true" t="shared" si="97" ref="C189:C192">"男"</f>
        <v>男</v>
      </c>
      <c r="D189" s="6" t="str">
        <f>"2000-03-14"</f>
        <v>2000-03-14</v>
      </c>
      <c r="E189" s="6" t="str">
        <f t="shared" si="96"/>
        <v>本科</v>
      </c>
      <c r="F189" s="6" t="str">
        <f>"工学学士"</f>
        <v>工学学士</v>
      </c>
      <c r="G189" s="6" t="str">
        <f>"土木工程"</f>
        <v>土木工程</v>
      </c>
      <c r="H189" s="7" t="s">
        <v>9</v>
      </c>
    </row>
    <row r="190" spans="1:8" ht="15" customHeight="1">
      <c r="A190" s="5">
        <v>188</v>
      </c>
      <c r="B190" s="6" t="str">
        <f>"曾虹"</f>
        <v>曾虹</v>
      </c>
      <c r="C190" s="6" t="str">
        <f aca="true" t="shared" si="98" ref="C190:C195">"女"</f>
        <v>女</v>
      </c>
      <c r="D190" s="6" t="str">
        <f>"1993-06-18"</f>
        <v>1993-06-18</v>
      </c>
      <c r="E190" s="6" t="str">
        <f t="shared" si="95"/>
        <v>大学本科</v>
      </c>
      <c r="F190" s="6" t="str">
        <f>"经济学学士"</f>
        <v>经济学学士</v>
      </c>
      <c r="G190" s="6" t="str">
        <f>"国际经济与贸易"</f>
        <v>国际经济与贸易</v>
      </c>
      <c r="H190" s="7" t="s">
        <v>9</v>
      </c>
    </row>
    <row r="191" spans="1:8" ht="15" customHeight="1">
      <c r="A191" s="5">
        <v>189</v>
      </c>
      <c r="B191" s="6" t="str">
        <f>"黄福凯"</f>
        <v>黄福凯</v>
      </c>
      <c r="C191" s="6" t="str">
        <f t="shared" si="97"/>
        <v>男</v>
      </c>
      <c r="D191" s="6" t="str">
        <f>"1993-08-13"</f>
        <v>1993-08-13</v>
      </c>
      <c r="E191" s="6" t="str">
        <f t="shared" si="95"/>
        <v>大学本科</v>
      </c>
      <c r="F191" s="6" t="str">
        <f>"经济学学士"</f>
        <v>经济学学士</v>
      </c>
      <c r="G191" s="6" t="str">
        <f>"金融学"</f>
        <v>金融学</v>
      </c>
      <c r="H191" s="7" t="s">
        <v>9</v>
      </c>
    </row>
    <row r="192" spans="1:8" ht="15" customHeight="1">
      <c r="A192" s="5">
        <v>190</v>
      </c>
      <c r="B192" s="6" t="str">
        <f>"符洪毓"</f>
        <v>符洪毓</v>
      </c>
      <c r="C192" s="6" t="str">
        <f t="shared" si="97"/>
        <v>男</v>
      </c>
      <c r="D192" s="6" t="str">
        <f>"1992-08-14"</f>
        <v>1992-08-14</v>
      </c>
      <c r="E192" s="6" t="str">
        <f>"全日制本科"</f>
        <v>全日制本科</v>
      </c>
      <c r="F192" s="6" t="str">
        <f>"文学学士"</f>
        <v>文学学士</v>
      </c>
      <c r="G192" s="6" t="str">
        <f>"汉语言文学（师范方向）"</f>
        <v>汉语言文学（师范方向）</v>
      </c>
      <c r="H192" s="7" t="s">
        <v>9</v>
      </c>
    </row>
    <row r="193" spans="1:8" ht="15" customHeight="1">
      <c r="A193" s="5">
        <v>191</v>
      </c>
      <c r="B193" s="6" t="str">
        <f>"龙丁柔"</f>
        <v>龙丁柔</v>
      </c>
      <c r="C193" s="6" t="str">
        <f t="shared" si="98"/>
        <v>女</v>
      </c>
      <c r="D193" s="6" t="str">
        <f>"1997-09-06"</f>
        <v>1997-09-06</v>
      </c>
      <c r="E193" s="6" t="str">
        <f aca="true" t="shared" si="99" ref="E193:E196">"本科"</f>
        <v>本科</v>
      </c>
      <c r="F193" s="6" t="str">
        <f>"管理学学士"</f>
        <v>管理学学士</v>
      </c>
      <c r="G193" s="6" t="str">
        <f>"旅游管理"</f>
        <v>旅游管理</v>
      </c>
      <c r="H193" s="7" t="s">
        <v>9</v>
      </c>
    </row>
    <row r="194" spans="1:8" ht="15" customHeight="1">
      <c r="A194" s="5">
        <v>192</v>
      </c>
      <c r="B194" s="6" t="str">
        <f>"梁凯"</f>
        <v>梁凯</v>
      </c>
      <c r="C194" s="6" t="str">
        <f aca="true" t="shared" si="100" ref="C194:C197">"男"</f>
        <v>男</v>
      </c>
      <c r="D194" s="6" t="str">
        <f>"1998-01-11"</f>
        <v>1998-01-11</v>
      </c>
      <c r="E194" s="6" t="str">
        <f t="shared" si="99"/>
        <v>本科</v>
      </c>
      <c r="F194" s="6" t="str">
        <f>"建筑学学士"</f>
        <v>建筑学学士</v>
      </c>
      <c r="G194" s="6" t="str">
        <f>"建筑学"</f>
        <v>建筑学</v>
      </c>
      <c r="H194" s="7" t="s">
        <v>9</v>
      </c>
    </row>
    <row r="195" spans="1:8" ht="15" customHeight="1">
      <c r="A195" s="5">
        <v>193</v>
      </c>
      <c r="B195" s="6" t="str">
        <f>"蒙素仙"</f>
        <v>蒙素仙</v>
      </c>
      <c r="C195" s="6" t="str">
        <f t="shared" si="98"/>
        <v>女</v>
      </c>
      <c r="D195" s="6" t="str">
        <f>"1991-01-16"</f>
        <v>1991-01-16</v>
      </c>
      <c r="E195" s="6" t="str">
        <f t="shared" si="99"/>
        <v>本科</v>
      </c>
      <c r="F195" s="6" t="str">
        <f>"工学学士"</f>
        <v>工学学士</v>
      </c>
      <c r="G195" s="6" t="str">
        <f>"网络工程"</f>
        <v>网络工程</v>
      </c>
      <c r="H195" s="7" t="s">
        <v>9</v>
      </c>
    </row>
    <row r="196" spans="1:8" ht="15" customHeight="1">
      <c r="A196" s="5">
        <v>194</v>
      </c>
      <c r="B196" s="6" t="str">
        <f>"章宁"</f>
        <v>章宁</v>
      </c>
      <c r="C196" s="6" t="str">
        <f t="shared" si="100"/>
        <v>男</v>
      </c>
      <c r="D196" s="6" t="str">
        <f>"2000-07-07"</f>
        <v>2000-07-07</v>
      </c>
      <c r="E196" s="6" t="str">
        <f t="shared" si="99"/>
        <v>本科</v>
      </c>
      <c r="F196" s="6" t="str">
        <f>"文学学士"</f>
        <v>文学学士</v>
      </c>
      <c r="G196" s="6" t="str">
        <f>"汉语言文学"</f>
        <v>汉语言文学</v>
      </c>
      <c r="H196" s="7" t="s">
        <v>9</v>
      </c>
    </row>
    <row r="197" spans="1:8" ht="15" customHeight="1">
      <c r="A197" s="5">
        <v>195</v>
      </c>
      <c r="B197" s="6" t="str">
        <f>"蔡辉龙"</f>
        <v>蔡辉龙</v>
      </c>
      <c r="C197" s="6" t="str">
        <f t="shared" si="100"/>
        <v>男</v>
      </c>
      <c r="D197" s="6" t="str">
        <f>"1998-07-16"</f>
        <v>1998-07-16</v>
      </c>
      <c r="E197" s="6" t="str">
        <f>"全日制本科"</f>
        <v>全日制本科</v>
      </c>
      <c r="F197" s="6" t="str">
        <f>"工学学士"</f>
        <v>工学学士</v>
      </c>
      <c r="G197" s="6" t="str">
        <f>"建筑学"</f>
        <v>建筑学</v>
      </c>
      <c r="H197" s="7" t="s">
        <v>9</v>
      </c>
    </row>
    <row r="198" spans="1:8" ht="15" customHeight="1">
      <c r="A198" s="5">
        <v>196</v>
      </c>
      <c r="B198" s="6" t="str">
        <f>"罗悦琪"</f>
        <v>罗悦琪</v>
      </c>
      <c r="C198" s="6" t="str">
        <f aca="true" t="shared" si="101" ref="C198:C205">"女"</f>
        <v>女</v>
      </c>
      <c r="D198" s="6" t="str">
        <f>"1998-09-30"</f>
        <v>1998-09-30</v>
      </c>
      <c r="E198" s="6" t="str">
        <f aca="true" t="shared" si="102" ref="E198:E202">"本科"</f>
        <v>本科</v>
      </c>
      <c r="F198" s="6" t="str">
        <f>"理学学士"</f>
        <v>理学学士</v>
      </c>
      <c r="G198" s="6" t="str">
        <f>"环境科学"</f>
        <v>环境科学</v>
      </c>
      <c r="H198" s="7" t="s">
        <v>9</v>
      </c>
    </row>
    <row r="199" spans="1:8" ht="15" customHeight="1">
      <c r="A199" s="5">
        <v>197</v>
      </c>
      <c r="B199" s="6" t="str">
        <f>"徐立馨"</f>
        <v>徐立馨</v>
      </c>
      <c r="C199" s="6" t="str">
        <f t="shared" si="101"/>
        <v>女</v>
      </c>
      <c r="D199" s="6" t="str">
        <f>"2000-02-03"</f>
        <v>2000-02-03</v>
      </c>
      <c r="E199" s="6" t="str">
        <f t="shared" si="102"/>
        <v>本科</v>
      </c>
      <c r="F199" s="6" t="str">
        <f>"经济学学士"</f>
        <v>经济学学士</v>
      </c>
      <c r="G199" s="6" t="str">
        <f>"税收学"</f>
        <v>税收学</v>
      </c>
      <c r="H199" s="7" t="s">
        <v>9</v>
      </c>
    </row>
    <row r="200" spans="1:8" ht="15" customHeight="1">
      <c r="A200" s="5">
        <v>198</v>
      </c>
      <c r="B200" s="6" t="str">
        <f>"符月娜"</f>
        <v>符月娜</v>
      </c>
      <c r="C200" s="6" t="str">
        <f t="shared" si="101"/>
        <v>女</v>
      </c>
      <c r="D200" s="6" t="str">
        <f>"1996-04-05"</f>
        <v>1996-04-05</v>
      </c>
      <c r="E200" s="6" t="str">
        <f>"大学本科"</f>
        <v>大学本科</v>
      </c>
      <c r="F200" s="6" t="str">
        <f aca="true" t="shared" si="103" ref="F200:F203">"管理学学士"</f>
        <v>管理学学士</v>
      </c>
      <c r="G200" s="6" t="str">
        <f>"物流管理"</f>
        <v>物流管理</v>
      </c>
      <c r="H200" s="7" t="s">
        <v>9</v>
      </c>
    </row>
    <row r="201" spans="1:8" ht="15" customHeight="1">
      <c r="A201" s="5">
        <v>199</v>
      </c>
      <c r="B201" s="6" t="str">
        <f>"董晓文"</f>
        <v>董晓文</v>
      </c>
      <c r="C201" s="6" t="str">
        <f t="shared" si="101"/>
        <v>女</v>
      </c>
      <c r="D201" s="6" t="str">
        <f>"1998-09-13"</f>
        <v>1998-09-13</v>
      </c>
      <c r="E201" s="6" t="str">
        <f t="shared" si="102"/>
        <v>本科</v>
      </c>
      <c r="F201" s="6" t="str">
        <f t="shared" si="103"/>
        <v>管理学学士</v>
      </c>
      <c r="G201" s="6" t="str">
        <f>"工商管理"</f>
        <v>工商管理</v>
      </c>
      <c r="H201" s="7" t="s">
        <v>9</v>
      </c>
    </row>
    <row r="202" spans="1:8" ht="15" customHeight="1">
      <c r="A202" s="5">
        <v>200</v>
      </c>
      <c r="B202" s="6" t="str">
        <f>"许苑琳"</f>
        <v>许苑琳</v>
      </c>
      <c r="C202" s="6" t="str">
        <f t="shared" si="101"/>
        <v>女</v>
      </c>
      <c r="D202" s="6" t="str">
        <f>"1994-12-21"</f>
        <v>1994-12-21</v>
      </c>
      <c r="E202" s="6" t="str">
        <f t="shared" si="102"/>
        <v>本科</v>
      </c>
      <c r="F202" s="6" t="str">
        <f t="shared" si="103"/>
        <v>管理学学士</v>
      </c>
      <c r="G202" s="6" t="str">
        <f>"旅游管理"</f>
        <v>旅游管理</v>
      </c>
      <c r="H202" s="7" t="s">
        <v>9</v>
      </c>
    </row>
    <row r="203" spans="1:8" ht="15" customHeight="1">
      <c r="A203" s="5">
        <v>201</v>
      </c>
      <c r="B203" s="6" t="str">
        <f>"张海玉"</f>
        <v>张海玉</v>
      </c>
      <c r="C203" s="6" t="str">
        <f t="shared" si="101"/>
        <v>女</v>
      </c>
      <c r="D203" s="6" t="str">
        <f>"2000-06-02"</f>
        <v>2000-06-02</v>
      </c>
      <c r="E203" s="6" t="str">
        <f>"全日制本科"</f>
        <v>全日制本科</v>
      </c>
      <c r="F203" s="6" t="str">
        <f t="shared" si="103"/>
        <v>管理学学士</v>
      </c>
      <c r="G203" s="6" t="str">
        <f>"（酒店管理）"</f>
        <v>（酒店管理）</v>
      </c>
      <c r="H203" s="7" t="s">
        <v>9</v>
      </c>
    </row>
    <row r="204" spans="1:8" ht="15" customHeight="1">
      <c r="A204" s="5">
        <v>202</v>
      </c>
      <c r="B204" s="6" t="str">
        <f>"符有平"</f>
        <v>符有平</v>
      </c>
      <c r="C204" s="6" t="str">
        <f t="shared" si="101"/>
        <v>女</v>
      </c>
      <c r="D204" s="6" t="str">
        <f>"1993-08-18"</f>
        <v>1993-08-18</v>
      </c>
      <c r="E204" s="6" t="str">
        <f>"本科学历"</f>
        <v>本科学历</v>
      </c>
      <c r="F204" s="6" t="str">
        <f>"文学学士"</f>
        <v>文学学士</v>
      </c>
      <c r="G204" s="6" t="str">
        <f>"汉语国际教育"</f>
        <v>汉语国际教育</v>
      </c>
      <c r="H204" s="7" t="s">
        <v>9</v>
      </c>
    </row>
    <row r="205" spans="1:8" ht="15" customHeight="1">
      <c r="A205" s="5">
        <v>203</v>
      </c>
      <c r="B205" s="6" t="str">
        <f>"刘小叶"</f>
        <v>刘小叶</v>
      </c>
      <c r="C205" s="6" t="str">
        <f t="shared" si="101"/>
        <v>女</v>
      </c>
      <c r="D205" s="6" t="str">
        <f>"1999-06-10"</f>
        <v>1999-06-10</v>
      </c>
      <c r="E205" s="6" t="str">
        <f aca="true" t="shared" si="104" ref="E205:E208">"本科"</f>
        <v>本科</v>
      </c>
      <c r="F205" s="6" t="str">
        <f>"经济学学士"</f>
        <v>经济学学士</v>
      </c>
      <c r="G205" s="6" t="str">
        <f>"经济统计学"</f>
        <v>经济统计学</v>
      </c>
      <c r="H205" s="7" t="s">
        <v>9</v>
      </c>
    </row>
    <row r="206" spans="1:8" ht="15" customHeight="1">
      <c r="A206" s="5">
        <v>204</v>
      </c>
      <c r="B206" s="6" t="str">
        <f>"麦荣强"</f>
        <v>麦荣强</v>
      </c>
      <c r="C206" s="6" t="str">
        <f>"男"</f>
        <v>男</v>
      </c>
      <c r="D206" s="6" t="str">
        <f>"1997-03-05"</f>
        <v>1997-03-05</v>
      </c>
      <c r="E206" s="6" t="str">
        <f t="shared" si="104"/>
        <v>本科</v>
      </c>
      <c r="F206" s="6" t="str">
        <f>"工学学士"</f>
        <v>工学学士</v>
      </c>
      <c r="G206" s="6" t="str">
        <f>"计算机科学与技术"</f>
        <v>计算机科学与技术</v>
      </c>
      <c r="H206" s="7" t="s">
        <v>9</v>
      </c>
    </row>
    <row r="207" spans="1:8" ht="15" customHeight="1">
      <c r="A207" s="5">
        <v>205</v>
      </c>
      <c r="B207" s="6" t="str">
        <f>"苏文海"</f>
        <v>苏文海</v>
      </c>
      <c r="C207" s="6" t="str">
        <f>"男"</f>
        <v>男</v>
      </c>
      <c r="D207" s="6" t="str">
        <f>"1994-09-23"</f>
        <v>1994-09-23</v>
      </c>
      <c r="E207" s="6" t="str">
        <f t="shared" si="104"/>
        <v>本科</v>
      </c>
      <c r="F207" s="6" t="str">
        <f>"农学士学位"</f>
        <v>农学士学位</v>
      </c>
      <c r="G207" s="6" t="str">
        <f>"设施农业科学与工程"</f>
        <v>设施农业科学与工程</v>
      </c>
      <c r="H207" s="7" t="s">
        <v>9</v>
      </c>
    </row>
    <row r="208" spans="1:8" ht="15" customHeight="1">
      <c r="A208" s="5">
        <v>206</v>
      </c>
      <c r="B208" s="6" t="str">
        <f>"林丹丹"</f>
        <v>林丹丹</v>
      </c>
      <c r="C208" s="6" t="str">
        <f aca="true" t="shared" si="105" ref="C208:C211">"女"</f>
        <v>女</v>
      </c>
      <c r="D208" s="6" t="str">
        <f>"1995-09-30"</f>
        <v>1995-09-30</v>
      </c>
      <c r="E208" s="6" t="str">
        <f t="shared" si="104"/>
        <v>本科</v>
      </c>
      <c r="F208" s="6" t="str">
        <f>"管理学学士"</f>
        <v>管理学学士</v>
      </c>
      <c r="G208" s="6" t="str">
        <f>"财务管理"</f>
        <v>财务管理</v>
      </c>
      <c r="H208" s="7" t="s">
        <v>9</v>
      </c>
    </row>
    <row r="209" spans="1:8" ht="15" customHeight="1">
      <c r="A209" s="5">
        <v>207</v>
      </c>
      <c r="B209" s="6" t="str">
        <f>"黄美端"</f>
        <v>黄美端</v>
      </c>
      <c r="C209" s="6" t="str">
        <f t="shared" si="105"/>
        <v>女</v>
      </c>
      <c r="D209" s="6" t="str">
        <f>"1996-10-14"</f>
        <v>1996-10-14</v>
      </c>
      <c r="E209" s="6" t="str">
        <f>"大学本科"</f>
        <v>大学本科</v>
      </c>
      <c r="F209" s="6" t="str">
        <f>"工学学位"</f>
        <v>工学学位</v>
      </c>
      <c r="G209" s="6" t="str">
        <f>"计算机科学与技术"</f>
        <v>计算机科学与技术</v>
      </c>
      <c r="H209" s="7" t="s">
        <v>9</v>
      </c>
    </row>
    <row r="210" spans="1:8" ht="15" customHeight="1">
      <c r="A210" s="5">
        <v>208</v>
      </c>
      <c r="B210" s="6" t="str">
        <f>"王添"</f>
        <v>王添</v>
      </c>
      <c r="C210" s="6" t="str">
        <f t="shared" si="105"/>
        <v>女</v>
      </c>
      <c r="D210" s="6" t="str">
        <f>"2000-02-01"</f>
        <v>2000-02-01</v>
      </c>
      <c r="E210" s="6" t="str">
        <f aca="true" t="shared" si="106" ref="E210:E213">"本科"</f>
        <v>本科</v>
      </c>
      <c r="F210" s="6" t="str">
        <f>"管理学学士"</f>
        <v>管理学学士</v>
      </c>
      <c r="G210" s="6" t="str">
        <f>"人力资源管理"</f>
        <v>人力资源管理</v>
      </c>
      <c r="H210" s="7" t="s">
        <v>9</v>
      </c>
    </row>
    <row r="211" spans="1:8" ht="15" customHeight="1">
      <c r="A211" s="5">
        <v>209</v>
      </c>
      <c r="B211" s="6" t="str">
        <f>"陈小慧"</f>
        <v>陈小慧</v>
      </c>
      <c r="C211" s="6" t="str">
        <f t="shared" si="105"/>
        <v>女</v>
      </c>
      <c r="D211" s="6" t="str">
        <f>"1991-10-08"</f>
        <v>1991-10-08</v>
      </c>
      <c r="E211" s="6" t="str">
        <f t="shared" si="106"/>
        <v>本科</v>
      </c>
      <c r="F211" s="6" t="str">
        <f>"经济学学士"</f>
        <v>经济学学士</v>
      </c>
      <c r="G211" s="6" t="str">
        <f>"国际经济与贸易"</f>
        <v>国际经济与贸易</v>
      </c>
      <c r="H211" s="7" t="s">
        <v>9</v>
      </c>
    </row>
    <row r="212" spans="1:8" ht="15" customHeight="1">
      <c r="A212" s="5">
        <v>210</v>
      </c>
      <c r="B212" s="6" t="str">
        <f>"符浩"</f>
        <v>符浩</v>
      </c>
      <c r="C212" s="6" t="str">
        <f>"男"</f>
        <v>男</v>
      </c>
      <c r="D212" s="6" t="str">
        <f>"1998-06-02"</f>
        <v>1998-06-02</v>
      </c>
      <c r="E212" s="6" t="str">
        <f>"大学本科学历"</f>
        <v>大学本科学历</v>
      </c>
      <c r="F212" s="6" t="str">
        <f>"学士学位"</f>
        <v>学士学位</v>
      </c>
      <c r="G212" s="6" t="str">
        <f>"土木工程"</f>
        <v>土木工程</v>
      </c>
      <c r="H212" s="7" t="s">
        <v>9</v>
      </c>
    </row>
    <row r="213" spans="1:8" ht="15" customHeight="1">
      <c r="A213" s="5">
        <v>211</v>
      </c>
      <c r="B213" s="6" t="str">
        <f>"李华宁"</f>
        <v>李华宁</v>
      </c>
      <c r="C213" s="6" t="str">
        <f aca="true" t="shared" si="107" ref="C213:C219">"女"</f>
        <v>女</v>
      </c>
      <c r="D213" s="6" t="str">
        <f>"1999-07-23"</f>
        <v>1999-07-23</v>
      </c>
      <c r="E213" s="6" t="str">
        <f t="shared" si="106"/>
        <v>本科</v>
      </c>
      <c r="F213" s="6" t="str">
        <f aca="true" t="shared" si="108" ref="F213:F218">"工学学士"</f>
        <v>工学学士</v>
      </c>
      <c r="G213" s="6" t="str">
        <f>"风景园林"</f>
        <v>风景园林</v>
      </c>
      <c r="H213" s="7" t="s">
        <v>9</v>
      </c>
    </row>
    <row r="214" spans="1:8" ht="15" customHeight="1">
      <c r="A214" s="5">
        <v>212</v>
      </c>
      <c r="B214" s="6" t="str">
        <f>"唐春河"</f>
        <v>唐春河</v>
      </c>
      <c r="C214" s="6" t="str">
        <f t="shared" si="107"/>
        <v>女</v>
      </c>
      <c r="D214" s="6" t="str">
        <f>"1999-08-22"</f>
        <v>1999-08-22</v>
      </c>
      <c r="E214" s="6" t="str">
        <f>"全日制本科"</f>
        <v>全日制本科</v>
      </c>
      <c r="F214" s="6" t="str">
        <f>"管理学学士"</f>
        <v>管理学学士</v>
      </c>
      <c r="G214" s="6" t="str">
        <f>"行政管理"</f>
        <v>行政管理</v>
      </c>
      <c r="H214" s="7" t="s">
        <v>9</v>
      </c>
    </row>
    <row r="215" spans="1:8" ht="15" customHeight="1">
      <c r="A215" s="5">
        <v>213</v>
      </c>
      <c r="B215" s="6" t="str">
        <f>"吴海桂"</f>
        <v>吴海桂</v>
      </c>
      <c r="C215" s="6" t="str">
        <f t="shared" si="107"/>
        <v>女</v>
      </c>
      <c r="D215" s="6" t="str">
        <f>"1996-09-20"</f>
        <v>1996-09-20</v>
      </c>
      <c r="E215" s="6" t="str">
        <f>"大学本科"</f>
        <v>大学本科</v>
      </c>
      <c r="F215" s="6" t="str">
        <f>"学士"</f>
        <v>学士</v>
      </c>
      <c r="G215" s="6" t="str">
        <f>"会计学（涉外会计方向）"</f>
        <v>会计学（涉外会计方向）</v>
      </c>
      <c r="H215" s="7" t="s">
        <v>9</v>
      </c>
    </row>
    <row r="216" spans="1:8" ht="15" customHeight="1">
      <c r="A216" s="5">
        <v>214</v>
      </c>
      <c r="B216" s="6" t="str">
        <f>"潘孝彤"</f>
        <v>潘孝彤</v>
      </c>
      <c r="C216" s="6" t="str">
        <f t="shared" si="107"/>
        <v>女</v>
      </c>
      <c r="D216" s="6" t="str">
        <f>"1995-10-28"</f>
        <v>1995-10-28</v>
      </c>
      <c r="E216" s="6" t="str">
        <f>"大学本科"</f>
        <v>大学本科</v>
      </c>
      <c r="F216" s="6" t="str">
        <f t="shared" si="108"/>
        <v>工学学士</v>
      </c>
      <c r="G216" s="6" t="str">
        <f>"城乡规划"</f>
        <v>城乡规划</v>
      </c>
      <c r="H216" s="7" t="s">
        <v>9</v>
      </c>
    </row>
    <row r="217" spans="1:8" ht="15" customHeight="1">
      <c r="A217" s="5">
        <v>215</v>
      </c>
      <c r="B217" s="6" t="str">
        <f>"莫芳瑛"</f>
        <v>莫芳瑛</v>
      </c>
      <c r="C217" s="6" t="str">
        <f t="shared" si="107"/>
        <v>女</v>
      </c>
      <c r="D217" s="6" t="str">
        <f>"1991-07-13"</f>
        <v>1991-07-13</v>
      </c>
      <c r="E217" s="6" t="str">
        <f aca="true" t="shared" si="109" ref="E217:E220">"本科"</f>
        <v>本科</v>
      </c>
      <c r="F217" s="6" t="str">
        <f>"管理学学士学位"</f>
        <v>管理学学士学位</v>
      </c>
      <c r="G217" s="6" t="str">
        <f>"工业工程"</f>
        <v>工业工程</v>
      </c>
      <c r="H217" s="7" t="s">
        <v>9</v>
      </c>
    </row>
    <row r="218" spans="1:8" ht="15" customHeight="1">
      <c r="A218" s="5">
        <v>216</v>
      </c>
      <c r="B218" s="6" t="str">
        <f>"周昌霞"</f>
        <v>周昌霞</v>
      </c>
      <c r="C218" s="6" t="str">
        <f t="shared" si="107"/>
        <v>女</v>
      </c>
      <c r="D218" s="6" t="str">
        <f>"2000-04-29"</f>
        <v>2000-04-29</v>
      </c>
      <c r="E218" s="6" t="str">
        <f t="shared" si="109"/>
        <v>本科</v>
      </c>
      <c r="F218" s="6" t="str">
        <f t="shared" si="108"/>
        <v>工学学士</v>
      </c>
      <c r="G218" s="6" t="str">
        <f>"计算机科学与技术"</f>
        <v>计算机科学与技术</v>
      </c>
      <c r="H218" s="7" t="s">
        <v>9</v>
      </c>
    </row>
    <row r="219" spans="1:8" ht="15" customHeight="1">
      <c r="A219" s="5">
        <v>217</v>
      </c>
      <c r="B219" s="6" t="str">
        <f>"黄文"</f>
        <v>黄文</v>
      </c>
      <c r="C219" s="6" t="str">
        <f t="shared" si="107"/>
        <v>女</v>
      </c>
      <c r="D219" s="6" t="str">
        <f>"2000-10-05"</f>
        <v>2000-10-05</v>
      </c>
      <c r="E219" s="6" t="str">
        <f t="shared" si="109"/>
        <v>本科</v>
      </c>
      <c r="F219" s="6" t="str">
        <f>"学士学位"</f>
        <v>学士学位</v>
      </c>
      <c r="G219" s="6" t="str">
        <f>"汉语国际教育"</f>
        <v>汉语国际教育</v>
      </c>
      <c r="H219" s="7" t="s">
        <v>9</v>
      </c>
    </row>
    <row r="220" spans="1:8" ht="15" customHeight="1">
      <c r="A220" s="5">
        <v>218</v>
      </c>
      <c r="B220" s="6" t="str">
        <f>"吴淑汉"</f>
        <v>吴淑汉</v>
      </c>
      <c r="C220" s="6" t="str">
        <f aca="true" t="shared" si="110" ref="C220:C225">"男"</f>
        <v>男</v>
      </c>
      <c r="D220" s="6" t="str">
        <f>"1998-03-26"</f>
        <v>1998-03-26</v>
      </c>
      <c r="E220" s="6" t="str">
        <f t="shared" si="109"/>
        <v>本科</v>
      </c>
      <c r="F220" s="6" t="str">
        <f>"工学学士"</f>
        <v>工学学士</v>
      </c>
      <c r="G220" s="6" t="str">
        <f>"物联网工程"</f>
        <v>物联网工程</v>
      </c>
      <c r="H220" s="7" t="s">
        <v>9</v>
      </c>
    </row>
    <row r="221" spans="1:8" ht="15" customHeight="1">
      <c r="A221" s="5">
        <v>219</v>
      </c>
      <c r="B221" s="6" t="str">
        <f>"刘星云"</f>
        <v>刘星云</v>
      </c>
      <c r="C221" s="6" t="str">
        <f aca="true" t="shared" si="111" ref="C221:C223">"女"</f>
        <v>女</v>
      </c>
      <c r="D221" s="6" t="str">
        <f>"1999-03-28"</f>
        <v>1999-03-28</v>
      </c>
      <c r="E221" s="6" t="str">
        <f>"大学本科"</f>
        <v>大学本科</v>
      </c>
      <c r="F221" s="6" t="str">
        <f aca="true" t="shared" si="112" ref="F221:F223">"管理学学士"</f>
        <v>管理学学士</v>
      </c>
      <c r="G221" s="6" t="str">
        <f aca="true" t="shared" si="113" ref="G221:G223">"工商管理"</f>
        <v>工商管理</v>
      </c>
      <c r="H221" s="7" t="s">
        <v>9</v>
      </c>
    </row>
    <row r="222" spans="1:8" ht="15" customHeight="1">
      <c r="A222" s="5">
        <v>220</v>
      </c>
      <c r="B222" s="6" t="str">
        <f>"韦七会"</f>
        <v>韦七会</v>
      </c>
      <c r="C222" s="6" t="str">
        <f t="shared" si="111"/>
        <v>女</v>
      </c>
      <c r="D222" s="6" t="str">
        <f>"1992-01-12"</f>
        <v>1992-01-12</v>
      </c>
      <c r="E222" s="6" t="str">
        <f aca="true" t="shared" si="114" ref="E222:E224">"本科"</f>
        <v>本科</v>
      </c>
      <c r="F222" s="6" t="str">
        <f t="shared" si="112"/>
        <v>管理学学士</v>
      </c>
      <c r="G222" s="6" t="str">
        <f t="shared" si="113"/>
        <v>工商管理</v>
      </c>
      <c r="H222" s="7" t="s">
        <v>9</v>
      </c>
    </row>
    <row r="223" spans="1:8" ht="15" customHeight="1">
      <c r="A223" s="5">
        <v>221</v>
      </c>
      <c r="B223" s="6" t="str">
        <f>"吴海燕"</f>
        <v>吴海燕</v>
      </c>
      <c r="C223" s="6" t="str">
        <f t="shared" si="111"/>
        <v>女</v>
      </c>
      <c r="D223" s="6" t="str">
        <f>"1996-01-13"</f>
        <v>1996-01-13</v>
      </c>
      <c r="E223" s="6" t="str">
        <f t="shared" si="114"/>
        <v>本科</v>
      </c>
      <c r="F223" s="6" t="str">
        <f t="shared" si="112"/>
        <v>管理学学士</v>
      </c>
      <c r="G223" s="6" t="str">
        <f t="shared" si="113"/>
        <v>工商管理</v>
      </c>
      <c r="H223" s="7" t="s">
        <v>9</v>
      </c>
    </row>
    <row r="224" spans="1:8" ht="15" customHeight="1">
      <c r="A224" s="5">
        <v>222</v>
      </c>
      <c r="B224" s="6" t="str">
        <f>"江成"</f>
        <v>江成</v>
      </c>
      <c r="C224" s="6" t="str">
        <f t="shared" si="110"/>
        <v>男</v>
      </c>
      <c r="D224" s="6" t="str">
        <f>"1996-03-17"</f>
        <v>1996-03-17</v>
      </c>
      <c r="E224" s="6" t="str">
        <f t="shared" si="114"/>
        <v>本科</v>
      </c>
      <c r="F224" s="6" t="str">
        <f>"工学学士"</f>
        <v>工学学士</v>
      </c>
      <c r="G224" s="6" t="str">
        <f>"网络工程"</f>
        <v>网络工程</v>
      </c>
      <c r="H224" s="7" t="s">
        <v>9</v>
      </c>
    </row>
    <row r="225" spans="1:8" ht="15" customHeight="1">
      <c r="A225" s="5">
        <v>223</v>
      </c>
      <c r="B225" s="6" t="str">
        <f>"邱稀木"</f>
        <v>邱稀木</v>
      </c>
      <c r="C225" s="6" t="str">
        <f t="shared" si="110"/>
        <v>男</v>
      </c>
      <c r="D225" s="6" t="str">
        <f>"1993-03-01"</f>
        <v>1993-03-01</v>
      </c>
      <c r="E225" s="6" t="str">
        <f>"研究生"</f>
        <v>研究生</v>
      </c>
      <c r="F225" s="6" t="str">
        <f>"农学硕士"</f>
        <v>农学硕士</v>
      </c>
      <c r="G225" s="6" t="str">
        <f>"渔业发展"</f>
        <v>渔业发展</v>
      </c>
      <c r="H225" s="7" t="s">
        <v>9</v>
      </c>
    </row>
    <row r="226" spans="1:8" ht="15" customHeight="1">
      <c r="A226" s="5">
        <v>224</v>
      </c>
      <c r="B226" s="6" t="str">
        <f>"张婉婷"</f>
        <v>张婉婷</v>
      </c>
      <c r="C226" s="6" t="str">
        <f aca="true" t="shared" si="115" ref="C226:C230">"女"</f>
        <v>女</v>
      </c>
      <c r="D226" s="6" t="str">
        <f>"1995-02-15"</f>
        <v>1995-02-15</v>
      </c>
      <c r="E226" s="6" t="str">
        <f>"大学本科"</f>
        <v>大学本科</v>
      </c>
      <c r="F226" s="6" t="str">
        <f aca="true" t="shared" si="116" ref="F226:F228">"管理学学士"</f>
        <v>管理学学士</v>
      </c>
      <c r="G226" s="6" t="str">
        <f>"市场营销"</f>
        <v>市场营销</v>
      </c>
      <c r="H226" s="7" t="s">
        <v>9</v>
      </c>
    </row>
    <row r="227" spans="1:8" ht="15" customHeight="1">
      <c r="A227" s="5">
        <v>225</v>
      </c>
      <c r="B227" s="6" t="str">
        <f>"蔡丽菁"</f>
        <v>蔡丽菁</v>
      </c>
      <c r="C227" s="6" t="str">
        <f t="shared" si="115"/>
        <v>女</v>
      </c>
      <c r="D227" s="6" t="str">
        <f>"1996-04-07"</f>
        <v>1996-04-07</v>
      </c>
      <c r="E227" s="6" t="str">
        <f>"大学本科学历"</f>
        <v>大学本科学历</v>
      </c>
      <c r="F227" s="6" t="str">
        <f t="shared" si="116"/>
        <v>管理学学士</v>
      </c>
      <c r="G227" s="6" t="str">
        <f>"旅游管理"</f>
        <v>旅游管理</v>
      </c>
      <c r="H227" s="7" t="s">
        <v>9</v>
      </c>
    </row>
    <row r="228" spans="1:8" ht="15" customHeight="1">
      <c r="A228" s="5">
        <v>226</v>
      </c>
      <c r="B228" s="6" t="str">
        <f>"吴桂凤"</f>
        <v>吴桂凤</v>
      </c>
      <c r="C228" s="6" t="str">
        <f t="shared" si="115"/>
        <v>女</v>
      </c>
      <c r="D228" s="6" t="str">
        <f>"1995-06-02"</f>
        <v>1995-06-02</v>
      </c>
      <c r="E228" s="6" t="str">
        <f aca="true" t="shared" si="117" ref="E228:E238">"本科"</f>
        <v>本科</v>
      </c>
      <c r="F228" s="6" t="str">
        <f t="shared" si="116"/>
        <v>管理学学士</v>
      </c>
      <c r="G228" s="6" t="str">
        <f>"电子商务"</f>
        <v>电子商务</v>
      </c>
      <c r="H228" s="7" t="s">
        <v>9</v>
      </c>
    </row>
    <row r="229" spans="1:8" ht="15" customHeight="1">
      <c r="A229" s="5">
        <v>227</v>
      </c>
      <c r="B229" s="6" t="str">
        <f>"翁孟玫"</f>
        <v>翁孟玫</v>
      </c>
      <c r="C229" s="6" t="str">
        <f t="shared" si="115"/>
        <v>女</v>
      </c>
      <c r="D229" s="6" t="str">
        <f>"1999-12-21"</f>
        <v>1999-12-21</v>
      </c>
      <c r="E229" s="6" t="str">
        <f>"大学本科"</f>
        <v>大学本科</v>
      </c>
      <c r="F229" s="6" t="str">
        <f>"管理学学士学位"</f>
        <v>管理学学士学位</v>
      </c>
      <c r="G229" s="6" t="str">
        <f>"酒店管理"</f>
        <v>酒店管理</v>
      </c>
      <c r="H229" s="7" t="s">
        <v>9</v>
      </c>
    </row>
    <row r="230" spans="1:8" ht="15" customHeight="1">
      <c r="A230" s="5">
        <v>228</v>
      </c>
      <c r="B230" s="6" t="str">
        <f>"王小平"</f>
        <v>王小平</v>
      </c>
      <c r="C230" s="6" t="str">
        <f t="shared" si="115"/>
        <v>女</v>
      </c>
      <c r="D230" s="6" t="str">
        <f>"1998-12-27"</f>
        <v>1998-12-27</v>
      </c>
      <c r="E230" s="6" t="str">
        <f t="shared" si="117"/>
        <v>本科</v>
      </c>
      <c r="F230" s="6" t="str">
        <f>"管理学学士"</f>
        <v>管理学学士</v>
      </c>
      <c r="G230" s="6" t="str">
        <f>"土地资源管理"</f>
        <v>土地资源管理</v>
      </c>
      <c r="H230" s="7" t="s">
        <v>9</v>
      </c>
    </row>
    <row r="231" spans="1:8" ht="15" customHeight="1">
      <c r="A231" s="5">
        <v>229</v>
      </c>
      <c r="B231" s="6" t="str">
        <f>"唐维林"</f>
        <v>唐维林</v>
      </c>
      <c r="C231" s="6" t="str">
        <f>"男"</f>
        <v>男</v>
      </c>
      <c r="D231" s="6" t="str">
        <f>"1993-04-16"</f>
        <v>1993-04-16</v>
      </c>
      <c r="E231" s="6" t="str">
        <f t="shared" si="117"/>
        <v>本科</v>
      </c>
      <c r="F231" s="6" t="str">
        <f>"理学学士"</f>
        <v>理学学士</v>
      </c>
      <c r="G231" s="6" t="str">
        <f>"环境科学"</f>
        <v>环境科学</v>
      </c>
      <c r="H231" s="7" t="s">
        <v>9</v>
      </c>
    </row>
    <row r="232" spans="1:8" ht="15" customHeight="1">
      <c r="A232" s="5">
        <v>230</v>
      </c>
      <c r="B232" s="6" t="str">
        <f>"符瑞女"</f>
        <v>符瑞女</v>
      </c>
      <c r="C232" s="6" t="str">
        <f aca="true" t="shared" si="118" ref="C232:C236">"女"</f>
        <v>女</v>
      </c>
      <c r="D232" s="6" t="str">
        <f>"1996-01-12"</f>
        <v>1996-01-12</v>
      </c>
      <c r="E232" s="6" t="str">
        <f t="shared" si="117"/>
        <v>本科</v>
      </c>
      <c r="F232" s="6" t="str">
        <f>"经济学学士"</f>
        <v>经济学学士</v>
      </c>
      <c r="G232" s="6" t="str">
        <f>"经济学"</f>
        <v>经济学</v>
      </c>
      <c r="H232" s="7" t="s">
        <v>9</v>
      </c>
    </row>
    <row r="233" spans="1:8" ht="15" customHeight="1">
      <c r="A233" s="5">
        <v>231</v>
      </c>
      <c r="B233" s="6" t="str">
        <f>"邢增敏"</f>
        <v>邢增敏</v>
      </c>
      <c r="C233" s="6" t="str">
        <f t="shared" si="118"/>
        <v>女</v>
      </c>
      <c r="D233" s="6" t="str">
        <f>"1995-10-25"</f>
        <v>1995-10-25</v>
      </c>
      <c r="E233" s="6" t="str">
        <f t="shared" si="117"/>
        <v>本科</v>
      </c>
      <c r="F233" s="6" t="str">
        <f>"管理学学士"</f>
        <v>管理学学士</v>
      </c>
      <c r="G233" s="6" t="str">
        <f>"财务管理"</f>
        <v>财务管理</v>
      </c>
      <c r="H233" s="7" t="s">
        <v>9</v>
      </c>
    </row>
    <row r="234" spans="1:8" ht="15" customHeight="1">
      <c r="A234" s="5">
        <v>232</v>
      </c>
      <c r="B234" s="6" t="str">
        <f>"温业旭"</f>
        <v>温业旭</v>
      </c>
      <c r="C234" s="6" t="str">
        <f t="shared" si="118"/>
        <v>女</v>
      </c>
      <c r="D234" s="6" t="str">
        <f>"1994-03-20"</f>
        <v>1994-03-20</v>
      </c>
      <c r="E234" s="6" t="str">
        <f t="shared" si="117"/>
        <v>本科</v>
      </c>
      <c r="F234" s="6" t="str">
        <f>"工学学士"</f>
        <v>工学学士</v>
      </c>
      <c r="G234" s="6" t="str">
        <f>"土木工程"</f>
        <v>土木工程</v>
      </c>
      <c r="H234" s="7" t="s">
        <v>9</v>
      </c>
    </row>
    <row r="235" spans="1:8" ht="15" customHeight="1">
      <c r="A235" s="5">
        <v>233</v>
      </c>
      <c r="B235" s="6" t="str">
        <f>"庞敬姚"</f>
        <v>庞敬姚</v>
      </c>
      <c r="C235" s="6" t="str">
        <f t="shared" si="118"/>
        <v>女</v>
      </c>
      <c r="D235" s="6" t="str">
        <f>"1991-09-09"</f>
        <v>1991-09-09</v>
      </c>
      <c r="E235" s="6" t="str">
        <f t="shared" si="117"/>
        <v>本科</v>
      </c>
      <c r="F235" s="6" t="str">
        <f>"管理学士"</f>
        <v>管理学士</v>
      </c>
      <c r="G235" s="6" t="str">
        <f>"劳动与社会保障"</f>
        <v>劳动与社会保障</v>
      </c>
      <c r="H235" s="7" t="s">
        <v>9</v>
      </c>
    </row>
    <row r="236" spans="1:8" ht="15" customHeight="1">
      <c r="A236" s="5">
        <v>234</v>
      </c>
      <c r="B236" s="6" t="str">
        <f>"梁佳灵"</f>
        <v>梁佳灵</v>
      </c>
      <c r="C236" s="6" t="str">
        <f t="shared" si="118"/>
        <v>女</v>
      </c>
      <c r="D236" s="6" t="str">
        <f>"1998-04-21"</f>
        <v>1998-04-21</v>
      </c>
      <c r="E236" s="6" t="str">
        <f t="shared" si="117"/>
        <v>本科</v>
      </c>
      <c r="F236" s="6" t="str">
        <f>"经济学学士"</f>
        <v>经济学学士</v>
      </c>
      <c r="G236" s="6" t="str">
        <f>"国际经济与贸易"</f>
        <v>国际经济与贸易</v>
      </c>
      <c r="H236" s="7" t="s">
        <v>9</v>
      </c>
    </row>
    <row r="237" spans="1:8" ht="15" customHeight="1">
      <c r="A237" s="5">
        <v>235</v>
      </c>
      <c r="B237" s="6" t="str">
        <f>"王开道"</f>
        <v>王开道</v>
      </c>
      <c r="C237" s="6" t="str">
        <f aca="true" t="shared" si="119" ref="C237:C241">"男"</f>
        <v>男</v>
      </c>
      <c r="D237" s="6" t="str">
        <f>"1993-12-08"</f>
        <v>1993-12-08</v>
      </c>
      <c r="E237" s="6" t="str">
        <f t="shared" si="117"/>
        <v>本科</v>
      </c>
      <c r="F237" s="6" t="str">
        <f aca="true" t="shared" si="120" ref="F237:F242">"工学学士"</f>
        <v>工学学士</v>
      </c>
      <c r="G237" s="6" t="str">
        <f>"计算机科学与技术"</f>
        <v>计算机科学与技术</v>
      </c>
      <c r="H237" s="7" t="s">
        <v>9</v>
      </c>
    </row>
    <row r="238" spans="1:8" ht="15" customHeight="1">
      <c r="A238" s="5">
        <v>236</v>
      </c>
      <c r="B238" s="6" t="str">
        <f>"何允续"</f>
        <v>何允续</v>
      </c>
      <c r="C238" s="6" t="str">
        <f aca="true" t="shared" si="121" ref="C238:C242">"女"</f>
        <v>女</v>
      </c>
      <c r="D238" s="6" t="str">
        <f>"1993-12-24"</f>
        <v>1993-12-24</v>
      </c>
      <c r="E238" s="6" t="str">
        <f t="shared" si="117"/>
        <v>本科</v>
      </c>
      <c r="F238" s="6" t="str">
        <f>"理学学士"</f>
        <v>理学学士</v>
      </c>
      <c r="G238" s="6" t="str">
        <f>"环境科学"</f>
        <v>环境科学</v>
      </c>
      <c r="H238" s="7" t="s">
        <v>9</v>
      </c>
    </row>
    <row r="239" spans="1:8" ht="15" customHeight="1">
      <c r="A239" s="5">
        <v>237</v>
      </c>
      <c r="B239" s="6" t="str">
        <f>"周孟莹"</f>
        <v>周孟莹</v>
      </c>
      <c r="C239" s="6" t="str">
        <f t="shared" si="121"/>
        <v>女</v>
      </c>
      <c r="D239" s="6" t="str">
        <f>"1996-04-04"</f>
        <v>1996-04-04</v>
      </c>
      <c r="E239" s="6" t="str">
        <f>"大学本科"</f>
        <v>大学本科</v>
      </c>
      <c r="F239" s="6" t="str">
        <f>"经济学学士"</f>
        <v>经济学学士</v>
      </c>
      <c r="G239" s="6" t="str">
        <f>"金融学"</f>
        <v>金融学</v>
      </c>
      <c r="H239" s="7" t="s">
        <v>9</v>
      </c>
    </row>
    <row r="240" spans="1:8" ht="15" customHeight="1">
      <c r="A240" s="5">
        <v>238</v>
      </c>
      <c r="B240" s="6" t="str">
        <f>"曾维广"</f>
        <v>曾维广</v>
      </c>
      <c r="C240" s="6" t="str">
        <f t="shared" si="119"/>
        <v>男</v>
      </c>
      <c r="D240" s="6" t="str">
        <f>"1998-08-20"</f>
        <v>1998-08-20</v>
      </c>
      <c r="E240" s="6" t="str">
        <f aca="true" t="shared" si="122" ref="E240:E243">"本科"</f>
        <v>本科</v>
      </c>
      <c r="F240" s="6" t="str">
        <f t="shared" si="120"/>
        <v>工学学士</v>
      </c>
      <c r="G240" s="6" t="str">
        <f>"土木工程"</f>
        <v>土木工程</v>
      </c>
      <c r="H240" s="7" t="s">
        <v>9</v>
      </c>
    </row>
    <row r="241" spans="1:8" ht="15" customHeight="1">
      <c r="A241" s="5">
        <v>239</v>
      </c>
      <c r="B241" s="6" t="str">
        <f>"余家兴"</f>
        <v>余家兴</v>
      </c>
      <c r="C241" s="6" t="str">
        <f t="shared" si="119"/>
        <v>男</v>
      </c>
      <c r="D241" s="6" t="str">
        <f>"1997-11-03"</f>
        <v>1997-11-03</v>
      </c>
      <c r="E241" s="6" t="str">
        <f>"大学本科"</f>
        <v>大学本科</v>
      </c>
      <c r="F241" s="6" t="str">
        <f t="shared" si="120"/>
        <v>工学学士</v>
      </c>
      <c r="G241" s="6" t="str">
        <f>"建筑工程"</f>
        <v>建筑工程</v>
      </c>
      <c r="H241" s="7" t="s">
        <v>9</v>
      </c>
    </row>
    <row r="242" spans="1:8" ht="15" customHeight="1">
      <c r="A242" s="5">
        <v>240</v>
      </c>
      <c r="B242" s="6" t="str">
        <f>"梁楠"</f>
        <v>梁楠</v>
      </c>
      <c r="C242" s="6" t="str">
        <f t="shared" si="121"/>
        <v>女</v>
      </c>
      <c r="D242" s="6" t="str">
        <f>"1995-05-14"</f>
        <v>1995-05-14</v>
      </c>
      <c r="E242" s="6" t="str">
        <f t="shared" si="122"/>
        <v>本科</v>
      </c>
      <c r="F242" s="6" t="str">
        <f t="shared" si="120"/>
        <v>工学学士</v>
      </c>
      <c r="G242" s="6" t="str">
        <f>"环境工程"</f>
        <v>环境工程</v>
      </c>
      <c r="H242" s="7" t="s">
        <v>9</v>
      </c>
    </row>
    <row r="243" spans="1:8" ht="15" customHeight="1">
      <c r="A243" s="5">
        <v>241</v>
      </c>
      <c r="B243" s="6" t="str">
        <f>"杨权胜"</f>
        <v>杨权胜</v>
      </c>
      <c r="C243" s="6" t="str">
        <f aca="true" t="shared" si="123" ref="C243:C248">"男"</f>
        <v>男</v>
      </c>
      <c r="D243" s="6" t="str">
        <f>"1992-05-10"</f>
        <v>1992-05-10</v>
      </c>
      <c r="E243" s="6" t="str">
        <f t="shared" si="122"/>
        <v>本科</v>
      </c>
      <c r="F243" s="6" t="str">
        <f>"管理学学士"</f>
        <v>管理学学士</v>
      </c>
      <c r="G243" s="6" t="str">
        <f>"旅游管理（亲水运动管理）"</f>
        <v>旅游管理（亲水运动管理）</v>
      </c>
      <c r="H243" s="7" t="s">
        <v>9</v>
      </c>
    </row>
    <row r="244" spans="1:8" ht="15" customHeight="1">
      <c r="A244" s="5">
        <v>242</v>
      </c>
      <c r="B244" s="6" t="str">
        <f>"郑晨"</f>
        <v>郑晨</v>
      </c>
      <c r="C244" s="6" t="str">
        <f t="shared" si="123"/>
        <v>男</v>
      </c>
      <c r="D244" s="6" t="str">
        <f>"1999-05-09"</f>
        <v>1999-05-09</v>
      </c>
      <c r="E244" s="6" t="str">
        <f>"大学本科学历"</f>
        <v>大学本科学历</v>
      </c>
      <c r="F244" s="6" t="str">
        <f aca="true" t="shared" si="124" ref="F244:F247">"工学学士"</f>
        <v>工学学士</v>
      </c>
      <c r="G244" s="6" t="str">
        <f>"道路桥梁与渡河工程"</f>
        <v>道路桥梁与渡河工程</v>
      </c>
      <c r="H244" s="7" t="s">
        <v>9</v>
      </c>
    </row>
    <row r="245" spans="1:8" ht="15" customHeight="1">
      <c r="A245" s="5">
        <v>243</v>
      </c>
      <c r="B245" s="6" t="str">
        <f>"卢开堃"</f>
        <v>卢开堃</v>
      </c>
      <c r="C245" s="6" t="str">
        <f t="shared" si="123"/>
        <v>男</v>
      </c>
      <c r="D245" s="6" t="str">
        <f>"1999-10-30"</f>
        <v>1999-10-30</v>
      </c>
      <c r="E245" s="6" t="str">
        <f aca="true" t="shared" si="125" ref="E245:E247">"本科"</f>
        <v>本科</v>
      </c>
      <c r="F245" s="6" t="str">
        <f>"理学学士"</f>
        <v>理学学士</v>
      </c>
      <c r="G245" s="6" t="str">
        <f>"环境科学"</f>
        <v>环境科学</v>
      </c>
      <c r="H245" s="7" t="s">
        <v>9</v>
      </c>
    </row>
    <row r="246" spans="1:8" ht="15" customHeight="1">
      <c r="A246" s="5">
        <v>244</v>
      </c>
      <c r="B246" s="6" t="str">
        <f>"姜小龙"</f>
        <v>姜小龙</v>
      </c>
      <c r="C246" s="6" t="str">
        <f t="shared" si="123"/>
        <v>男</v>
      </c>
      <c r="D246" s="6" t="str">
        <f>"1989-05-25"</f>
        <v>1989-05-25</v>
      </c>
      <c r="E246" s="6" t="str">
        <f t="shared" si="125"/>
        <v>本科</v>
      </c>
      <c r="F246" s="6" t="str">
        <f t="shared" si="124"/>
        <v>工学学士</v>
      </c>
      <c r="G246" s="6" t="str">
        <f>"网络工程"</f>
        <v>网络工程</v>
      </c>
      <c r="H246" s="7" t="s">
        <v>9</v>
      </c>
    </row>
    <row r="247" spans="1:8" ht="15" customHeight="1">
      <c r="A247" s="5">
        <v>245</v>
      </c>
      <c r="B247" s="6" t="str">
        <f>"吴昊"</f>
        <v>吴昊</v>
      </c>
      <c r="C247" s="6" t="str">
        <f t="shared" si="123"/>
        <v>男</v>
      </c>
      <c r="D247" s="6" t="str">
        <f>"2000-01-03"</f>
        <v>2000-01-03</v>
      </c>
      <c r="E247" s="6" t="str">
        <f t="shared" si="125"/>
        <v>本科</v>
      </c>
      <c r="F247" s="6" t="str">
        <f t="shared" si="124"/>
        <v>工学学士</v>
      </c>
      <c r="G247" s="6" t="str">
        <f>"建筑环境与能源应用工程"</f>
        <v>建筑环境与能源应用工程</v>
      </c>
      <c r="H247" s="7" t="s">
        <v>9</v>
      </c>
    </row>
    <row r="248" spans="1:8" ht="15" customHeight="1">
      <c r="A248" s="5">
        <v>246</v>
      </c>
      <c r="B248" s="6" t="str">
        <f>"蔡泽翔"</f>
        <v>蔡泽翔</v>
      </c>
      <c r="C248" s="6" t="str">
        <f t="shared" si="123"/>
        <v>男</v>
      </c>
      <c r="D248" s="6" t="str">
        <f>"1994-10-09"</f>
        <v>1994-10-09</v>
      </c>
      <c r="E248" s="6" t="str">
        <f>"大学本科学历"</f>
        <v>大学本科学历</v>
      </c>
      <c r="F248" s="6" t="str">
        <f aca="true" t="shared" si="126" ref="F248:F250">"管理学学士"</f>
        <v>管理学学士</v>
      </c>
      <c r="G248" s="6" t="str">
        <f>"资产评估"</f>
        <v>资产评估</v>
      </c>
      <c r="H248" s="7" t="s">
        <v>9</v>
      </c>
    </row>
    <row r="249" spans="1:8" ht="15" customHeight="1">
      <c r="A249" s="5">
        <v>247</v>
      </c>
      <c r="B249" s="6" t="str">
        <f>"滕泽欣"</f>
        <v>滕泽欣</v>
      </c>
      <c r="C249" s="6" t="str">
        <f aca="true" t="shared" si="127" ref="C249:C251">"女"</f>
        <v>女</v>
      </c>
      <c r="D249" s="6" t="str">
        <f>"1994-12-15"</f>
        <v>1994-12-15</v>
      </c>
      <c r="E249" s="6" t="str">
        <f aca="true" t="shared" si="128" ref="E249:E251">"本科"</f>
        <v>本科</v>
      </c>
      <c r="F249" s="6" t="str">
        <f t="shared" si="126"/>
        <v>管理学学士</v>
      </c>
      <c r="G249" s="6" t="str">
        <f>"会展经济与管理"</f>
        <v>会展经济与管理</v>
      </c>
      <c r="H249" s="7" t="s">
        <v>9</v>
      </c>
    </row>
    <row r="250" spans="1:8" ht="15" customHeight="1">
      <c r="A250" s="5">
        <v>248</v>
      </c>
      <c r="B250" s="6" t="str">
        <f>"陈晓梅"</f>
        <v>陈晓梅</v>
      </c>
      <c r="C250" s="6" t="str">
        <f t="shared" si="127"/>
        <v>女</v>
      </c>
      <c r="D250" s="6" t="str">
        <f>"1997-08-08"</f>
        <v>1997-08-08</v>
      </c>
      <c r="E250" s="6" t="str">
        <f t="shared" si="128"/>
        <v>本科</v>
      </c>
      <c r="F250" s="6" t="str">
        <f t="shared" si="126"/>
        <v>管理学学士</v>
      </c>
      <c r="G250" s="6" t="str">
        <f>"旅游管理"</f>
        <v>旅游管理</v>
      </c>
      <c r="H250" s="7" t="s">
        <v>9</v>
      </c>
    </row>
    <row r="251" spans="1:8" ht="15" customHeight="1">
      <c r="A251" s="5">
        <v>249</v>
      </c>
      <c r="B251" s="6" t="str">
        <f>"吴海青"</f>
        <v>吴海青</v>
      </c>
      <c r="C251" s="6" t="str">
        <f t="shared" si="127"/>
        <v>女</v>
      </c>
      <c r="D251" s="6" t="str">
        <f>"1994-05-11"</f>
        <v>1994-05-11</v>
      </c>
      <c r="E251" s="6" t="str">
        <f t="shared" si="128"/>
        <v>本科</v>
      </c>
      <c r="F251" s="6" t="str">
        <f>"农学学士"</f>
        <v>农学学士</v>
      </c>
      <c r="G251" s="6" t="str">
        <f>"园林"</f>
        <v>园林</v>
      </c>
      <c r="H251" s="7" t="s">
        <v>9</v>
      </c>
    </row>
    <row r="252" spans="1:8" ht="15" customHeight="1">
      <c r="A252" s="5">
        <v>250</v>
      </c>
      <c r="B252" s="6" t="str">
        <f>"昌麟"</f>
        <v>昌麟</v>
      </c>
      <c r="C252" s="6" t="str">
        <f>"男"</f>
        <v>男</v>
      </c>
      <c r="D252" s="6" t="str">
        <f>"1998-01-10"</f>
        <v>1998-01-10</v>
      </c>
      <c r="E252" s="6" t="str">
        <f aca="true" t="shared" si="129" ref="E252:E255">"大学本科"</f>
        <v>大学本科</v>
      </c>
      <c r="F252" s="6" t="str">
        <f>"工学学士"</f>
        <v>工学学士</v>
      </c>
      <c r="G252" s="6" t="str">
        <f>"计算机科学与技术"</f>
        <v>计算机科学与技术</v>
      </c>
      <c r="H252" s="7" t="s">
        <v>9</v>
      </c>
    </row>
    <row r="253" spans="1:8" ht="15" customHeight="1">
      <c r="A253" s="5">
        <v>251</v>
      </c>
      <c r="B253" s="6" t="str">
        <f>"吕亚东"</f>
        <v>吕亚东</v>
      </c>
      <c r="C253" s="6" t="str">
        <f>"男"</f>
        <v>男</v>
      </c>
      <c r="D253" s="6" t="str">
        <f>"1988-11-03"</f>
        <v>1988-11-03</v>
      </c>
      <c r="E253" s="6" t="str">
        <f t="shared" si="129"/>
        <v>大学本科</v>
      </c>
      <c r="F253" s="6" t="str">
        <f>"管理学学士学位"</f>
        <v>管理学学士学位</v>
      </c>
      <c r="G253" s="6" t="str">
        <f>"人力资源管理"</f>
        <v>人力资源管理</v>
      </c>
      <c r="H253" s="7" t="s">
        <v>9</v>
      </c>
    </row>
    <row r="254" spans="1:8" ht="15" customHeight="1">
      <c r="A254" s="5">
        <v>252</v>
      </c>
      <c r="B254" s="6" t="str">
        <f>"洪阳爱"</f>
        <v>洪阳爱</v>
      </c>
      <c r="C254" s="6" t="str">
        <f aca="true" t="shared" si="130" ref="C254:C262">"女"</f>
        <v>女</v>
      </c>
      <c r="D254" s="6" t="str">
        <f>"1999-10-28"</f>
        <v>1999-10-28</v>
      </c>
      <c r="E254" s="6" t="str">
        <f>"本科"</f>
        <v>本科</v>
      </c>
      <c r="F254" s="6" t="str">
        <f>"文学"</f>
        <v>文学</v>
      </c>
      <c r="G254" s="6" t="str">
        <f>"汉语国际教育"</f>
        <v>汉语国际教育</v>
      </c>
      <c r="H254" s="7" t="s">
        <v>9</v>
      </c>
    </row>
    <row r="255" spans="1:8" ht="15" customHeight="1">
      <c r="A255" s="5">
        <v>253</v>
      </c>
      <c r="B255" s="6" t="str">
        <f>"王婷"</f>
        <v>王婷</v>
      </c>
      <c r="C255" s="6" t="str">
        <f t="shared" si="130"/>
        <v>女</v>
      </c>
      <c r="D255" s="6" t="str">
        <f>"2000-08-18"</f>
        <v>2000-08-18</v>
      </c>
      <c r="E255" s="6" t="str">
        <f t="shared" si="129"/>
        <v>大学本科</v>
      </c>
      <c r="F255" s="6" t="str">
        <f>"经济学学士"</f>
        <v>经济学学士</v>
      </c>
      <c r="G255" s="6" t="str">
        <f>"金融工程"</f>
        <v>金融工程</v>
      </c>
      <c r="H255" s="7" t="s">
        <v>9</v>
      </c>
    </row>
    <row r="256" spans="1:8" ht="15" customHeight="1">
      <c r="A256" s="5">
        <v>254</v>
      </c>
      <c r="B256" s="6" t="str">
        <f>"孙玲芝"</f>
        <v>孙玲芝</v>
      </c>
      <c r="C256" s="6" t="str">
        <f t="shared" si="130"/>
        <v>女</v>
      </c>
      <c r="D256" s="6" t="str">
        <f>"1995-02-10"</f>
        <v>1995-02-10</v>
      </c>
      <c r="E256" s="6" t="str">
        <f>"大学本科学历"</f>
        <v>大学本科学历</v>
      </c>
      <c r="F256" s="6" t="str">
        <f aca="true" t="shared" si="131" ref="F256:F258">"管理学学士"</f>
        <v>管理学学士</v>
      </c>
      <c r="G256" s="6" t="str">
        <f>"人力资源管理"</f>
        <v>人力资源管理</v>
      </c>
      <c r="H256" s="7" t="s">
        <v>9</v>
      </c>
    </row>
    <row r="257" spans="1:8" ht="15" customHeight="1">
      <c r="A257" s="5">
        <v>255</v>
      </c>
      <c r="B257" s="6" t="str">
        <f>"黄玉娴"</f>
        <v>黄玉娴</v>
      </c>
      <c r="C257" s="6" t="str">
        <f t="shared" si="130"/>
        <v>女</v>
      </c>
      <c r="D257" s="6" t="str">
        <f>"1991-02-28"</f>
        <v>1991-02-28</v>
      </c>
      <c r="E257" s="6" t="str">
        <f>"大学本科"</f>
        <v>大学本科</v>
      </c>
      <c r="F257" s="6" t="str">
        <f t="shared" si="131"/>
        <v>管理学学士</v>
      </c>
      <c r="G257" s="6" t="str">
        <f>"旅游管理"</f>
        <v>旅游管理</v>
      </c>
      <c r="H257" s="7" t="s">
        <v>9</v>
      </c>
    </row>
    <row r="258" spans="1:8" ht="15" customHeight="1">
      <c r="A258" s="5">
        <v>256</v>
      </c>
      <c r="B258" s="6" t="str">
        <f>"袁菁"</f>
        <v>袁菁</v>
      </c>
      <c r="C258" s="6" t="str">
        <f t="shared" si="130"/>
        <v>女</v>
      </c>
      <c r="D258" s="6" t="str">
        <f>"1996-10-30"</f>
        <v>1996-10-30</v>
      </c>
      <c r="E258" s="6" t="str">
        <f>"大学本科"</f>
        <v>大学本科</v>
      </c>
      <c r="F258" s="6" t="str">
        <f t="shared" si="131"/>
        <v>管理学学士</v>
      </c>
      <c r="G258" s="6" t="str">
        <f>"国际商务"</f>
        <v>国际商务</v>
      </c>
      <c r="H258" s="7" t="s">
        <v>9</v>
      </c>
    </row>
    <row r="259" spans="1:8" ht="15" customHeight="1">
      <c r="A259" s="5">
        <v>257</v>
      </c>
      <c r="B259" s="6" t="str">
        <f>"林志怡"</f>
        <v>林志怡</v>
      </c>
      <c r="C259" s="6" t="str">
        <f t="shared" si="130"/>
        <v>女</v>
      </c>
      <c r="D259" s="6" t="str">
        <f>"1990-07-17"</f>
        <v>1990-07-17</v>
      </c>
      <c r="E259" s="6" t="str">
        <f aca="true" t="shared" si="132" ref="E259:E265">"本科"</f>
        <v>本科</v>
      </c>
      <c r="F259" s="6" t="str">
        <f>"管理学学士学位"</f>
        <v>管理学学士学位</v>
      </c>
      <c r="G259" s="6" t="str">
        <f>"人力资源管理"</f>
        <v>人力资源管理</v>
      </c>
      <c r="H259" s="7" t="s">
        <v>9</v>
      </c>
    </row>
    <row r="260" spans="1:8" ht="15" customHeight="1">
      <c r="A260" s="5">
        <v>258</v>
      </c>
      <c r="B260" s="6" t="str">
        <f>"李艳华"</f>
        <v>李艳华</v>
      </c>
      <c r="C260" s="6" t="str">
        <f t="shared" si="130"/>
        <v>女</v>
      </c>
      <c r="D260" s="6" t="str">
        <f>"1993-03-29"</f>
        <v>1993-03-29</v>
      </c>
      <c r="E260" s="6" t="str">
        <f t="shared" si="132"/>
        <v>本科</v>
      </c>
      <c r="F260" s="6" t="str">
        <f aca="true" t="shared" si="133" ref="F260:F265">"管理学学士"</f>
        <v>管理学学士</v>
      </c>
      <c r="G260" s="6" t="str">
        <f>"旅游管理"</f>
        <v>旅游管理</v>
      </c>
      <c r="H260" s="7" t="s">
        <v>9</v>
      </c>
    </row>
    <row r="261" spans="1:8" ht="15" customHeight="1">
      <c r="A261" s="5">
        <v>259</v>
      </c>
      <c r="B261" s="6" t="str">
        <f>"符永佳"</f>
        <v>符永佳</v>
      </c>
      <c r="C261" s="6" t="str">
        <f t="shared" si="130"/>
        <v>女</v>
      </c>
      <c r="D261" s="6" t="str">
        <f>"1997-07-12"</f>
        <v>1997-07-12</v>
      </c>
      <c r="E261" s="6" t="str">
        <f>"大学本科学历"</f>
        <v>大学本科学历</v>
      </c>
      <c r="F261" s="6" t="str">
        <f>"文学学士"</f>
        <v>文学学士</v>
      </c>
      <c r="G261" s="6" t="str">
        <f>"汉语言文学"</f>
        <v>汉语言文学</v>
      </c>
      <c r="H261" s="7" t="s">
        <v>9</v>
      </c>
    </row>
    <row r="262" spans="1:8" ht="15" customHeight="1">
      <c r="A262" s="5">
        <v>260</v>
      </c>
      <c r="B262" s="6" t="str">
        <f>"陈君丹"</f>
        <v>陈君丹</v>
      </c>
      <c r="C262" s="6" t="str">
        <f t="shared" si="130"/>
        <v>女</v>
      </c>
      <c r="D262" s="6" t="str">
        <f>"1997-08-27"</f>
        <v>1997-08-27</v>
      </c>
      <c r="E262" s="6" t="str">
        <f t="shared" si="132"/>
        <v>本科</v>
      </c>
      <c r="F262" s="6" t="str">
        <f>"学士"</f>
        <v>学士</v>
      </c>
      <c r="G262" s="6" t="str">
        <f>"给排水科学与工程"</f>
        <v>给排水科学与工程</v>
      </c>
      <c r="H262" s="7" t="s">
        <v>9</v>
      </c>
    </row>
    <row r="263" spans="1:8" ht="15" customHeight="1">
      <c r="A263" s="5">
        <v>261</v>
      </c>
      <c r="B263" s="6" t="str">
        <f>"黎时宝"</f>
        <v>黎时宝</v>
      </c>
      <c r="C263" s="6" t="str">
        <f aca="true" t="shared" si="134" ref="C263:C266">"男"</f>
        <v>男</v>
      </c>
      <c r="D263" s="6" t="str">
        <f>"1997-04-28"</f>
        <v>1997-04-28</v>
      </c>
      <c r="E263" s="6" t="str">
        <f t="shared" si="132"/>
        <v>本科</v>
      </c>
      <c r="F263" s="6" t="str">
        <f>"学士学位"</f>
        <v>学士学位</v>
      </c>
      <c r="G263" s="6" t="str">
        <f>"经济学"</f>
        <v>经济学</v>
      </c>
      <c r="H263" s="7" t="s">
        <v>9</v>
      </c>
    </row>
    <row r="264" spans="1:8" ht="15" customHeight="1">
      <c r="A264" s="5">
        <v>262</v>
      </c>
      <c r="B264" s="6" t="str">
        <f>"李梅"</f>
        <v>李梅</v>
      </c>
      <c r="C264" s="6" t="str">
        <f aca="true" t="shared" si="135" ref="C264:C269">"女"</f>
        <v>女</v>
      </c>
      <c r="D264" s="6" t="str">
        <f>"1994-12-15"</f>
        <v>1994-12-15</v>
      </c>
      <c r="E264" s="6" t="str">
        <f t="shared" si="132"/>
        <v>本科</v>
      </c>
      <c r="F264" s="6" t="str">
        <f t="shared" si="133"/>
        <v>管理学学士</v>
      </c>
      <c r="G264" s="6" t="str">
        <f>"工商管理"</f>
        <v>工商管理</v>
      </c>
      <c r="H264" s="7" t="s">
        <v>9</v>
      </c>
    </row>
    <row r="265" spans="1:8" ht="15" customHeight="1">
      <c r="A265" s="5">
        <v>263</v>
      </c>
      <c r="B265" s="6" t="str">
        <f>"李鹏云"</f>
        <v>李鹏云</v>
      </c>
      <c r="C265" s="6" t="str">
        <f t="shared" si="134"/>
        <v>男</v>
      </c>
      <c r="D265" s="6" t="str">
        <f>"1988-08-30"</f>
        <v>1988-08-30</v>
      </c>
      <c r="E265" s="6" t="str">
        <f t="shared" si="132"/>
        <v>本科</v>
      </c>
      <c r="F265" s="6" t="str">
        <f t="shared" si="133"/>
        <v>管理学学士</v>
      </c>
      <c r="G265" s="6" t="str">
        <f>"劳动与社会保障"</f>
        <v>劳动与社会保障</v>
      </c>
      <c r="H265" s="7" t="s">
        <v>9</v>
      </c>
    </row>
    <row r="266" spans="1:8" ht="15" customHeight="1">
      <c r="A266" s="5">
        <v>264</v>
      </c>
      <c r="B266" s="6" t="str">
        <f>"喻国志"</f>
        <v>喻国志</v>
      </c>
      <c r="C266" s="6" t="str">
        <f t="shared" si="134"/>
        <v>男</v>
      </c>
      <c r="D266" s="6" t="str">
        <f>"1995-07-24"</f>
        <v>1995-07-24</v>
      </c>
      <c r="E266" s="6" t="str">
        <f>"大学本科"</f>
        <v>大学本科</v>
      </c>
      <c r="F266" s="6" t="str">
        <f>"工学学士"</f>
        <v>工学学士</v>
      </c>
      <c r="G266" s="6" t="str">
        <f>"网络工程"</f>
        <v>网络工程</v>
      </c>
      <c r="H266" s="7" t="s">
        <v>9</v>
      </c>
    </row>
    <row r="267" spans="1:8" ht="15" customHeight="1">
      <c r="A267" s="5">
        <v>265</v>
      </c>
      <c r="B267" s="6" t="str">
        <f>"曾日新"</f>
        <v>曾日新</v>
      </c>
      <c r="C267" s="6" t="str">
        <f t="shared" si="135"/>
        <v>女</v>
      </c>
      <c r="D267" s="6" t="str">
        <f>"1996-10-03"</f>
        <v>1996-10-03</v>
      </c>
      <c r="E267" s="6" t="str">
        <f aca="true" t="shared" si="136" ref="E267:E274">"本科"</f>
        <v>本科</v>
      </c>
      <c r="F267" s="6" t="str">
        <f aca="true" t="shared" si="137" ref="F267:F270">"管理学学士"</f>
        <v>管理学学士</v>
      </c>
      <c r="G267" s="6" t="str">
        <f>"旅游管理"</f>
        <v>旅游管理</v>
      </c>
      <c r="H267" s="7" t="s">
        <v>9</v>
      </c>
    </row>
    <row r="268" spans="1:8" ht="15" customHeight="1">
      <c r="A268" s="5">
        <v>266</v>
      </c>
      <c r="B268" s="6" t="str">
        <f>"朱诗音"</f>
        <v>朱诗音</v>
      </c>
      <c r="C268" s="6" t="str">
        <f t="shared" si="135"/>
        <v>女</v>
      </c>
      <c r="D268" s="6" t="str">
        <f>"2000-11-13"</f>
        <v>2000-11-13</v>
      </c>
      <c r="E268" s="6" t="str">
        <f t="shared" si="136"/>
        <v>本科</v>
      </c>
      <c r="F268" s="6" t="str">
        <f>"管理学学士学位"</f>
        <v>管理学学士学位</v>
      </c>
      <c r="G268" s="6" t="str">
        <f>"会计学"</f>
        <v>会计学</v>
      </c>
      <c r="H268" s="7" t="s">
        <v>9</v>
      </c>
    </row>
    <row r="269" spans="1:8" ht="15" customHeight="1">
      <c r="A269" s="5">
        <v>267</v>
      </c>
      <c r="B269" s="6" t="str">
        <f>"郑江平"</f>
        <v>郑江平</v>
      </c>
      <c r="C269" s="6" t="str">
        <f t="shared" si="135"/>
        <v>女</v>
      </c>
      <c r="D269" s="6" t="str">
        <f>"1996-05-18"</f>
        <v>1996-05-18</v>
      </c>
      <c r="E269" s="6" t="str">
        <f t="shared" si="136"/>
        <v>本科</v>
      </c>
      <c r="F269" s="6" t="str">
        <f t="shared" si="137"/>
        <v>管理学学士</v>
      </c>
      <c r="G269" s="6" t="str">
        <f>"电子商务"</f>
        <v>电子商务</v>
      </c>
      <c r="H269" s="7" t="s">
        <v>9</v>
      </c>
    </row>
    <row r="270" spans="1:8" ht="15" customHeight="1">
      <c r="A270" s="5">
        <v>268</v>
      </c>
      <c r="B270" s="6" t="str">
        <f>"程之鸿"</f>
        <v>程之鸿</v>
      </c>
      <c r="C270" s="6" t="str">
        <f>"男"</f>
        <v>男</v>
      </c>
      <c r="D270" s="6" t="str">
        <f>"1999-10-13"</f>
        <v>1999-10-13</v>
      </c>
      <c r="E270" s="6" t="str">
        <f t="shared" si="136"/>
        <v>本科</v>
      </c>
      <c r="F270" s="6" t="str">
        <f t="shared" si="137"/>
        <v>管理学学士</v>
      </c>
      <c r="G270" s="6" t="str">
        <f>"旅游管理"</f>
        <v>旅游管理</v>
      </c>
      <c r="H270" s="7" t="s">
        <v>9</v>
      </c>
    </row>
    <row r="271" spans="1:8" ht="15" customHeight="1">
      <c r="A271" s="5">
        <v>269</v>
      </c>
      <c r="B271" s="6" t="str">
        <f>"李琦"</f>
        <v>李琦</v>
      </c>
      <c r="C271" s="6" t="str">
        <f aca="true" t="shared" si="138" ref="C271:C273">"女"</f>
        <v>女</v>
      </c>
      <c r="D271" s="6" t="str">
        <f>"1996-05-11"</f>
        <v>1996-05-11</v>
      </c>
      <c r="E271" s="6" t="str">
        <f t="shared" si="136"/>
        <v>本科</v>
      </c>
      <c r="F271" s="6" t="str">
        <f>"工学学士"</f>
        <v>工学学士</v>
      </c>
      <c r="G271" s="6" t="str">
        <f>"工程造价"</f>
        <v>工程造价</v>
      </c>
      <c r="H271" s="7" t="s">
        <v>9</v>
      </c>
    </row>
    <row r="272" spans="1:8" ht="15" customHeight="1">
      <c r="A272" s="5">
        <v>270</v>
      </c>
      <c r="B272" s="6" t="str">
        <f>"符宠祝"</f>
        <v>符宠祝</v>
      </c>
      <c r="C272" s="6" t="str">
        <f t="shared" si="138"/>
        <v>女</v>
      </c>
      <c r="D272" s="6" t="str">
        <f>"1994-10-16"</f>
        <v>1994-10-16</v>
      </c>
      <c r="E272" s="6" t="str">
        <f t="shared" si="136"/>
        <v>本科</v>
      </c>
      <c r="F272" s="6" t="str">
        <f>"文学学士"</f>
        <v>文学学士</v>
      </c>
      <c r="G272" s="6" t="str">
        <f>"秘书学"</f>
        <v>秘书学</v>
      </c>
      <c r="H272" s="7" t="s">
        <v>9</v>
      </c>
    </row>
    <row r="273" spans="1:8" ht="15" customHeight="1">
      <c r="A273" s="5">
        <v>271</v>
      </c>
      <c r="B273" s="6" t="str">
        <f>"何日美"</f>
        <v>何日美</v>
      </c>
      <c r="C273" s="6" t="str">
        <f t="shared" si="138"/>
        <v>女</v>
      </c>
      <c r="D273" s="6" t="str">
        <f>"1997-01-02"</f>
        <v>1997-01-02</v>
      </c>
      <c r="E273" s="6" t="str">
        <f t="shared" si="136"/>
        <v>本科</v>
      </c>
      <c r="F273" s="6" t="str">
        <f aca="true" t="shared" si="139" ref="F273:F277">"管理学学士"</f>
        <v>管理学学士</v>
      </c>
      <c r="G273" s="6" t="str">
        <f>"公共事业管理"</f>
        <v>公共事业管理</v>
      </c>
      <c r="H273" s="7" t="s">
        <v>9</v>
      </c>
    </row>
    <row r="274" spans="1:8" ht="15" customHeight="1">
      <c r="A274" s="5">
        <v>272</v>
      </c>
      <c r="B274" s="6" t="str">
        <f>"黄武飞"</f>
        <v>黄武飞</v>
      </c>
      <c r="C274" s="6" t="str">
        <f aca="true" t="shared" si="140" ref="C274:C278">"男"</f>
        <v>男</v>
      </c>
      <c r="D274" s="6" t="str">
        <f>"1991-03-05"</f>
        <v>1991-03-05</v>
      </c>
      <c r="E274" s="6" t="str">
        <f t="shared" si="136"/>
        <v>本科</v>
      </c>
      <c r="F274" s="6" t="str">
        <f>"工学学士"</f>
        <v>工学学士</v>
      </c>
      <c r="G274" s="6" t="str">
        <f>"计算机科学与技术"</f>
        <v>计算机科学与技术</v>
      </c>
      <c r="H274" s="7" t="s">
        <v>9</v>
      </c>
    </row>
    <row r="275" spans="1:8" ht="15" customHeight="1">
      <c r="A275" s="5">
        <v>273</v>
      </c>
      <c r="B275" s="6" t="str">
        <f>"郑贞莹"</f>
        <v>郑贞莹</v>
      </c>
      <c r="C275" s="6" t="str">
        <f aca="true" t="shared" si="141" ref="C275:C279">"女"</f>
        <v>女</v>
      </c>
      <c r="D275" s="6" t="str">
        <f>"1995-06-16"</f>
        <v>1995-06-16</v>
      </c>
      <c r="E275" s="6" t="str">
        <f>"大学本科学历"</f>
        <v>大学本科学历</v>
      </c>
      <c r="F275" s="6" t="str">
        <f t="shared" si="139"/>
        <v>管理学学士</v>
      </c>
      <c r="G275" s="6" t="str">
        <f>"会计学"</f>
        <v>会计学</v>
      </c>
      <c r="H275" s="7" t="s">
        <v>9</v>
      </c>
    </row>
    <row r="276" spans="1:8" ht="15" customHeight="1">
      <c r="A276" s="5">
        <v>274</v>
      </c>
      <c r="B276" s="6" t="str">
        <f>"丁华健"</f>
        <v>丁华健</v>
      </c>
      <c r="C276" s="6" t="str">
        <f t="shared" si="140"/>
        <v>男</v>
      </c>
      <c r="D276" s="6" t="str">
        <f>"1997-10-27"</f>
        <v>1997-10-27</v>
      </c>
      <c r="E276" s="6" t="str">
        <f aca="true" t="shared" si="142" ref="E276:E279">"本科"</f>
        <v>本科</v>
      </c>
      <c r="F276" s="6" t="str">
        <f t="shared" si="139"/>
        <v>管理学学士</v>
      </c>
      <c r="G276" s="6" t="str">
        <f>"市场营销"</f>
        <v>市场营销</v>
      </c>
      <c r="H276" s="7" t="s">
        <v>9</v>
      </c>
    </row>
    <row r="277" spans="1:8" ht="15" customHeight="1">
      <c r="A277" s="5">
        <v>275</v>
      </c>
      <c r="B277" s="6" t="str">
        <f>"林怡"</f>
        <v>林怡</v>
      </c>
      <c r="C277" s="6" t="str">
        <f t="shared" si="141"/>
        <v>女</v>
      </c>
      <c r="D277" s="6" t="str">
        <f>"1998-03-16"</f>
        <v>1998-03-16</v>
      </c>
      <c r="E277" s="6" t="str">
        <f t="shared" si="142"/>
        <v>本科</v>
      </c>
      <c r="F277" s="6" t="str">
        <f t="shared" si="139"/>
        <v>管理学学士</v>
      </c>
      <c r="G277" s="6" t="str">
        <f>"会展经济与管理"</f>
        <v>会展经济与管理</v>
      </c>
      <c r="H277" s="7" t="s">
        <v>9</v>
      </c>
    </row>
    <row r="278" spans="1:8" ht="15" customHeight="1">
      <c r="A278" s="5">
        <v>276</v>
      </c>
      <c r="B278" s="6" t="str">
        <f>"梁金威"</f>
        <v>梁金威</v>
      </c>
      <c r="C278" s="6" t="str">
        <f t="shared" si="140"/>
        <v>男</v>
      </c>
      <c r="D278" s="6" t="str">
        <f>"1995-08-04"</f>
        <v>1995-08-04</v>
      </c>
      <c r="E278" s="6" t="str">
        <f t="shared" si="142"/>
        <v>本科</v>
      </c>
      <c r="F278" s="6" t="str">
        <f>"学士"</f>
        <v>学士</v>
      </c>
      <c r="G278" s="6" t="str">
        <f>"金融学"</f>
        <v>金融学</v>
      </c>
      <c r="H278" s="7" t="s">
        <v>9</v>
      </c>
    </row>
    <row r="279" spans="1:8" ht="15" customHeight="1">
      <c r="A279" s="5">
        <v>277</v>
      </c>
      <c r="B279" s="6" t="str">
        <f>"黄钰倩"</f>
        <v>黄钰倩</v>
      </c>
      <c r="C279" s="6" t="str">
        <f t="shared" si="141"/>
        <v>女</v>
      </c>
      <c r="D279" s="6" t="str">
        <f>"1992-05-08"</f>
        <v>1992-05-08</v>
      </c>
      <c r="E279" s="6" t="str">
        <f t="shared" si="142"/>
        <v>本科</v>
      </c>
      <c r="F279" s="6" t="str">
        <f>"管理学学士学位"</f>
        <v>管理学学士学位</v>
      </c>
      <c r="G279" s="6" t="str">
        <f>"旅游管理"</f>
        <v>旅游管理</v>
      </c>
      <c r="H279" s="7" t="s">
        <v>9</v>
      </c>
    </row>
    <row r="280" spans="1:8" ht="15" customHeight="1">
      <c r="A280" s="5">
        <v>278</v>
      </c>
      <c r="B280" s="6" t="str">
        <f>"钟锃"</f>
        <v>钟锃</v>
      </c>
      <c r="C280" s="6" t="str">
        <f>"男"</f>
        <v>男</v>
      </c>
      <c r="D280" s="6" t="str">
        <f>"1996-05-04"</f>
        <v>1996-05-04</v>
      </c>
      <c r="E280" s="6" t="str">
        <f aca="true" t="shared" si="143" ref="E280:E282">"大学本科"</f>
        <v>大学本科</v>
      </c>
      <c r="F280" s="6" t="str">
        <f>"学士学位"</f>
        <v>学士学位</v>
      </c>
      <c r="G280" s="6" t="str">
        <f>"土木工程"</f>
        <v>土木工程</v>
      </c>
      <c r="H280" s="7" t="s">
        <v>9</v>
      </c>
    </row>
    <row r="281" spans="1:8" ht="15" customHeight="1">
      <c r="A281" s="5">
        <v>279</v>
      </c>
      <c r="B281" s="6" t="str">
        <f>"陈绵照"</f>
        <v>陈绵照</v>
      </c>
      <c r="C281" s="6" t="str">
        <f>"男"</f>
        <v>男</v>
      </c>
      <c r="D281" s="6" t="str">
        <f>"1996-11-26"</f>
        <v>1996-11-26</v>
      </c>
      <c r="E281" s="6" t="str">
        <f t="shared" si="143"/>
        <v>大学本科</v>
      </c>
      <c r="F281" s="6" t="str">
        <f>"工学学士"</f>
        <v>工学学士</v>
      </c>
      <c r="G281" s="6" t="str">
        <f>"土木工程"</f>
        <v>土木工程</v>
      </c>
      <c r="H281" s="7" t="s">
        <v>9</v>
      </c>
    </row>
    <row r="282" spans="1:8" ht="15" customHeight="1">
      <c r="A282" s="5">
        <v>280</v>
      </c>
      <c r="B282" s="6" t="str">
        <f>"吴秋珏"</f>
        <v>吴秋珏</v>
      </c>
      <c r="C282" s="6" t="str">
        <f aca="true" t="shared" si="144" ref="C282:C285">"女"</f>
        <v>女</v>
      </c>
      <c r="D282" s="6" t="str">
        <f>"2000-10-20"</f>
        <v>2000-10-20</v>
      </c>
      <c r="E282" s="6" t="str">
        <f t="shared" si="143"/>
        <v>大学本科</v>
      </c>
      <c r="F282" s="6" t="str">
        <f aca="true" t="shared" si="145" ref="F282:F286">"管理学学士"</f>
        <v>管理学学士</v>
      </c>
      <c r="G282" s="6" t="str">
        <f>"会计学"</f>
        <v>会计学</v>
      </c>
      <c r="H282" s="7" t="s">
        <v>9</v>
      </c>
    </row>
    <row r="283" spans="1:8" ht="15" customHeight="1">
      <c r="A283" s="5">
        <v>281</v>
      </c>
      <c r="B283" s="6" t="str">
        <f>"符雪雅"</f>
        <v>符雪雅</v>
      </c>
      <c r="C283" s="6" t="str">
        <f t="shared" si="144"/>
        <v>女</v>
      </c>
      <c r="D283" s="6" t="str">
        <f>"1990-11-13"</f>
        <v>1990-11-13</v>
      </c>
      <c r="E283" s="6" t="str">
        <f>"本科"</f>
        <v>本科</v>
      </c>
      <c r="F283" s="6" t="str">
        <f t="shared" si="145"/>
        <v>管理学学士</v>
      </c>
      <c r="G283" s="6" t="str">
        <f>"行政管理"</f>
        <v>行政管理</v>
      </c>
      <c r="H283" s="7" t="s">
        <v>9</v>
      </c>
    </row>
    <row r="284" spans="1:8" ht="15" customHeight="1">
      <c r="A284" s="5">
        <v>282</v>
      </c>
      <c r="B284" s="6" t="str">
        <f>"杨妮"</f>
        <v>杨妮</v>
      </c>
      <c r="C284" s="6" t="str">
        <f t="shared" si="144"/>
        <v>女</v>
      </c>
      <c r="D284" s="6" t="str">
        <f>"1999-11-26"</f>
        <v>1999-11-26</v>
      </c>
      <c r="E284" s="6" t="str">
        <f>"大学本科学历"</f>
        <v>大学本科学历</v>
      </c>
      <c r="F284" s="6" t="str">
        <f>"工学学士"</f>
        <v>工学学士</v>
      </c>
      <c r="G284" s="6" t="str">
        <f>"建筑工程"</f>
        <v>建筑工程</v>
      </c>
      <c r="H284" s="7" t="s">
        <v>9</v>
      </c>
    </row>
    <row r="285" spans="1:8" ht="15" customHeight="1">
      <c r="A285" s="5">
        <v>283</v>
      </c>
      <c r="B285" s="6" t="str">
        <f>"洪文妍"</f>
        <v>洪文妍</v>
      </c>
      <c r="C285" s="6" t="str">
        <f t="shared" si="144"/>
        <v>女</v>
      </c>
      <c r="D285" s="6" t="str">
        <f>"1996-07-06"</f>
        <v>1996-07-06</v>
      </c>
      <c r="E285" s="6" t="str">
        <f aca="true" t="shared" si="146" ref="E285:E290">"大学本科"</f>
        <v>大学本科</v>
      </c>
      <c r="F285" s="6" t="str">
        <f>"文学学士"</f>
        <v>文学学士</v>
      </c>
      <c r="G285" s="6" t="str">
        <f>"广播电视学"</f>
        <v>广播电视学</v>
      </c>
      <c r="H285" s="7" t="s">
        <v>9</v>
      </c>
    </row>
    <row r="286" spans="1:8" ht="15" customHeight="1">
      <c r="A286" s="5">
        <v>284</v>
      </c>
      <c r="B286" s="6" t="str">
        <f>"邓开涛"</f>
        <v>邓开涛</v>
      </c>
      <c r="C286" s="6" t="str">
        <f aca="true" t="shared" si="147" ref="C286:C289">"男"</f>
        <v>男</v>
      </c>
      <c r="D286" s="6" t="str">
        <f>"1994-02-12"</f>
        <v>1994-02-12</v>
      </c>
      <c r="E286" s="6" t="str">
        <f t="shared" si="146"/>
        <v>大学本科</v>
      </c>
      <c r="F286" s="6" t="str">
        <f t="shared" si="145"/>
        <v>管理学学士</v>
      </c>
      <c r="G286" s="6" t="str">
        <f>"工程管理"</f>
        <v>工程管理</v>
      </c>
      <c r="H286" s="7" t="s">
        <v>9</v>
      </c>
    </row>
    <row r="287" spans="1:8" ht="15" customHeight="1">
      <c r="A287" s="5">
        <v>285</v>
      </c>
      <c r="B287" s="6" t="str">
        <f>"周克琦"</f>
        <v>周克琦</v>
      </c>
      <c r="C287" s="6" t="str">
        <f t="shared" si="147"/>
        <v>男</v>
      </c>
      <c r="D287" s="6" t="str">
        <f>"1993-08-28"</f>
        <v>1993-08-28</v>
      </c>
      <c r="E287" s="6" t="str">
        <f>"全日制本科"</f>
        <v>全日制本科</v>
      </c>
      <c r="F287" s="6" t="str">
        <f>"理学学士"</f>
        <v>理学学士</v>
      </c>
      <c r="G287" s="6" t="str">
        <f>"环境科学"</f>
        <v>环境科学</v>
      </c>
      <c r="H287" s="7" t="s">
        <v>9</v>
      </c>
    </row>
    <row r="288" spans="1:8" ht="15" customHeight="1">
      <c r="A288" s="5">
        <v>286</v>
      </c>
      <c r="B288" s="6" t="str">
        <f>"莫云华"</f>
        <v>莫云华</v>
      </c>
      <c r="C288" s="6" t="str">
        <f t="shared" si="147"/>
        <v>男</v>
      </c>
      <c r="D288" s="6" t="str">
        <f>"2000-09-20"</f>
        <v>2000-09-20</v>
      </c>
      <c r="E288" s="6" t="str">
        <f t="shared" si="146"/>
        <v>大学本科</v>
      </c>
      <c r="F288" s="6" t="str">
        <f aca="true" t="shared" si="148" ref="F288:F293">"管理学学士"</f>
        <v>管理学学士</v>
      </c>
      <c r="G288" s="6" t="str">
        <f>"海事管理"</f>
        <v>海事管理</v>
      </c>
      <c r="H288" s="7" t="s">
        <v>9</v>
      </c>
    </row>
    <row r="289" spans="1:8" ht="15" customHeight="1">
      <c r="A289" s="5">
        <v>287</v>
      </c>
      <c r="B289" s="6" t="str">
        <f>"李中博"</f>
        <v>李中博</v>
      </c>
      <c r="C289" s="6" t="str">
        <f t="shared" si="147"/>
        <v>男</v>
      </c>
      <c r="D289" s="6" t="str">
        <f>"2001-02-17"</f>
        <v>2001-02-17</v>
      </c>
      <c r="E289" s="6" t="str">
        <f t="shared" si="146"/>
        <v>大学本科</v>
      </c>
      <c r="F289" s="6" t="str">
        <f>"工学学士"</f>
        <v>工学学士</v>
      </c>
      <c r="G289" s="6" t="str">
        <f>"计算机科学与技术"</f>
        <v>计算机科学与技术</v>
      </c>
      <c r="H289" s="7" t="s">
        <v>9</v>
      </c>
    </row>
    <row r="290" spans="1:8" ht="15" customHeight="1">
      <c r="A290" s="5">
        <v>288</v>
      </c>
      <c r="B290" s="6" t="str">
        <f>"张福雅"</f>
        <v>张福雅</v>
      </c>
      <c r="C290" s="6" t="str">
        <f aca="true" t="shared" si="149" ref="C290:C297">"女"</f>
        <v>女</v>
      </c>
      <c r="D290" s="6" t="str">
        <f>"1996-02-08"</f>
        <v>1996-02-08</v>
      </c>
      <c r="E290" s="6" t="str">
        <f t="shared" si="146"/>
        <v>大学本科</v>
      </c>
      <c r="F290" s="6" t="str">
        <f>"文学学士"</f>
        <v>文学学士</v>
      </c>
      <c r="G290" s="6" t="str">
        <f>"汉语国际教育"</f>
        <v>汉语国际教育</v>
      </c>
      <c r="H290" s="7" t="s">
        <v>9</v>
      </c>
    </row>
    <row r="291" spans="1:8" ht="15" customHeight="1">
      <c r="A291" s="5">
        <v>289</v>
      </c>
      <c r="B291" s="6" t="str">
        <f>"王莹"</f>
        <v>王莹</v>
      </c>
      <c r="C291" s="6" t="str">
        <f t="shared" si="149"/>
        <v>女</v>
      </c>
      <c r="D291" s="6" t="str">
        <f>"1998-08-06"</f>
        <v>1998-08-06</v>
      </c>
      <c r="E291" s="6" t="str">
        <f aca="true" t="shared" si="150" ref="E291:E294">"本科"</f>
        <v>本科</v>
      </c>
      <c r="F291" s="6" t="str">
        <f t="shared" si="148"/>
        <v>管理学学士</v>
      </c>
      <c r="G291" s="6" t="str">
        <f>"人力资源管理"</f>
        <v>人力资源管理</v>
      </c>
      <c r="H291" s="7" t="s">
        <v>9</v>
      </c>
    </row>
    <row r="292" spans="1:8" ht="15" customHeight="1">
      <c r="A292" s="5">
        <v>290</v>
      </c>
      <c r="B292" s="6" t="str">
        <f>"曾珊珊"</f>
        <v>曾珊珊</v>
      </c>
      <c r="C292" s="6" t="str">
        <f t="shared" si="149"/>
        <v>女</v>
      </c>
      <c r="D292" s="6" t="str">
        <f>"2000-09-22"</f>
        <v>2000-09-22</v>
      </c>
      <c r="E292" s="6" t="str">
        <f t="shared" si="150"/>
        <v>本科</v>
      </c>
      <c r="F292" s="6" t="str">
        <f>"学士"</f>
        <v>学士</v>
      </c>
      <c r="G292" s="6" t="str">
        <f>"财务管理"</f>
        <v>财务管理</v>
      </c>
      <c r="H292" s="7" t="s">
        <v>9</v>
      </c>
    </row>
    <row r="293" spans="1:8" ht="15" customHeight="1">
      <c r="A293" s="5">
        <v>291</v>
      </c>
      <c r="B293" s="6" t="str">
        <f>"王欢"</f>
        <v>王欢</v>
      </c>
      <c r="C293" s="6" t="str">
        <f t="shared" si="149"/>
        <v>女</v>
      </c>
      <c r="D293" s="6" t="str">
        <f>"1999-09-07"</f>
        <v>1999-09-07</v>
      </c>
      <c r="E293" s="6" t="str">
        <f t="shared" si="150"/>
        <v>本科</v>
      </c>
      <c r="F293" s="6" t="str">
        <f t="shared" si="148"/>
        <v>管理学学士</v>
      </c>
      <c r="G293" s="6" t="str">
        <f>"财务管理"</f>
        <v>财务管理</v>
      </c>
      <c r="H293" s="7" t="s">
        <v>9</v>
      </c>
    </row>
    <row r="294" spans="1:8" ht="15" customHeight="1">
      <c r="A294" s="5">
        <v>292</v>
      </c>
      <c r="B294" s="6" t="str">
        <f>"谢爱玲"</f>
        <v>谢爱玲</v>
      </c>
      <c r="C294" s="6" t="str">
        <f t="shared" si="149"/>
        <v>女</v>
      </c>
      <c r="D294" s="6" t="str">
        <f>"1995-09-18"</f>
        <v>1995-09-18</v>
      </c>
      <c r="E294" s="6" t="str">
        <f t="shared" si="150"/>
        <v>本科</v>
      </c>
      <c r="F294" s="6" t="str">
        <f>"经济学学士学位"</f>
        <v>经济学学士学位</v>
      </c>
      <c r="G294" s="6" t="str">
        <f>"经济学"</f>
        <v>经济学</v>
      </c>
      <c r="H294" s="7" t="s">
        <v>9</v>
      </c>
    </row>
    <row r="295" spans="1:8" ht="15" customHeight="1">
      <c r="A295" s="5">
        <v>293</v>
      </c>
      <c r="B295" s="6" t="str">
        <f>"高天娥"</f>
        <v>高天娥</v>
      </c>
      <c r="C295" s="6" t="str">
        <f t="shared" si="149"/>
        <v>女</v>
      </c>
      <c r="D295" s="6" t="str">
        <f>"1992-07-30"</f>
        <v>1992-07-30</v>
      </c>
      <c r="E295" s="6" t="str">
        <f>"大学本科"</f>
        <v>大学本科</v>
      </c>
      <c r="F295" s="6" t="str">
        <f>"文学学士"</f>
        <v>文学学士</v>
      </c>
      <c r="G295" s="6" t="str">
        <f>"汉语言文学"</f>
        <v>汉语言文学</v>
      </c>
      <c r="H295" s="7" t="s">
        <v>9</v>
      </c>
    </row>
    <row r="296" spans="1:8" ht="15" customHeight="1">
      <c r="A296" s="5">
        <v>294</v>
      </c>
      <c r="B296" s="6" t="str">
        <f>"黎倩妮"</f>
        <v>黎倩妮</v>
      </c>
      <c r="C296" s="6" t="str">
        <f t="shared" si="149"/>
        <v>女</v>
      </c>
      <c r="D296" s="6" t="str">
        <f>"1999-07-11"</f>
        <v>1999-07-11</v>
      </c>
      <c r="E296" s="6" t="str">
        <f aca="true" t="shared" si="151" ref="E296:E301">"本科"</f>
        <v>本科</v>
      </c>
      <c r="F296" s="6" t="str">
        <f aca="true" t="shared" si="152" ref="F296:F299">"管理学学士"</f>
        <v>管理学学士</v>
      </c>
      <c r="G296" s="6" t="str">
        <f>"旅游管理"</f>
        <v>旅游管理</v>
      </c>
      <c r="H296" s="7" t="s">
        <v>9</v>
      </c>
    </row>
    <row r="297" spans="1:8" ht="15" customHeight="1">
      <c r="A297" s="5">
        <v>295</v>
      </c>
      <c r="B297" s="6" t="str">
        <f>"陈碧玉"</f>
        <v>陈碧玉</v>
      </c>
      <c r="C297" s="6" t="str">
        <f t="shared" si="149"/>
        <v>女</v>
      </c>
      <c r="D297" s="6" t="str">
        <f>"1990-05-09"</f>
        <v>1990-05-09</v>
      </c>
      <c r="E297" s="6" t="str">
        <f t="shared" si="151"/>
        <v>本科</v>
      </c>
      <c r="F297" s="6" t="str">
        <f t="shared" si="152"/>
        <v>管理学学士</v>
      </c>
      <c r="G297" s="6" t="str">
        <f>"市场营销（旅游市场营销方向）"</f>
        <v>市场营销（旅游市场营销方向）</v>
      </c>
      <c r="H297" s="7" t="s">
        <v>9</v>
      </c>
    </row>
    <row r="298" spans="1:8" ht="15" customHeight="1">
      <c r="A298" s="5">
        <v>296</v>
      </c>
      <c r="B298" s="6" t="str">
        <f>"黄辉辉"</f>
        <v>黄辉辉</v>
      </c>
      <c r="C298" s="6" t="str">
        <f aca="true" t="shared" si="153" ref="C298:C301">"男"</f>
        <v>男</v>
      </c>
      <c r="D298" s="6" t="str">
        <f>"1995-07-18"</f>
        <v>1995-07-18</v>
      </c>
      <c r="E298" s="6" t="str">
        <f>"大学本科"</f>
        <v>大学本科</v>
      </c>
      <c r="F298" s="6" t="str">
        <f>"理学学士"</f>
        <v>理学学士</v>
      </c>
      <c r="G298" s="6" t="str">
        <f>"环境科学"</f>
        <v>环境科学</v>
      </c>
      <c r="H298" s="7" t="s">
        <v>9</v>
      </c>
    </row>
    <row r="299" spans="1:8" ht="15" customHeight="1">
      <c r="A299" s="5">
        <v>297</v>
      </c>
      <c r="B299" s="6" t="str">
        <f>"林渊萍"</f>
        <v>林渊萍</v>
      </c>
      <c r="C299" s="6" t="str">
        <f>"女"</f>
        <v>女</v>
      </c>
      <c r="D299" s="6" t="str">
        <f>"1993-10-21"</f>
        <v>1993-10-21</v>
      </c>
      <c r="E299" s="6" t="str">
        <f t="shared" si="151"/>
        <v>本科</v>
      </c>
      <c r="F299" s="6" t="str">
        <f t="shared" si="152"/>
        <v>管理学学士</v>
      </c>
      <c r="G299" s="6" t="str">
        <f>"会计学"</f>
        <v>会计学</v>
      </c>
      <c r="H299" s="7" t="s">
        <v>9</v>
      </c>
    </row>
    <row r="300" spans="1:8" ht="15" customHeight="1">
      <c r="A300" s="5">
        <v>298</v>
      </c>
      <c r="B300" s="6" t="str">
        <f>"林万贤"</f>
        <v>林万贤</v>
      </c>
      <c r="C300" s="6" t="str">
        <f t="shared" si="153"/>
        <v>男</v>
      </c>
      <c r="D300" s="6" t="str">
        <f>"2001-06-11"</f>
        <v>2001-06-11</v>
      </c>
      <c r="E300" s="6" t="str">
        <f t="shared" si="151"/>
        <v>本科</v>
      </c>
      <c r="F300" s="6" t="str">
        <f>"工学学士"</f>
        <v>工学学士</v>
      </c>
      <c r="G300" s="6" t="str">
        <f>"计算机科学与技术"</f>
        <v>计算机科学与技术</v>
      </c>
      <c r="H300" s="7" t="s">
        <v>9</v>
      </c>
    </row>
    <row r="301" spans="1:8" ht="15" customHeight="1">
      <c r="A301" s="5">
        <v>299</v>
      </c>
      <c r="B301" s="6" t="str">
        <f>"刘兴华"</f>
        <v>刘兴华</v>
      </c>
      <c r="C301" s="6" t="str">
        <f t="shared" si="153"/>
        <v>男</v>
      </c>
      <c r="D301" s="6" t="str">
        <f>"1997-08-11"</f>
        <v>1997-08-11</v>
      </c>
      <c r="E301" s="6" t="str">
        <f t="shared" si="151"/>
        <v>本科</v>
      </c>
      <c r="F301" s="6" t="str">
        <f>"农学学士"</f>
        <v>农学学士</v>
      </c>
      <c r="G301" s="6" t="str">
        <f>"草业科学"</f>
        <v>草业科学</v>
      </c>
      <c r="H301" s="7" t="s">
        <v>9</v>
      </c>
    </row>
    <row r="302" spans="1:8" ht="15" customHeight="1">
      <c r="A302" s="5">
        <v>300</v>
      </c>
      <c r="B302" s="6" t="str">
        <f>"王雅"</f>
        <v>王雅</v>
      </c>
      <c r="C302" s="6" t="str">
        <f>"女"</f>
        <v>女</v>
      </c>
      <c r="D302" s="6" t="str">
        <f>"1993-01-19"</f>
        <v>1993-01-19</v>
      </c>
      <c r="E302" s="6" t="str">
        <f>"大学本科"</f>
        <v>大学本科</v>
      </c>
      <c r="F302" s="6" t="str">
        <f aca="true" t="shared" si="154" ref="F302:F307">"管理学学士"</f>
        <v>管理学学士</v>
      </c>
      <c r="G302" s="6" t="str">
        <f>"工商管理"</f>
        <v>工商管理</v>
      </c>
      <c r="H302" s="7" t="s">
        <v>9</v>
      </c>
    </row>
    <row r="303" spans="1:8" ht="15" customHeight="1">
      <c r="A303" s="5">
        <v>301</v>
      </c>
      <c r="B303" s="6" t="str">
        <f>"陈锋"</f>
        <v>陈锋</v>
      </c>
      <c r="C303" s="6" t="str">
        <f aca="true" t="shared" si="155" ref="C303:C307">"男"</f>
        <v>男</v>
      </c>
      <c r="D303" s="6" t="str">
        <f>"1998-06-25"</f>
        <v>1998-06-25</v>
      </c>
      <c r="E303" s="6" t="str">
        <f aca="true" t="shared" si="156" ref="E303:E308">"大学本科学历"</f>
        <v>大学本科学历</v>
      </c>
      <c r="F303" s="6" t="str">
        <f>"管理学学位"</f>
        <v>管理学学位</v>
      </c>
      <c r="G303" s="6" t="str">
        <f>"信息管理与信息系统"</f>
        <v>信息管理与信息系统</v>
      </c>
      <c r="H303" s="7" t="s">
        <v>9</v>
      </c>
    </row>
    <row r="304" spans="1:8" ht="15" customHeight="1">
      <c r="A304" s="5">
        <v>302</v>
      </c>
      <c r="B304" s="6" t="str">
        <f>"明东"</f>
        <v>明东</v>
      </c>
      <c r="C304" s="6" t="str">
        <f t="shared" si="155"/>
        <v>男</v>
      </c>
      <c r="D304" s="6" t="str">
        <f>"1997-12-24"</f>
        <v>1997-12-24</v>
      </c>
      <c r="E304" s="6" t="str">
        <f>"大学本科"</f>
        <v>大学本科</v>
      </c>
      <c r="F304" s="6" t="str">
        <f t="shared" si="154"/>
        <v>管理学学士</v>
      </c>
      <c r="G304" s="6" t="str">
        <f>"市场营销"</f>
        <v>市场营销</v>
      </c>
      <c r="H304" s="7" t="s">
        <v>9</v>
      </c>
    </row>
    <row r="305" spans="1:8" ht="15" customHeight="1">
      <c r="A305" s="5">
        <v>303</v>
      </c>
      <c r="B305" s="6" t="str">
        <f>"黄小韩"</f>
        <v>黄小韩</v>
      </c>
      <c r="C305" s="6" t="str">
        <f>"女"</f>
        <v>女</v>
      </c>
      <c r="D305" s="6" t="str">
        <f>"1992-05-10"</f>
        <v>1992-05-10</v>
      </c>
      <c r="E305" s="6" t="str">
        <f aca="true" t="shared" si="157" ref="E305:E310">"本科"</f>
        <v>本科</v>
      </c>
      <c r="F305" s="6" t="str">
        <f>"管理学学位"</f>
        <v>管理学学位</v>
      </c>
      <c r="G305" s="6" t="str">
        <f>"旅游管理"</f>
        <v>旅游管理</v>
      </c>
      <c r="H305" s="7" t="s">
        <v>9</v>
      </c>
    </row>
    <row r="306" spans="1:8" ht="15" customHeight="1">
      <c r="A306" s="5">
        <v>304</v>
      </c>
      <c r="B306" s="6" t="str">
        <f>"齐华涛"</f>
        <v>齐华涛</v>
      </c>
      <c r="C306" s="6" t="str">
        <f t="shared" si="155"/>
        <v>男</v>
      </c>
      <c r="D306" s="6" t="str">
        <f>"2000-12-14"</f>
        <v>2000-12-14</v>
      </c>
      <c r="E306" s="6" t="str">
        <f t="shared" si="157"/>
        <v>本科</v>
      </c>
      <c r="F306" s="6" t="str">
        <f t="shared" si="154"/>
        <v>管理学学士</v>
      </c>
      <c r="G306" s="6" t="str">
        <f>"工程管理"</f>
        <v>工程管理</v>
      </c>
      <c r="H306" s="7" t="s">
        <v>9</v>
      </c>
    </row>
    <row r="307" spans="1:8" ht="15" customHeight="1">
      <c r="A307" s="5">
        <v>305</v>
      </c>
      <c r="B307" s="6" t="str">
        <f>"吴光兵"</f>
        <v>吴光兵</v>
      </c>
      <c r="C307" s="6" t="str">
        <f t="shared" si="155"/>
        <v>男</v>
      </c>
      <c r="D307" s="6" t="str">
        <f>"2000-06-03"</f>
        <v>2000-06-03</v>
      </c>
      <c r="E307" s="6" t="str">
        <f t="shared" si="156"/>
        <v>大学本科学历</v>
      </c>
      <c r="F307" s="6" t="str">
        <f t="shared" si="154"/>
        <v>管理学学士</v>
      </c>
      <c r="G307" s="6" t="str">
        <f>"人力资源管理"</f>
        <v>人力资源管理</v>
      </c>
      <c r="H307" s="7" t="s">
        <v>9</v>
      </c>
    </row>
    <row r="308" spans="1:8" ht="15" customHeight="1">
      <c r="A308" s="5">
        <v>306</v>
      </c>
      <c r="B308" s="6" t="str">
        <f>"吴伶俐"</f>
        <v>吴伶俐</v>
      </c>
      <c r="C308" s="6" t="str">
        <f>"女"</f>
        <v>女</v>
      </c>
      <c r="D308" s="6" t="str">
        <f>"1998-02-11"</f>
        <v>1998-02-11</v>
      </c>
      <c r="E308" s="6" t="str">
        <f t="shared" si="156"/>
        <v>大学本科学历</v>
      </c>
      <c r="F308" s="6" t="str">
        <f aca="true" t="shared" si="158" ref="F308:F310">"工学学士"</f>
        <v>工学学士</v>
      </c>
      <c r="G308" s="6" t="str">
        <f>"城乡规划"</f>
        <v>城乡规划</v>
      </c>
      <c r="H308" s="7" t="s">
        <v>9</v>
      </c>
    </row>
    <row r="309" spans="1:8" ht="15" customHeight="1">
      <c r="A309" s="5">
        <v>307</v>
      </c>
      <c r="B309" s="6" t="str">
        <f>"石英健"</f>
        <v>石英健</v>
      </c>
      <c r="C309" s="6" t="str">
        <f aca="true" t="shared" si="159" ref="C309:C312">"男"</f>
        <v>男</v>
      </c>
      <c r="D309" s="6" t="str">
        <f>"1993-05-21"</f>
        <v>1993-05-21</v>
      </c>
      <c r="E309" s="6" t="str">
        <f>"大学本科"</f>
        <v>大学本科</v>
      </c>
      <c r="F309" s="6" t="str">
        <f t="shared" si="158"/>
        <v>工学学士</v>
      </c>
      <c r="G309" s="6" t="str">
        <f>"环境工程"</f>
        <v>环境工程</v>
      </c>
      <c r="H309" s="7" t="s">
        <v>9</v>
      </c>
    </row>
    <row r="310" spans="1:8" ht="15" customHeight="1">
      <c r="A310" s="5">
        <v>308</v>
      </c>
      <c r="B310" s="6" t="str">
        <f>"戴卓峰"</f>
        <v>戴卓峰</v>
      </c>
      <c r="C310" s="6" t="str">
        <f t="shared" si="159"/>
        <v>男</v>
      </c>
      <c r="D310" s="6" t="str">
        <f>"1995-05-10"</f>
        <v>1995-05-10</v>
      </c>
      <c r="E310" s="6" t="str">
        <f t="shared" si="157"/>
        <v>本科</v>
      </c>
      <c r="F310" s="6" t="str">
        <f t="shared" si="158"/>
        <v>工学学士</v>
      </c>
      <c r="G310" s="6" t="str">
        <f>"土木工程"</f>
        <v>土木工程</v>
      </c>
      <c r="H310" s="7" t="s">
        <v>9</v>
      </c>
    </row>
    <row r="311" spans="1:8" ht="15" customHeight="1">
      <c r="A311" s="5">
        <v>309</v>
      </c>
      <c r="B311" s="6" t="str">
        <f>"陈良刚"</f>
        <v>陈良刚</v>
      </c>
      <c r="C311" s="6" t="str">
        <f t="shared" si="159"/>
        <v>男</v>
      </c>
      <c r="D311" s="6" t="str">
        <f>"1998-10-08"</f>
        <v>1998-10-08</v>
      </c>
      <c r="E311" s="6" t="str">
        <f>"大学本科学历"</f>
        <v>大学本科学历</v>
      </c>
      <c r="F311" s="6" t="str">
        <f aca="true" t="shared" si="160" ref="F311:F313">"管理学学士"</f>
        <v>管理学学士</v>
      </c>
      <c r="G311" s="6" t="str">
        <f>"人力资源管理"</f>
        <v>人力资源管理</v>
      </c>
      <c r="H311" s="7" t="s">
        <v>9</v>
      </c>
    </row>
    <row r="312" spans="1:8" ht="15" customHeight="1">
      <c r="A312" s="5">
        <v>310</v>
      </c>
      <c r="B312" s="6" t="str">
        <f>"谢鹏举"</f>
        <v>谢鹏举</v>
      </c>
      <c r="C312" s="6" t="str">
        <f t="shared" si="159"/>
        <v>男</v>
      </c>
      <c r="D312" s="6" t="str">
        <f>"1988-05-09"</f>
        <v>1988-05-09</v>
      </c>
      <c r="E312" s="6" t="str">
        <f>"本科  "</f>
        <v>本科  </v>
      </c>
      <c r="F312" s="6" t="str">
        <f t="shared" si="160"/>
        <v>管理学学士</v>
      </c>
      <c r="G312" s="6" t="str">
        <f>"电子商务"</f>
        <v>电子商务</v>
      </c>
      <c r="H312" s="7" t="s">
        <v>9</v>
      </c>
    </row>
    <row r="313" spans="1:8" ht="15" customHeight="1">
      <c r="A313" s="5">
        <v>311</v>
      </c>
      <c r="B313" s="6" t="str">
        <f>"林文家"</f>
        <v>林文家</v>
      </c>
      <c r="C313" s="6" t="str">
        <f aca="true" t="shared" si="161" ref="C313:C319">"女"</f>
        <v>女</v>
      </c>
      <c r="D313" s="6" t="str">
        <f>"1998-01-11"</f>
        <v>1998-01-11</v>
      </c>
      <c r="E313" s="6" t="str">
        <f>"大学本科"</f>
        <v>大学本科</v>
      </c>
      <c r="F313" s="6" t="str">
        <f t="shared" si="160"/>
        <v>管理学学士</v>
      </c>
      <c r="G313" s="6" t="str">
        <f>"旅游管理"</f>
        <v>旅游管理</v>
      </c>
      <c r="H313" s="7" t="s">
        <v>9</v>
      </c>
    </row>
    <row r="314" spans="1:8" ht="15" customHeight="1">
      <c r="A314" s="5">
        <v>312</v>
      </c>
      <c r="B314" s="6" t="str">
        <f>"高中丽"</f>
        <v>高中丽</v>
      </c>
      <c r="C314" s="6" t="str">
        <f t="shared" si="161"/>
        <v>女</v>
      </c>
      <c r="D314" s="6" t="str">
        <f>"1989-07-05"</f>
        <v>1989-07-05</v>
      </c>
      <c r="E314" s="6" t="str">
        <f aca="true" t="shared" si="162" ref="E314:E319">"本科"</f>
        <v>本科</v>
      </c>
      <c r="F314" s="6" t="str">
        <f>"工学学士"</f>
        <v>工学学士</v>
      </c>
      <c r="G314" s="6" t="str">
        <f>"环境工程"</f>
        <v>环境工程</v>
      </c>
      <c r="H314" s="7" t="s">
        <v>9</v>
      </c>
    </row>
    <row r="315" spans="1:8" ht="15" customHeight="1">
      <c r="A315" s="5">
        <v>313</v>
      </c>
      <c r="B315" s="6" t="str">
        <f>"唐成强"</f>
        <v>唐成强</v>
      </c>
      <c r="C315" s="6" t="str">
        <f>"男"</f>
        <v>男</v>
      </c>
      <c r="D315" s="6" t="str">
        <f>"1994-02-06"</f>
        <v>1994-02-06</v>
      </c>
      <c r="E315" s="6" t="str">
        <f>"大学本科学历"</f>
        <v>大学本科学历</v>
      </c>
      <c r="F315" s="6" t="str">
        <f>"工学学士"</f>
        <v>工学学士</v>
      </c>
      <c r="G315" s="6" t="str">
        <f>"建筑学"</f>
        <v>建筑学</v>
      </c>
      <c r="H315" s="7" t="s">
        <v>9</v>
      </c>
    </row>
    <row r="316" spans="1:8" ht="15" customHeight="1">
      <c r="A316" s="5">
        <v>314</v>
      </c>
      <c r="B316" s="6" t="str">
        <f>"符桂秋"</f>
        <v>符桂秋</v>
      </c>
      <c r="C316" s="6" t="str">
        <f t="shared" si="161"/>
        <v>女</v>
      </c>
      <c r="D316" s="6" t="str">
        <f>"2000-10-18"</f>
        <v>2000-10-18</v>
      </c>
      <c r="E316" s="6" t="str">
        <f t="shared" si="162"/>
        <v>本科</v>
      </c>
      <c r="F316" s="6" t="str">
        <f>"经济学学士"</f>
        <v>经济学学士</v>
      </c>
      <c r="G316" s="6" t="str">
        <f>"金融学"</f>
        <v>金融学</v>
      </c>
      <c r="H316" s="7" t="s">
        <v>9</v>
      </c>
    </row>
    <row r="317" spans="1:8" ht="15" customHeight="1">
      <c r="A317" s="5">
        <v>315</v>
      </c>
      <c r="B317" s="6" t="str">
        <f>"罗瑾"</f>
        <v>罗瑾</v>
      </c>
      <c r="C317" s="6" t="str">
        <f t="shared" si="161"/>
        <v>女</v>
      </c>
      <c r="D317" s="6" t="str">
        <f>"1999-06-03"</f>
        <v>1999-06-03</v>
      </c>
      <c r="E317" s="6" t="str">
        <f t="shared" si="162"/>
        <v>本科</v>
      </c>
      <c r="F317" s="6" t="str">
        <f aca="true" t="shared" si="163" ref="F317:F320">"管理学学士"</f>
        <v>管理学学士</v>
      </c>
      <c r="G317" s="6" t="str">
        <f>"行政管理"</f>
        <v>行政管理</v>
      </c>
      <c r="H317" s="7" t="s">
        <v>9</v>
      </c>
    </row>
    <row r="318" spans="1:8" ht="15" customHeight="1">
      <c r="A318" s="5">
        <v>316</v>
      </c>
      <c r="B318" s="6" t="str">
        <f>"钟鹤莹"</f>
        <v>钟鹤莹</v>
      </c>
      <c r="C318" s="6" t="str">
        <f t="shared" si="161"/>
        <v>女</v>
      </c>
      <c r="D318" s="6" t="str">
        <f>"2000-09-20"</f>
        <v>2000-09-20</v>
      </c>
      <c r="E318" s="6" t="str">
        <f t="shared" si="162"/>
        <v>本科</v>
      </c>
      <c r="F318" s="6" t="str">
        <f t="shared" si="163"/>
        <v>管理学学士</v>
      </c>
      <c r="G318" s="6" t="str">
        <f>"旅游管理"</f>
        <v>旅游管理</v>
      </c>
      <c r="H318" s="7" t="s">
        <v>9</v>
      </c>
    </row>
    <row r="319" spans="1:8" ht="15" customHeight="1">
      <c r="A319" s="5">
        <v>317</v>
      </c>
      <c r="B319" s="6" t="str">
        <f>"叶召琴"</f>
        <v>叶召琴</v>
      </c>
      <c r="C319" s="6" t="str">
        <f t="shared" si="161"/>
        <v>女</v>
      </c>
      <c r="D319" s="6" t="str">
        <f>"1995-11-22"</f>
        <v>1995-11-22</v>
      </c>
      <c r="E319" s="6" t="str">
        <f t="shared" si="162"/>
        <v>本科</v>
      </c>
      <c r="F319" s="6" t="str">
        <f>"学士学位"</f>
        <v>学士学位</v>
      </c>
      <c r="G319" s="6" t="str">
        <f>"财务管理"</f>
        <v>财务管理</v>
      </c>
      <c r="H319" s="7" t="s">
        <v>9</v>
      </c>
    </row>
    <row r="320" spans="1:8" ht="15" customHeight="1">
      <c r="A320" s="5">
        <v>318</v>
      </c>
      <c r="B320" s="6" t="str">
        <f>"黄昌锐"</f>
        <v>黄昌锐</v>
      </c>
      <c r="C320" s="6" t="str">
        <f aca="true" t="shared" si="164" ref="C320:C326">"男"</f>
        <v>男</v>
      </c>
      <c r="D320" s="6" t="str">
        <f>"1991-02-07"</f>
        <v>1991-02-07</v>
      </c>
      <c r="E320" s="6" t="str">
        <f>"大学本科"</f>
        <v>大学本科</v>
      </c>
      <c r="F320" s="6" t="str">
        <f t="shared" si="163"/>
        <v>管理学学士</v>
      </c>
      <c r="G320" s="6" t="str">
        <f>"劳动与社会保障"</f>
        <v>劳动与社会保障</v>
      </c>
      <c r="H320" s="7" t="s">
        <v>9</v>
      </c>
    </row>
    <row r="321" spans="1:8" ht="15" customHeight="1">
      <c r="A321" s="5">
        <v>319</v>
      </c>
      <c r="B321" s="6" t="str">
        <f>"徐世耀"</f>
        <v>徐世耀</v>
      </c>
      <c r="C321" s="6" t="str">
        <f t="shared" si="164"/>
        <v>男</v>
      </c>
      <c r="D321" s="6" t="str">
        <f>"1992-11-03"</f>
        <v>1992-11-03</v>
      </c>
      <c r="E321" s="6" t="str">
        <f aca="true" t="shared" si="165" ref="E321:E324">"本科"</f>
        <v>本科</v>
      </c>
      <c r="F321" s="6" t="str">
        <f>"工学学士"</f>
        <v>工学学士</v>
      </c>
      <c r="G321" s="6" t="str">
        <f>"环境工程"</f>
        <v>环境工程</v>
      </c>
      <c r="H321" s="7" t="s">
        <v>9</v>
      </c>
    </row>
    <row r="322" spans="1:8" ht="15" customHeight="1">
      <c r="A322" s="5">
        <v>320</v>
      </c>
      <c r="B322" s="6" t="str">
        <f>"肖进文"</f>
        <v>肖进文</v>
      </c>
      <c r="C322" s="6" t="str">
        <f t="shared" si="164"/>
        <v>男</v>
      </c>
      <c r="D322" s="6" t="str">
        <f>"1993-03-18"</f>
        <v>1993-03-18</v>
      </c>
      <c r="E322" s="6" t="str">
        <f t="shared" si="165"/>
        <v>本科</v>
      </c>
      <c r="F322" s="6" t="str">
        <f>"经济学学士"</f>
        <v>经济学学士</v>
      </c>
      <c r="G322" s="6" t="str">
        <f>"国际经济与贸易"</f>
        <v>国际经济与贸易</v>
      </c>
      <c r="H322" s="7" t="s">
        <v>9</v>
      </c>
    </row>
    <row r="323" spans="1:8" ht="15" customHeight="1">
      <c r="A323" s="5">
        <v>321</v>
      </c>
      <c r="B323" s="6" t="str">
        <f>"吴毓焕"</f>
        <v>吴毓焕</v>
      </c>
      <c r="C323" s="6" t="str">
        <f t="shared" si="164"/>
        <v>男</v>
      </c>
      <c r="D323" s="6" t="str">
        <f>"1995-09-29"</f>
        <v>1995-09-29</v>
      </c>
      <c r="E323" s="6" t="str">
        <f t="shared" si="165"/>
        <v>本科</v>
      </c>
      <c r="F323" s="6" t="str">
        <f>"学士学位"</f>
        <v>学士学位</v>
      </c>
      <c r="G323" s="6" t="str">
        <f>"汉语言文学"</f>
        <v>汉语言文学</v>
      </c>
      <c r="H323" s="7" t="s">
        <v>9</v>
      </c>
    </row>
    <row r="324" spans="1:8" ht="15" customHeight="1">
      <c r="A324" s="5">
        <v>322</v>
      </c>
      <c r="B324" s="6" t="str">
        <f>"骆彦光"</f>
        <v>骆彦光</v>
      </c>
      <c r="C324" s="6" t="str">
        <f t="shared" si="164"/>
        <v>男</v>
      </c>
      <c r="D324" s="6" t="str">
        <f>"1994-01-03"</f>
        <v>1994-01-03</v>
      </c>
      <c r="E324" s="6" t="str">
        <f t="shared" si="165"/>
        <v>本科</v>
      </c>
      <c r="F324" s="6" t="str">
        <f>"工学学位"</f>
        <v>工学学位</v>
      </c>
      <c r="G324" s="6" t="str">
        <f>"城乡规划"</f>
        <v>城乡规划</v>
      </c>
      <c r="H324" s="7" t="s">
        <v>9</v>
      </c>
    </row>
    <row r="325" spans="1:8" ht="15" customHeight="1">
      <c r="A325" s="5">
        <v>323</v>
      </c>
      <c r="B325" s="6" t="str">
        <f>"邢珑耀"</f>
        <v>邢珑耀</v>
      </c>
      <c r="C325" s="6" t="str">
        <f t="shared" si="164"/>
        <v>男</v>
      </c>
      <c r="D325" s="6" t="str">
        <f>"1988-10-13"</f>
        <v>1988-10-13</v>
      </c>
      <c r="E325" s="6" t="str">
        <f aca="true" t="shared" si="166" ref="E325:E328">"大学本科"</f>
        <v>大学本科</v>
      </c>
      <c r="F325" s="6" t="str">
        <f>"管理学学士"</f>
        <v>管理学学士</v>
      </c>
      <c r="G325" s="6" t="str">
        <f>"电子商务"</f>
        <v>电子商务</v>
      </c>
      <c r="H325" s="7" t="s">
        <v>9</v>
      </c>
    </row>
    <row r="326" spans="1:8" ht="15" customHeight="1">
      <c r="A326" s="5">
        <v>324</v>
      </c>
      <c r="B326" s="6" t="str">
        <f>"钟世威"</f>
        <v>钟世威</v>
      </c>
      <c r="C326" s="6" t="str">
        <f t="shared" si="164"/>
        <v>男</v>
      </c>
      <c r="D326" s="6" t="str">
        <f>"1996-05-07"</f>
        <v>1996-05-07</v>
      </c>
      <c r="E326" s="6" t="str">
        <f>"本科"</f>
        <v>本科</v>
      </c>
      <c r="F326" s="6" t="str">
        <f>"学士"</f>
        <v>学士</v>
      </c>
      <c r="G326" s="6" t="str">
        <f>"工商管理"</f>
        <v>工商管理</v>
      </c>
      <c r="H326" s="7" t="s">
        <v>9</v>
      </c>
    </row>
    <row r="327" spans="1:8" ht="15" customHeight="1">
      <c r="A327" s="5">
        <v>325</v>
      </c>
      <c r="B327" s="6" t="str">
        <f>"王冬玲"</f>
        <v>王冬玲</v>
      </c>
      <c r="C327" s="6" t="str">
        <f aca="true" t="shared" si="167" ref="C327:C332">"女"</f>
        <v>女</v>
      </c>
      <c r="D327" s="6" t="str">
        <f>"1994-04-06"</f>
        <v>1994-04-06</v>
      </c>
      <c r="E327" s="6" t="str">
        <f t="shared" si="166"/>
        <v>大学本科</v>
      </c>
      <c r="F327" s="6" t="str">
        <f>"文学学士"</f>
        <v>文学学士</v>
      </c>
      <c r="G327" s="6" t="str">
        <f>"秘书学"</f>
        <v>秘书学</v>
      </c>
      <c r="H327" s="7" t="s">
        <v>9</v>
      </c>
    </row>
    <row r="328" spans="1:8" ht="15" customHeight="1">
      <c r="A328" s="5">
        <v>326</v>
      </c>
      <c r="B328" s="6" t="str">
        <f>"李健华"</f>
        <v>李健华</v>
      </c>
      <c r="C328" s="6" t="str">
        <f aca="true" t="shared" si="168" ref="C328:C331">"男"</f>
        <v>男</v>
      </c>
      <c r="D328" s="6" t="str">
        <f>"1997-01-24"</f>
        <v>1997-01-24</v>
      </c>
      <c r="E328" s="6" t="str">
        <f t="shared" si="166"/>
        <v>大学本科</v>
      </c>
      <c r="F328" s="6" t="str">
        <f>"工学学士"</f>
        <v>工学学士</v>
      </c>
      <c r="G328" s="6" t="str">
        <f>"计算机科学与技术"</f>
        <v>计算机科学与技术</v>
      </c>
      <c r="H328" s="7" t="s">
        <v>9</v>
      </c>
    </row>
    <row r="329" spans="1:8" ht="15" customHeight="1">
      <c r="A329" s="5">
        <v>327</v>
      </c>
      <c r="B329" s="6" t="str">
        <f>"杨帆"</f>
        <v>杨帆</v>
      </c>
      <c r="C329" s="6" t="str">
        <f t="shared" si="167"/>
        <v>女</v>
      </c>
      <c r="D329" s="6" t="str">
        <f>"1992-02-23"</f>
        <v>1992-02-23</v>
      </c>
      <c r="E329" s="6" t="str">
        <f>"研究生"</f>
        <v>研究生</v>
      </c>
      <c r="F329" s="6" t="str">
        <f>"旅游管理硕士学位"</f>
        <v>旅游管理硕士学位</v>
      </c>
      <c r="G329" s="6" t="str">
        <f>"旅游管理"</f>
        <v>旅游管理</v>
      </c>
      <c r="H329" s="7" t="s">
        <v>9</v>
      </c>
    </row>
    <row r="330" spans="1:8" ht="15" customHeight="1">
      <c r="A330" s="5">
        <v>328</v>
      </c>
      <c r="B330" s="6" t="str">
        <f>"陈明良"</f>
        <v>陈明良</v>
      </c>
      <c r="C330" s="6" t="str">
        <f t="shared" si="168"/>
        <v>男</v>
      </c>
      <c r="D330" s="6" t="str">
        <f>"1996-08-16"</f>
        <v>1996-08-16</v>
      </c>
      <c r="E330" s="6" t="str">
        <f>"大学本科"</f>
        <v>大学本科</v>
      </c>
      <c r="F330" s="6" t="str">
        <f>"文学学士"</f>
        <v>文学学士</v>
      </c>
      <c r="G330" s="6" t="str">
        <f>"汉语言文学"</f>
        <v>汉语言文学</v>
      </c>
      <c r="H330" s="7" t="s">
        <v>9</v>
      </c>
    </row>
    <row r="331" spans="1:8" ht="15" customHeight="1">
      <c r="A331" s="5">
        <v>329</v>
      </c>
      <c r="B331" s="6" t="str">
        <f>"孙考业"</f>
        <v>孙考业</v>
      </c>
      <c r="C331" s="6" t="str">
        <f t="shared" si="168"/>
        <v>男</v>
      </c>
      <c r="D331" s="6" t="str">
        <f>"1992-08-15"</f>
        <v>1992-08-15</v>
      </c>
      <c r="E331" s="6" t="str">
        <f aca="true" t="shared" si="169" ref="E331:E333">"本科"</f>
        <v>本科</v>
      </c>
      <c r="F331" s="6" t="str">
        <f>"管理学学士"</f>
        <v>管理学学士</v>
      </c>
      <c r="G331" s="6" t="str">
        <f>"信息管理与信息系统"</f>
        <v>信息管理与信息系统</v>
      </c>
      <c r="H331" s="7" t="s">
        <v>9</v>
      </c>
    </row>
    <row r="332" spans="1:8" ht="15" customHeight="1">
      <c r="A332" s="5">
        <v>330</v>
      </c>
      <c r="B332" s="6" t="str">
        <f>"廖林妍"</f>
        <v>廖林妍</v>
      </c>
      <c r="C332" s="6" t="str">
        <f t="shared" si="167"/>
        <v>女</v>
      </c>
      <c r="D332" s="6" t="str">
        <f>"1999-11-13"</f>
        <v>1999-11-13</v>
      </c>
      <c r="E332" s="6" t="str">
        <f t="shared" si="169"/>
        <v>本科</v>
      </c>
      <c r="F332" s="6" t="str">
        <f>"管理学学士学位"</f>
        <v>管理学学士学位</v>
      </c>
      <c r="G332" s="6" t="str">
        <f>"旅游管理"</f>
        <v>旅游管理</v>
      </c>
      <c r="H332" s="7" t="s">
        <v>9</v>
      </c>
    </row>
    <row r="333" spans="1:8" ht="15" customHeight="1">
      <c r="A333" s="5">
        <v>331</v>
      </c>
      <c r="B333" s="6" t="str">
        <f>"符壮志"</f>
        <v>符壮志</v>
      </c>
      <c r="C333" s="6" t="str">
        <f aca="true" t="shared" si="170" ref="C333:C337">"男"</f>
        <v>男</v>
      </c>
      <c r="D333" s="6" t="str">
        <f>"1992-11-08"</f>
        <v>1992-11-08</v>
      </c>
      <c r="E333" s="6" t="str">
        <f t="shared" si="169"/>
        <v>本科</v>
      </c>
      <c r="F333" s="6" t="str">
        <f>"工学学士"</f>
        <v>工学学士</v>
      </c>
      <c r="G333" s="6" t="str">
        <f>"环境工程"</f>
        <v>环境工程</v>
      </c>
      <c r="H333" s="7" t="s">
        <v>9</v>
      </c>
    </row>
    <row r="334" spans="1:8" ht="15" customHeight="1">
      <c r="A334" s="5">
        <v>332</v>
      </c>
      <c r="B334" s="6" t="str">
        <f>"韩行衍"</f>
        <v>韩行衍</v>
      </c>
      <c r="C334" s="6" t="str">
        <f t="shared" si="170"/>
        <v>男</v>
      </c>
      <c r="D334" s="6" t="str">
        <f>"1995-06-27"</f>
        <v>1995-06-27</v>
      </c>
      <c r="E334" s="6" t="str">
        <f>"大学本科学历"</f>
        <v>大学本科学历</v>
      </c>
      <c r="F334" s="6" t="str">
        <f>"管理学学士"</f>
        <v>管理学学士</v>
      </c>
      <c r="G334" s="6" t="str">
        <f>"工程管理"</f>
        <v>工程管理</v>
      </c>
      <c r="H334" s="7" t="s">
        <v>9</v>
      </c>
    </row>
    <row r="335" spans="1:8" ht="15" customHeight="1">
      <c r="A335" s="5">
        <v>333</v>
      </c>
      <c r="B335" s="6" t="str">
        <f>"黄天媛"</f>
        <v>黄天媛</v>
      </c>
      <c r="C335" s="6" t="str">
        <f aca="true" t="shared" si="171" ref="C335:C338">"女"</f>
        <v>女</v>
      </c>
      <c r="D335" s="6" t="str">
        <f>"2000-02-20"</f>
        <v>2000-02-20</v>
      </c>
      <c r="E335" s="6" t="str">
        <f aca="true" t="shared" si="172" ref="E335:E338">"本科"</f>
        <v>本科</v>
      </c>
      <c r="F335" s="6" t="str">
        <f>"无"</f>
        <v>无</v>
      </c>
      <c r="G335" s="6" t="str">
        <f>"会计学(涉外会计方向)"</f>
        <v>会计学(涉外会计方向)</v>
      </c>
      <c r="H335" s="7" t="s">
        <v>9</v>
      </c>
    </row>
    <row r="336" spans="1:8" ht="15" customHeight="1">
      <c r="A336" s="5">
        <v>334</v>
      </c>
      <c r="B336" s="6" t="str">
        <f>"曾春媚"</f>
        <v>曾春媚</v>
      </c>
      <c r="C336" s="6" t="str">
        <f t="shared" si="171"/>
        <v>女</v>
      </c>
      <c r="D336" s="6" t="str">
        <f>"1989-02-11"</f>
        <v>1989-02-11</v>
      </c>
      <c r="E336" s="6" t="str">
        <f t="shared" si="172"/>
        <v>本科</v>
      </c>
      <c r="F336" s="6" t="str">
        <f>"管理学学士学位"</f>
        <v>管理学学士学位</v>
      </c>
      <c r="G336" s="6" t="str">
        <f>"农林经济管理专业"</f>
        <v>农林经济管理专业</v>
      </c>
      <c r="H336" s="7" t="s">
        <v>9</v>
      </c>
    </row>
    <row r="337" spans="1:8" ht="15" customHeight="1">
      <c r="A337" s="5">
        <v>335</v>
      </c>
      <c r="B337" s="6" t="str">
        <f>"黄伟伦"</f>
        <v>黄伟伦</v>
      </c>
      <c r="C337" s="6" t="str">
        <f t="shared" si="170"/>
        <v>男</v>
      </c>
      <c r="D337" s="6" t="str">
        <f>"1997-10-05"</f>
        <v>1997-10-05</v>
      </c>
      <c r="E337" s="6" t="str">
        <f t="shared" si="172"/>
        <v>本科</v>
      </c>
      <c r="F337" s="6" t="str">
        <f>"工学学士"</f>
        <v>工学学士</v>
      </c>
      <c r="G337" s="6" t="str">
        <f>"计算机科学与技术"</f>
        <v>计算机科学与技术</v>
      </c>
      <c r="H337" s="7" t="s">
        <v>9</v>
      </c>
    </row>
    <row r="338" spans="1:8" ht="15" customHeight="1">
      <c r="A338" s="5">
        <v>336</v>
      </c>
      <c r="B338" s="6" t="str">
        <f>"罗希特"</f>
        <v>罗希特</v>
      </c>
      <c r="C338" s="6" t="str">
        <f t="shared" si="171"/>
        <v>女</v>
      </c>
      <c r="D338" s="6" t="str">
        <f>"1997-01-14"</f>
        <v>1997-01-14</v>
      </c>
      <c r="E338" s="6" t="str">
        <f t="shared" si="172"/>
        <v>本科</v>
      </c>
      <c r="F338" s="6" t="str">
        <f>"学士学位"</f>
        <v>学士学位</v>
      </c>
      <c r="G338" s="6" t="str">
        <f>"汉语言文学"</f>
        <v>汉语言文学</v>
      </c>
      <c r="H338" s="7" t="s">
        <v>9</v>
      </c>
    </row>
    <row r="339" spans="1:8" ht="15" customHeight="1">
      <c r="A339" s="5">
        <v>337</v>
      </c>
      <c r="B339" s="6" t="str">
        <f>"王帅"</f>
        <v>王帅</v>
      </c>
      <c r="C339" s="6" t="str">
        <f aca="true" t="shared" si="173" ref="C339:C343">"男"</f>
        <v>男</v>
      </c>
      <c r="D339" s="6" t="str">
        <f>"1999-04-07"</f>
        <v>1999-04-07</v>
      </c>
      <c r="E339" s="6" t="str">
        <f>"大学本科学历"</f>
        <v>大学本科学历</v>
      </c>
      <c r="F339" s="6" t="str">
        <f>"文学学士"</f>
        <v>文学学士</v>
      </c>
      <c r="G339" s="6" t="str">
        <f>"汉语国际教育"</f>
        <v>汉语国际教育</v>
      </c>
      <c r="H339" s="7" t="s">
        <v>9</v>
      </c>
    </row>
    <row r="340" spans="1:8" ht="15" customHeight="1">
      <c r="A340" s="5">
        <v>338</v>
      </c>
      <c r="B340" s="6" t="str">
        <f>"孙新陆"</f>
        <v>孙新陆</v>
      </c>
      <c r="C340" s="6" t="str">
        <f t="shared" si="173"/>
        <v>男</v>
      </c>
      <c r="D340" s="6" t="str">
        <f>"1991-03-18"</f>
        <v>1991-03-18</v>
      </c>
      <c r="E340" s="6" t="str">
        <f aca="true" t="shared" si="174" ref="E340:E344">"大学本科"</f>
        <v>大学本科</v>
      </c>
      <c r="F340" s="6" t="str">
        <f>"农学学士"</f>
        <v>农学学士</v>
      </c>
      <c r="G340" s="6" t="str">
        <f>"园艺（草坪科学与工程方向）"</f>
        <v>园艺（草坪科学与工程方向）</v>
      </c>
      <c r="H340" s="7" t="s">
        <v>9</v>
      </c>
    </row>
    <row r="341" spans="1:8" ht="15" customHeight="1">
      <c r="A341" s="5">
        <v>339</v>
      </c>
      <c r="B341" s="6" t="str">
        <f>"易世成"</f>
        <v>易世成</v>
      </c>
      <c r="C341" s="6" t="str">
        <f t="shared" si="173"/>
        <v>男</v>
      </c>
      <c r="D341" s="6" t="str">
        <f>"1996-09-11"</f>
        <v>1996-09-11</v>
      </c>
      <c r="E341" s="6" t="str">
        <f t="shared" si="174"/>
        <v>大学本科</v>
      </c>
      <c r="F341" s="6" t="str">
        <f>"工学学士学位"</f>
        <v>工学学士学位</v>
      </c>
      <c r="G341" s="6" t="str">
        <f>"计算机科学与技术"</f>
        <v>计算机科学与技术</v>
      </c>
      <c r="H341" s="7" t="s">
        <v>9</v>
      </c>
    </row>
    <row r="342" spans="1:8" ht="15" customHeight="1">
      <c r="A342" s="5">
        <v>340</v>
      </c>
      <c r="B342" s="6" t="str">
        <f>"杨洋"</f>
        <v>杨洋</v>
      </c>
      <c r="C342" s="6" t="str">
        <f t="shared" si="173"/>
        <v>男</v>
      </c>
      <c r="D342" s="6" t="str">
        <f>"1998-03-19"</f>
        <v>1998-03-19</v>
      </c>
      <c r="E342" s="6" t="str">
        <f aca="true" t="shared" si="175" ref="E342:E347">"本科"</f>
        <v>本科</v>
      </c>
      <c r="F342" s="6" t="str">
        <f>"经济学学士"</f>
        <v>经济学学士</v>
      </c>
      <c r="G342" s="6" t="str">
        <f>"国际经济与贸易"</f>
        <v>国际经济与贸易</v>
      </c>
      <c r="H342" s="7" t="s">
        <v>9</v>
      </c>
    </row>
    <row r="343" spans="1:8" ht="15" customHeight="1">
      <c r="A343" s="5">
        <v>341</v>
      </c>
      <c r="B343" s="6" t="str">
        <f>"陈良友"</f>
        <v>陈良友</v>
      </c>
      <c r="C343" s="6" t="str">
        <f t="shared" si="173"/>
        <v>男</v>
      </c>
      <c r="D343" s="6" t="str">
        <f>"1995-08-11"</f>
        <v>1995-08-11</v>
      </c>
      <c r="E343" s="6" t="str">
        <f t="shared" si="174"/>
        <v>大学本科</v>
      </c>
      <c r="F343" s="6" t="str">
        <f aca="true" t="shared" si="176" ref="F343:F347">"管理学学士"</f>
        <v>管理学学士</v>
      </c>
      <c r="G343" s="6" t="str">
        <f>"土地资源管理"</f>
        <v>土地资源管理</v>
      </c>
      <c r="H343" s="7" t="s">
        <v>9</v>
      </c>
    </row>
    <row r="344" spans="1:8" ht="15" customHeight="1">
      <c r="A344" s="5">
        <v>342</v>
      </c>
      <c r="B344" s="6" t="str">
        <f>"曾雨沁"</f>
        <v>曾雨沁</v>
      </c>
      <c r="C344" s="6" t="str">
        <f aca="true" t="shared" si="177" ref="C344:C352">"女"</f>
        <v>女</v>
      </c>
      <c r="D344" s="6" t="str">
        <f>"1999-08-01"</f>
        <v>1999-08-01</v>
      </c>
      <c r="E344" s="6" t="str">
        <f t="shared" si="174"/>
        <v>大学本科</v>
      </c>
      <c r="F344" s="6" t="str">
        <f t="shared" si="176"/>
        <v>管理学学士</v>
      </c>
      <c r="G344" s="6" t="str">
        <f>"劳动与社会保障"</f>
        <v>劳动与社会保障</v>
      </c>
      <c r="H344" s="7" t="s">
        <v>9</v>
      </c>
    </row>
    <row r="345" spans="1:8" ht="15" customHeight="1">
      <c r="A345" s="5">
        <v>343</v>
      </c>
      <c r="B345" s="6" t="str">
        <f>"李忠浪"</f>
        <v>李忠浪</v>
      </c>
      <c r="C345" s="6" t="str">
        <f aca="true" t="shared" si="178" ref="C345:C348">"男"</f>
        <v>男</v>
      </c>
      <c r="D345" s="6" t="str">
        <f>"1990-04-10"</f>
        <v>1990-04-10</v>
      </c>
      <c r="E345" s="6" t="str">
        <f t="shared" si="175"/>
        <v>本科</v>
      </c>
      <c r="F345" s="6" t="str">
        <f>"理学学士"</f>
        <v>理学学士</v>
      </c>
      <c r="G345" s="6" t="str">
        <f>"计算机科学与技术"</f>
        <v>计算机科学与技术</v>
      </c>
      <c r="H345" s="7" t="s">
        <v>9</v>
      </c>
    </row>
    <row r="346" spans="1:8" ht="15" customHeight="1">
      <c r="A346" s="5">
        <v>344</v>
      </c>
      <c r="B346" s="6" t="str">
        <f>"潘在颜"</f>
        <v>潘在颜</v>
      </c>
      <c r="C346" s="6" t="str">
        <f t="shared" si="178"/>
        <v>男</v>
      </c>
      <c r="D346" s="6" t="str">
        <f>"1993-07-11"</f>
        <v>1993-07-11</v>
      </c>
      <c r="E346" s="6" t="str">
        <f t="shared" si="175"/>
        <v>本科</v>
      </c>
      <c r="F346" s="6" t="str">
        <f t="shared" si="176"/>
        <v>管理学学士</v>
      </c>
      <c r="G346" s="6" t="str">
        <f>"物流管理"</f>
        <v>物流管理</v>
      </c>
      <c r="H346" s="7" t="s">
        <v>9</v>
      </c>
    </row>
    <row r="347" spans="1:8" ht="15" customHeight="1">
      <c r="A347" s="5">
        <v>345</v>
      </c>
      <c r="B347" s="6" t="str">
        <f>"廖小燕"</f>
        <v>廖小燕</v>
      </c>
      <c r="C347" s="6" t="str">
        <f t="shared" si="177"/>
        <v>女</v>
      </c>
      <c r="D347" s="6" t="str">
        <f>"1995-05-26"</f>
        <v>1995-05-26</v>
      </c>
      <c r="E347" s="6" t="str">
        <f t="shared" si="175"/>
        <v>本科</v>
      </c>
      <c r="F347" s="6" t="str">
        <f t="shared" si="176"/>
        <v>管理学学士</v>
      </c>
      <c r="G347" s="6" t="str">
        <f>"会计学（注册会计）"</f>
        <v>会计学（注册会计）</v>
      </c>
      <c r="H347" s="7" t="s">
        <v>9</v>
      </c>
    </row>
    <row r="348" spans="1:8" ht="15" customHeight="1">
      <c r="A348" s="5">
        <v>346</v>
      </c>
      <c r="B348" s="6" t="str">
        <f>"梁育瑄"</f>
        <v>梁育瑄</v>
      </c>
      <c r="C348" s="6" t="str">
        <f t="shared" si="178"/>
        <v>男</v>
      </c>
      <c r="D348" s="6" t="str">
        <f>"1995-10-03"</f>
        <v>1995-10-03</v>
      </c>
      <c r="E348" s="6" t="str">
        <f>"全日制本科"</f>
        <v>全日制本科</v>
      </c>
      <c r="F348" s="6" t="str">
        <f>"工学学士"</f>
        <v>工学学士</v>
      </c>
      <c r="G348" s="6" t="str">
        <f>"环境工程"</f>
        <v>环境工程</v>
      </c>
      <c r="H348" s="7" t="s">
        <v>9</v>
      </c>
    </row>
    <row r="349" spans="1:8" ht="15" customHeight="1">
      <c r="A349" s="5">
        <v>347</v>
      </c>
      <c r="B349" s="6" t="str">
        <f>"符睿琪"</f>
        <v>符睿琪</v>
      </c>
      <c r="C349" s="6" t="str">
        <f t="shared" si="177"/>
        <v>女</v>
      </c>
      <c r="D349" s="6" t="str">
        <f>"2000-05-08"</f>
        <v>2000-05-08</v>
      </c>
      <c r="E349" s="6" t="str">
        <f aca="true" t="shared" si="179" ref="E349:E353">"本科"</f>
        <v>本科</v>
      </c>
      <c r="F349" s="6" t="str">
        <f>"文学学士"</f>
        <v>文学学士</v>
      </c>
      <c r="G349" s="6" t="str">
        <f>"汉语言文学"</f>
        <v>汉语言文学</v>
      </c>
      <c r="H349" s="7" t="s">
        <v>9</v>
      </c>
    </row>
    <row r="350" spans="1:8" ht="15" customHeight="1">
      <c r="A350" s="5">
        <v>348</v>
      </c>
      <c r="B350" s="6" t="str">
        <f>"王可"</f>
        <v>王可</v>
      </c>
      <c r="C350" s="6" t="str">
        <f t="shared" si="177"/>
        <v>女</v>
      </c>
      <c r="D350" s="6" t="str">
        <f>"2000-05-27"</f>
        <v>2000-05-27</v>
      </c>
      <c r="E350" s="6" t="str">
        <f>"大学本科"</f>
        <v>大学本科</v>
      </c>
      <c r="F350" s="6" t="str">
        <f>"管理学学士"</f>
        <v>管理学学士</v>
      </c>
      <c r="G350" s="6" t="str">
        <f>"人力资源管理"</f>
        <v>人力资源管理</v>
      </c>
      <c r="H350" s="7" t="s">
        <v>9</v>
      </c>
    </row>
    <row r="351" spans="1:8" ht="15" customHeight="1">
      <c r="A351" s="5">
        <v>349</v>
      </c>
      <c r="B351" s="6" t="str">
        <f>"阮璐"</f>
        <v>阮璐</v>
      </c>
      <c r="C351" s="6" t="str">
        <f t="shared" si="177"/>
        <v>女</v>
      </c>
      <c r="D351" s="6" t="str">
        <f>"2000-10-11"</f>
        <v>2000-10-11</v>
      </c>
      <c r="E351" s="6" t="str">
        <f t="shared" si="179"/>
        <v>本科</v>
      </c>
      <c r="F351" s="6" t="str">
        <f>"经济学学士"</f>
        <v>经济学学士</v>
      </c>
      <c r="G351" s="6" t="str">
        <f>"国际经济与贸易"</f>
        <v>国际经济与贸易</v>
      </c>
      <c r="H351" s="7" t="s">
        <v>9</v>
      </c>
    </row>
    <row r="352" spans="1:8" ht="15" customHeight="1">
      <c r="A352" s="5">
        <v>350</v>
      </c>
      <c r="B352" s="6" t="str">
        <f>"梁友芬"</f>
        <v>梁友芬</v>
      </c>
      <c r="C352" s="6" t="str">
        <f t="shared" si="177"/>
        <v>女</v>
      </c>
      <c r="D352" s="6" t="str">
        <f>"1991-12-02"</f>
        <v>1991-12-02</v>
      </c>
      <c r="E352" s="6" t="str">
        <f t="shared" si="179"/>
        <v>本科</v>
      </c>
      <c r="F352" s="6" t="str">
        <f>"工学学位"</f>
        <v>工学学位</v>
      </c>
      <c r="G352" s="6" t="str">
        <f>"城市规划"</f>
        <v>城市规划</v>
      </c>
      <c r="H352" s="7" t="s">
        <v>9</v>
      </c>
    </row>
    <row r="353" spans="1:8" ht="15" customHeight="1">
      <c r="A353" s="5">
        <v>351</v>
      </c>
      <c r="B353" s="6" t="str">
        <f>"王汉鸿"</f>
        <v>王汉鸿</v>
      </c>
      <c r="C353" s="6" t="str">
        <f aca="true" t="shared" si="180" ref="C353:C355">"男"</f>
        <v>男</v>
      </c>
      <c r="D353" s="6" t="str">
        <f>"2000-04-29"</f>
        <v>2000-04-29</v>
      </c>
      <c r="E353" s="6" t="str">
        <f t="shared" si="179"/>
        <v>本科</v>
      </c>
      <c r="F353" s="6" t="str">
        <f>"工学学士"</f>
        <v>工学学士</v>
      </c>
      <c r="G353" s="6" t="str">
        <f>"计算机科学与技术"</f>
        <v>计算机科学与技术</v>
      </c>
      <c r="H353" s="7" t="s">
        <v>9</v>
      </c>
    </row>
    <row r="354" spans="1:8" ht="15" customHeight="1">
      <c r="A354" s="5">
        <v>352</v>
      </c>
      <c r="B354" s="6" t="str">
        <f>"王茗圣"</f>
        <v>王茗圣</v>
      </c>
      <c r="C354" s="6" t="str">
        <f t="shared" si="180"/>
        <v>男</v>
      </c>
      <c r="D354" s="6" t="str">
        <f>"1994-08-25"</f>
        <v>1994-08-25</v>
      </c>
      <c r="E354" s="6" t="str">
        <f>"大学本科"</f>
        <v>大学本科</v>
      </c>
      <c r="F354" s="6" t="str">
        <f>"经济学学士"</f>
        <v>经济学学士</v>
      </c>
      <c r="G354" s="6" t="str">
        <f>"经济系金融学专业"</f>
        <v>经济系金融学专业</v>
      </c>
      <c r="H354" s="7" t="s">
        <v>9</v>
      </c>
    </row>
    <row r="355" spans="1:8" ht="15" customHeight="1">
      <c r="A355" s="5">
        <v>353</v>
      </c>
      <c r="B355" s="6" t="str">
        <f>"李万欢"</f>
        <v>李万欢</v>
      </c>
      <c r="C355" s="6" t="str">
        <f t="shared" si="180"/>
        <v>男</v>
      </c>
      <c r="D355" s="6" t="str">
        <f>"1997-08-03"</f>
        <v>1997-08-03</v>
      </c>
      <c r="E355" s="6" t="str">
        <f aca="true" t="shared" si="181" ref="E355:E368">"本科"</f>
        <v>本科</v>
      </c>
      <c r="F355" s="6" t="str">
        <f>"工学学士"</f>
        <v>工学学士</v>
      </c>
      <c r="G355" s="6" t="str">
        <f>"土木工程"</f>
        <v>土木工程</v>
      </c>
      <c r="H355" s="7" t="s">
        <v>9</v>
      </c>
    </row>
    <row r="356" spans="1:8" ht="15" customHeight="1">
      <c r="A356" s="5">
        <v>354</v>
      </c>
      <c r="B356" s="6" t="str">
        <f>"崔育莹"</f>
        <v>崔育莹</v>
      </c>
      <c r="C356" s="6" t="str">
        <f aca="true" t="shared" si="182" ref="C356:C358">"女"</f>
        <v>女</v>
      </c>
      <c r="D356" s="6" t="str">
        <f>"1997-09-03"</f>
        <v>1997-09-03</v>
      </c>
      <c r="E356" s="6" t="str">
        <f>"大学本科学历"</f>
        <v>大学本科学历</v>
      </c>
      <c r="F356" s="6" t="str">
        <f>"管理学学士"</f>
        <v>管理学学士</v>
      </c>
      <c r="G356" s="6" t="str">
        <f>"行政管理"</f>
        <v>行政管理</v>
      </c>
      <c r="H356" s="7" t="s">
        <v>9</v>
      </c>
    </row>
    <row r="357" spans="1:8" ht="15" customHeight="1">
      <c r="A357" s="5">
        <v>355</v>
      </c>
      <c r="B357" s="6" t="str">
        <f>"陈菲"</f>
        <v>陈菲</v>
      </c>
      <c r="C357" s="6" t="str">
        <f t="shared" si="182"/>
        <v>女</v>
      </c>
      <c r="D357" s="6" t="str">
        <f>"1987-10-15"</f>
        <v>1987-10-15</v>
      </c>
      <c r="E357" s="6" t="str">
        <f>"全日制本科"</f>
        <v>全日制本科</v>
      </c>
      <c r="F357" s="6" t="str">
        <f>"经济学学士"</f>
        <v>经济学学士</v>
      </c>
      <c r="G357" s="6" t="str">
        <f>"国际经济与贸易"</f>
        <v>国际经济与贸易</v>
      </c>
      <c r="H357" s="7" t="s">
        <v>9</v>
      </c>
    </row>
    <row r="358" spans="1:8" ht="15" customHeight="1">
      <c r="A358" s="5">
        <v>356</v>
      </c>
      <c r="B358" s="6" t="str">
        <f>"叶林燕"</f>
        <v>叶林燕</v>
      </c>
      <c r="C358" s="6" t="str">
        <f t="shared" si="182"/>
        <v>女</v>
      </c>
      <c r="D358" s="6" t="str">
        <f>"2001-11-13"</f>
        <v>2001-11-13</v>
      </c>
      <c r="E358" s="6" t="str">
        <f t="shared" si="181"/>
        <v>本科</v>
      </c>
      <c r="F358" s="6" t="str">
        <f>"管理学学士"</f>
        <v>管理学学士</v>
      </c>
      <c r="G358" s="6" t="str">
        <f>"会计学"</f>
        <v>会计学</v>
      </c>
      <c r="H358" s="7" t="s">
        <v>9</v>
      </c>
    </row>
    <row r="359" spans="1:8" ht="15" customHeight="1">
      <c r="A359" s="5">
        <v>357</v>
      </c>
      <c r="B359" s="6" t="str">
        <f>"王羿凯"</f>
        <v>王羿凯</v>
      </c>
      <c r="C359" s="6" t="str">
        <f aca="true" t="shared" si="183" ref="C359:C362">"男"</f>
        <v>男</v>
      </c>
      <c r="D359" s="6" t="str">
        <f>"1993-07-09"</f>
        <v>1993-07-09</v>
      </c>
      <c r="E359" s="6" t="str">
        <f t="shared" si="181"/>
        <v>本科</v>
      </c>
      <c r="F359" s="6" t="str">
        <f>"工学学士"</f>
        <v>工学学士</v>
      </c>
      <c r="G359" s="6" t="str">
        <f>"计算机与科学"</f>
        <v>计算机与科学</v>
      </c>
      <c r="H359" s="7" t="s">
        <v>9</v>
      </c>
    </row>
    <row r="360" spans="1:8" ht="15" customHeight="1">
      <c r="A360" s="5">
        <v>358</v>
      </c>
      <c r="B360" s="6" t="str">
        <f>"蔡瑚乙"</f>
        <v>蔡瑚乙</v>
      </c>
      <c r="C360" s="6" t="str">
        <f aca="true" t="shared" si="184" ref="C360:C365">"女"</f>
        <v>女</v>
      </c>
      <c r="D360" s="6" t="str">
        <f>"1991-10-18"</f>
        <v>1991-10-18</v>
      </c>
      <c r="E360" s="6" t="str">
        <f t="shared" si="181"/>
        <v>本科</v>
      </c>
      <c r="F360" s="6" t="str">
        <f>"学士学位"</f>
        <v>学士学位</v>
      </c>
      <c r="G360" s="6" t="str">
        <f>"工程管理"</f>
        <v>工程管理</v>
      </c>
      <c r="H360" s="7" t="s">
        <v>9</v>
      </c>
    </row>
    <row r="361" spans="1:8" ht="15" customHeight="1">
      <c r="A361" s="5">
        <v>359</v>
      </c>
      <c r="B361" s="6" t="str">
        <f>"黎显才"</f>
        <v>黎显才</v>
      </c>
      <c r="C361" s="6" t="str">
        <f t="shared" si="183"/>
        <v>男</v>
      </c>
      <c r="D361" s="6" t="str">
        <f>"1995-11-18"</f>
        <v>1995-11-18</v>
      </c>
      <c r="E361" s="6" t="str">
        <f t="shared" si="181"/>
        <v>本科</v>
      </c>
      <c r="F361" s="6" t="str">
        <f>"管理学士"</f>
        <v>管理学士</v>
      </c>
      <c r="G361" s="6" t="str">
        <f>"工程管理"</f>
        <v>工程管理</v>
      </c>
      <c r="H361" s="7" t="s">
        <v>9</v>
      </c>
    </row>
    <row r="362" spans="1:8" ht="15" customHeight="1">
      <c r="A362" s="5">
        <v>360</v>
      </c>
      <c r="B362" s="6" t="str">
        <f>"邢增策"</f>
        <v>邢增策</v>
      </c>
      <c r="C362" s="6" t="str">
        <f t="shared" si="183"/>
        <v>男</v>
      </c>
      <c r="D362" s="6" t="str">
        <f>"1998-01-08"</f>
        <v>1998-01-08</v>
      </c>
      <c r="E362" s="6" t="str">
        <f t="shared" si="181"/>
        <v>本科</v>
      </c>
      <c r="F362" s="6" t="str">
        <f aca="true" t="shared" si="185" ref="F362:F369">"管理学学士"</f>
        <v>管理学学士</v>
      </c>
      <c r="G362" s="6" t="str">
        <f>"信息管理与信息系统"</f>
        <v>信息管理与信息系统</v>
      </c>
      <c r="H362" s="7" t="s">
        <v>9</v>
      </c>
    </row>
    <row r="363" spans="1:8" ht="15" customHeight="1">
      <c r="A363" s="5">
        <v>361</v>
      </c>
      <c r="B363" s="6" t="str">
        <f>"邹秀珍"</f>
        <v>邹秀珍</v>
      </c>
      <c r="C363" s="6" t="str">
        <f t="shared" si="184"/>
        <v>女</v>
      </c>
      <c r="D363" s="6" t="str">
        <f>"1999-03-18"</f>
        <v>1999-03-18</v>
      </c>
      <c r="E363" s="6" t="str">
        <f t="shared" si="181"/>
        <v>本科</v>
      </c>
      <c r="F363" s="6" t="str">
        <f>"管理学士"</f>
        <v>管理学士</v>
      </c>
      <c r="G363" s="6" t="str">
        <f>"物流管理"</f>
        <v>物流管理</v>
      </c>
      <c r="H363" s="7" t="s">
        <v>9</v>
      </c>
    </row>
    <row r="364" spans="1:8" ht="15" customHeight="1">
      <c r="A364" s="5">
        <v>362</v>
      </c>
      <c r="B364" s="6" t="str">
        <f>"王国智"</f>
        <v>王国智</v>
      </c>
      <c r="C364" s="6" t="str">
        <f aca="true" t="shared" si="186" ref="C364:C369">"男"</f>
        <v>男</v>
      </c>
      <c r="D364" s="6" t="str">
        <f>"1997-05-15"</f>
        <v>1997-05-15</v>
      </c>
      <c r="E364" s="6" t="str">
        <f t="shared" si="181"/>
        <v>本科</v>
      </c>
      <c r="F364" s="6" t="str">
        <f t="shared" si="185"/>
        <v>管理学学士</v>
      </c>
      <c r="G364" s="6" t="str">
        <f>"旅游管理"</f>
        <v>旅游管理</v>
      </c>
      <c r="H364" s="7" t="s">
        <v>9</v>
      </c>
    </row>
    <row r="365" spans="1:8" ht="15" customHeight="1">
      <c r="A365" s="5">
        <v>363</v>
      </c>
      <c r="B365" s="6" t="str">
        <f>"王丹"</f>
        <v>王丹</v>
      </c>
      <c r="C365" s="6" t="str">
        <f t="shared" si="184"/>
        <v>女</v>
      </c>
      <c r="D365" s="6" t="str">
        <f>"1995-03-05"</f>
        <v>1995-03-05</v>
      </c>
      <c r="E365" s="6" t="str">
        <f t="shared" si="181"/>
        <v>本科</v>
      </c>
      <c r="F365" s="6" t="str">
        <f>"文学学士"</f>
        <v>文学学士</v>
      </c>
      <c r="G365" s="6" t="str">
        <f>"汉语言文学"</f>
        <v>汉语言文学</v>
      </c>
      <c r="H365" s="7" t="s">
        <v>9</v>
      </c>
    </row>
    <row r="366" spans="1:8" ht="15" customHeight="1">
      <c r="A366" s="5">
        <v>364</v>
      </c>
      <c r="B366" s="6" t="str">
        <f>"黄斌"</f>
        <v>黄斌</v>
      </c>
      <c r="C366" s="6" t="str">
        <f t="shared" si="186"/>
        <v>男</v>
      </c>
      <c r="D366" s="6" t="str">
        <f>"1990-02-28"</f>
        <v>1990-02-28</v>
      </c>
      <c r="E366" s="6" t="str">
        <f t="shared" si="181"/>
        <v>本科</v>
      </c>
      <c r="F366" s="6" t="str">
        <f>"工学学士"</f>
        <v>工学学士</v>
      </c>
      <c r="G366" s="6" t="str">
        <f>"工业工程"</f>
        <v>工业工程</v>
      </c>
      <c r="H366" s="7" t="s">
        <v>9</v>
      </c>
    </row>
    <row r="367" spans="1:8" ht="15" customHeight="1">
      <c r="A367" s="5">
        <v>365</v>
      </c>
      <c r="B367" s="6" t="str">
        <f>"符说武"</f>
        <v>符说武</v>
      </c>
      <c r="C367" s="6" t="str">
        <f t="shared" si="186"/>
        <v>男</v>
      </c>
      <c r="D367" s="6" t="str">
        <f>"1998-10-23"</f>
        <v>1998-10-23</v>
      </c>
      <c r="E367" s="6" t="str">
        <f t="shared" si="181"/>
        <v>本科</v>
      </c>
      <c r="F367" s="6" t="str">
        <f t="shared" si="185"/>
        <v>管理学学士</v>
      </c>
      <c r="G367" s="6" t="str">
        <f>"信息管理与信息系统"</f>
        <v>信息管理与信息系统</v>
      </c>
      <c r="H367" s="7" t="s">
        <v>9</v>
      </c>
    </row>
    <row r="368" spans="1:8" ht="15" customHeight="1">
      <c r="A368" s="5">
        <v>366</v>
      </c>
      <c r="B368" s="6" t="str">
        <f>"羊积万"</f>
        <v>羊积万</v>
      </c>
      <c r="C368" s="6" t="str">
        <f t="shared" si="186"/>
        <v>男</v>
      </c>
      <c r="D368" s="6" t="str">
        <f>"1994-05-17"</f>
        <v>1994-05-17</v>
      </c>
      <c r="E368" s="6" t="str">
        <f t="shared" si="181"/>
        <v>本科</v>
      </c>
      <c r="F368" s="6" t="str">
        <f t="shared" si="185"/>
        <v>管理学学士</v>
      </c>
      <c r="G368" s="6" t="str">
        <f>"会计学"</f>
        <v>会计学</v>
      </c>
      <c r="H368" s="7" t="s">
        <v>9</v>
      </c>
    </row>
    <row r="369" spans="1:8" ht="15" customHeight="1">
      <c r="A369" s="5">
        <v>367</v>
      </c>
      <c r="B369" s="6" t="str">
        <f>"王青鸿"</f>
        <v>王青鸿</v>
      </c>
      <c r="C369" s="6" t="str">
        <f t="shared" si="186"/>
        <v>男</v>
      </c>
      <c r="D369" s="6" t="str">
        <f>"2000-05-20"</f>
        <v>2000-05-20</v>
      </c>
      <c r="E369" s="6" t="str">
        <f>"大学本科"</f>
        <v>大学本科</v>
      </c>
      <c r="F369" s="6" t="str">
        <f t="shared" si="185"/>
        <v>管理学学士</v>
      </c>
      <c r="G369" s="6" t="str">
        <f>"公共事业管理"</f>
        <v>公共事业管理</v>
      </c>
      <c r="H369" s="7" t="s">
        <v>9</v>
      </c>
    </row>
    <row r="370" spans="1:8" ht="15" customHeight="1">
      <c r="A370" s="5">
        <v>368</v>
      </c>
      <c r="B370" s="6" t="str">
        <f>"陈红妙"</f>
        <v>陈红妙</v>
      </c>
      <c r="C370" s="6" t="str">
        <f>"女"</f>
        <v>女</v>
      </c>
      <c r="D370" s="6" t="str">
        <f>"1997-01-26"</f>
        <v>1997-01-26</v>
      </c>
      <c r="E370" s="6" t="str">
        <f aca="true" t="shared" si="187" ref="E370:E374">"本科"</f>
        <v>本科</v>
      </c>
      <c r="F370" s="6" t="str">
        <f>"管理学学士学位"</f>
        <v>管理学学士学位</v>
      </c>
      <c r="G370" s="6" t="str">
        <f>"人力资源管理"</f>
        <v>人力资源管理</v>
      </c>
      <c r="H370" s="7" t="s">
        <v>9</v>
      </c>
    </row>
    <row r="371" spans="1:8" ht="15" customHeight="1">
      <c r="A371" s="5">
        <v>369</v>
      </c>
      <c r="B371" s="6" t="str">
        <f>"林小橼"</f>
        <v>林小橼</v>
      </c>
      <c r="C371" s="6" t="str">
        <f aca="true" t="shared" si="188" ref="C371:C376">"男"</f>
        <v>男</v>
      </c>
      <c r="D371" s="6" t="str">
        <f>"1994-07-14"</f>
        <v>1994-07-14</v>
      </c>
      <c r="E371" s="6" t="str">
        <f t="shared" si="187"/>
        <v>本科</v>
      </c>
      <c r="F371" s="6" t="str">
        <f>"管理学学士"</f>
        <v>管理学学士</v>
      </c>
      <c r="G371" s="6" t="str">
        <f>"工程管理"</f>
        <v>工程管理</v>
      </c>
      <c r="H371" s="7" t="s">
        <v>9</v>
      </c>
    </row>
    <row r="372" spans="1:8" ht="15" customHeight="1">
      <c r="A372" s="5">
        <v>370</v>
      </c>
      <c r="B372" s="6" t="str">
        <f>"周静怡"</f>
        <v>周静怡</v>
      </c>
      <c r="C372" s="6" t="str">
        <f>"女"</f>
        <v>女</v>
      </c>
      <c r="D372" s="6" t="str">
        <f>"2001-07-10"</f>
        <v>2001-07-10</v>
      </c>
      <c r="E372" s="6" t="str">
        <f t="shared" si="187"/>
        <v>本科</v>
      </c>
      <c r="F372" s="6" t="str">
        <f>"文学学士"</f>
        <v>文学学士</v>
      </c>
      <c r="G372" s="6" t="str">
        <f>"汉语言文学"</f>
        <v>汉语言文学</v>
      </c>
      <c r="H372" s="7" t="s">
        <v>9</v>
      </c>
    </row>
    <row r="373" spans="1:8" ht="15" customHeight="1">
      <c r="A373" s="5">
        <v>371</v>
      </c>
      <c r="B373" s="6" t="str">
        <f>"吴光灵"</f>
        <v>吴光灵</v>
      </c>
      <c r="C373" s="6" t="str">
        <f t="shared" si="188"/>
        <v>男</v>
      </c>
      <c r="D373" s="6" t="str">
        <f>"1994-06-17"</f>
        <v>1994-06-17</v>
      </c>
      <c r="E373" s="6" t="str">
        <f t="shared" si="187"/>
        <v>本科</v>
      </c>
      <c r="F373" s="6" t="str">
        <f>"工学学士"</f>
        <v>工学学士</v>
      </c>
      <c r="G373" s="6" t="str">
        <f>"土木工程"</f>
        <v>土木工程</v>
      </c>
      <c r="H373" s="7" t="s">
        <v>9</v>
      </c>
    </row>
    <row r="374" spans="1:8" ht="15" customHeight="1">
      <c r="A374" s="5">
        <v>372</v>
      </c>
      <c r="B374" s="6" t="str">
        <f>"王传良"</f>
        <v>王传良</v>
      </c>
      <c r="C374" s="6" t="str">
        <f t="shared" si="188"/>
        <v>男</v>
      </c>
      <c r="D374" s="6" t="str">
        <f>"1995-12-31"</f>
        <v>1995-12-31</v>
      </c>
      <c r="E374" s="6" t="str">
        <f t="shared" si="187"/>
        <v>本科</v>
      </c>
      <c r="F374" s="6" t="str">
        <f>"农学学士"</f>
        <v>农学学士</v>
      </c>
      <c r="G374" s="6" t="str">
        <f>"园艺"</f>
        <v>园艺</v>
      </c>
      <c r="H374" s="7" t="s">
        <v>9</v>
      </c>
    </row>
    <row r="375" spans="1:8" ht="15" customHeight="1">
      <c r="A375" s="5">
        <v>373</v>
      </c>
      <c r="B375" s="6" t="str">
        <f>"马广豪"</f>
        <v>马广豪</v>
      </c>
      <c r="C375" s="6" t="str">
        <f t="shared" si="188"/>
        <v>男</v>
      </c>
      <c r="D375" s="6" t="str">
        <f>"1995-06-03"</f>
        <v>1995-06-03</v>
      </c>
      <c r="E375" s="6" t="str">
        <f>"大学本科学历"</f>
        <v>大学本科学历</v>
      </c>
      <c r="F375" s="6" t="str">
        <f>"经济学学士"</f>
        <v>经济学学士</v>
      </c>
      <c r="G375" s="6" t="str">
        <f>"国际经济与贸易"</f>
        <v>国际经济与贸易</v>
      </c>
      <c r="H375" s="7" t="s">
        <v>9</v>
      </c>
    </row>
    <row r="376" spans="1:8" ht="15" customHeight="1">
      <c r="A376" s="5">
        <v>374</v>
      </c>
      <c r="B376" s="6" t="str">
        <f>"邢辉"</f>
        <v>邢辉</v>
      </c>
      <c r="C376" s="6" t="str">
        <f t="shared" si="188"/>
        <v>男</v>
      </c>
      <c r="D376" s="6" t="str">
        <f>"1998-09-03"</f>
        <v>1998-09-03</v>
      </c>
      <c r="E376" s="6" t="str">
        <f aca="true" t="shared" si="189" ref="E376:E379">"本科"</f>
        <v>本科</v>
      </c>
      <c r="F376" s="6" t="str">
        <f>"工学学士"</f>
        <v>工学学士</v>
      </c>
      <c r="G376" s="6" t="str">
        <f>"计算机科学与技术"</f>
        <v>计算机科学与技术</v>
      </c>
      <c r="H376" s="7" t="s">
        <v>9</v>
      </c>
    </row>
    <row r="377" spans="1:8" ht="15" customHeight="1">
      <c r="A377" s="5">
        <v>375</v>
      </c>
      <c r="B377" s="6" t="str">
        <f>"韦吉艳"</f>
        <v>韦吉艳</v>
      </c>
      <c r="C377" s="6" t="str">
        <f aca="true" t="shared" si="190" ref="C377:C380">"女"</f>
        <v>女</v>
      </c>
      <c r="D377" s="6" t="str">
        <f>"1995-10-09"</f>
        <v>1995-10-09</v>
      </c>
      <c r="E377" s="6" t="str">
        <f t="shared" si="189"/>
        <v>本科</v>
      </c>
      <c r="F377" s="6" t="str">
        <f>"文学学士"</f>
        <v>文学学士</v>
      </c>
      <c r="G377" s="6" t="str">
        <f>"新闻学"</f>
        <v>新闻学</v>
      </c>
      <c r="H377" s="7" t="s">
        <v>9</v>
      </c>
    </row>
    <row r="378" spans="1:8" ht="15" customHeight="1">
      <c r="A378" s="5">
        <v>376</v>
      </c>
      <c r="B378" s="6" t="str">
        <f>"吉福桑"</f>
        <v>吉福桑</v>
      </c>
      <c r="C378" s="6" t="str">
        <f t="shared" si="190"/>
        <v>女</v>
      </c>
      <c r="D378" s="6" t="str">
        <f>"1990-10-15"</f>
        <v>1990-10-15</v>
      </c>
      <c r="E378" s="6" t="str">
        <f>"硕士研究生"</f>
        <v>硕士研究生</v>
      </c>
      <c r="F378" s="6" t="str">
        <f>"农学硕士"</f>
        <v>农学硕士</v>
      </c>
      <c r="G378" s="6" t="str">
        <f>"果树学"</f>
        <v>果树学</v>
      </c>
      <c r="H378" s="7" t="s">
        <v>9</v>
      </c>
    </row>
    <row r="379" spans="1:8" ht="15" customHeight="1">
      <c r="A379" s="5">
        <v>377</v>
      </c>
      <c r="B379" s="6" t="str">
        <f>"陈金宁"</f>
        <v>陈金宁</v>
      </c>
      <c r="C379" s="6" t="str">
        <f>"男"</f>
        <v>男</v>
      </c>
      <c r="D379" s="6" t="str">
        <f>"1992-12-09"</f>
        <v>1992-12-09</v>
      </c>
      <c r="E379" s="6" t="str">
        <f t="shared" si="189"/>
        <v>本科</v>
      </c>
      <c r="F379" s="6" t="str">
        <f aca="true" t="shared" si="191" ref="F379:F382">"管理学学士"</f>
        <v>管理学学士</v>
      </c>
      <c r="G379" s="6" t="str">
        <f>"旅游管理"</f>
        <v>旅游管理</v>
      </c>
      <c r="H379" s="7" t="s">
        <v>9</v>
      </c>
    </row>
    <row r="380" spans="1:8" ht="15" customHeight="1">
      <c r="A380" s="5">
        <v>378</v>
      </c>
      <c r="B380" s="6" t="str">
        <f>"李彩娇"</f>
        <v>李彩娇</v>
      </c>
      <c r="C380" s="6" t="str">
        <f t="shared" si="190"/>
        <v>女</v>
      </c>
      <c r="D380" s="6" t="str">
        <f>"1998-09-25"</f>
        <v>1998-09-25</v>
      </c>
      <c r="E380" s="6" t="str">
        <f>"大学本科学历"</f>
        <v>大学本科学历</v>
      </c>
      <c r="F380" s="6" t="str">
        <f t="shared" si="191"/>
        <v>管理学学士</v>
      </c>
      <c r="G380" s="6" t="str">
        <f>"财务管理"</f>
        <v>财务管理</v>
      </c>
      <c r="H380" s="7" t="s">
        <v>9</v>
      </c>
    </row>
    <row r="381" spans="1:8" ht="15" customHeight="1">
      <c r="A381" s="5">
        <v>379</v>
      </c>
      <c r="B381" s="6" t="str">
        <f>"姚传林"</f>
        <v>姚传林</v>
      </c>
      <c r="C381" s="6" t="str">
        <f>"男"</f>
        <v>男</v>
      </c>
      <c r="D381" s="6" t="str">
        <f>"1998-09-10"</f>
        <v>1998-09-10</v>
      </c>
      <c r="E381" s="6" t="str">
        <f>"全日制本科"</f>
        <v>全日制本科</v>
      </c>
      <c r="F381" s="6" t="str">
        <f t="shared" si="191"/>
        <v>管理学学士</v>
      </c>
      <c r="G381" s="6" t="str">
        <f>"市场营销"</f>
        <v>市场营销</v>
      </c>
      <c r="H381" s="7" t="s">
        <v>9</v>
      </c>
    </row>
    <row r="382" spans="1:8" ht="15" customHeight="1">
      <c r="A382" s="5">
        <v>380</v>
      </c>
      <c r="B382" s="6" t="str">
        <f>"苏海苗"</f>
        <v>苏海苗</v>
      </c>
      <c r="C382" s="6" t="str">
        <f aca="true" t="shared" si="192" ref="C382:C384">"女"</f>
        <v>女</v>
      </c>
      <c r="D382" s="6" t="str">
        <f>"1994-04-15"</f>
        <v>1994-04-15</v>
      </c>
      <c r="E382" s="6" t="str">
        <f aca="true" t="shared" si="193" ref="E382:E385">"本科"</f>
        <v>本科</v>
      </c>
      <c r="F382" s="6" t="str">
        <f t="shared" si="191"/>
        <v>管理学学士</v>
      </c>
      <c r="G382" s="6" t="str">
        <f>"公共事务管理"</f>
        <v>公共事务管理</v>
      </c>
      <c r="H382" s="7" t="s">
        <v>9</v>
      </c>
    </row>
    <row r="383" spans="1:8" ht="15" customHeight="1">
      <c r="A383" s="5">
        <v>381</v>
      </c>
      <c r="B383" s="6" t="str">
        <f>"潘云茜"</f>
        <v>潘云茜</v>
      </c>
      <c r="C383" s="6" t="str">
        <f t="shared" si="192"/>
        <v>女</v>
      </c>
      <c r="D383" s="6" t="str">
        <f>"1999-01-20"</f>
        <v>1999-01-20</v>
      </c>
      <c r="E383" s="6" t="str">
        <f>"大学本科学历"</f>
        <v>大学本科学历</v>
      </c>
      <c r="F383" s="6" t="str">
        <f>"管理学士学位"</f>
        <v>管理学士学位</v>
      </c>
      <c r="G383" s="6" t="str">
        <f>"旅游管理"</f>
        <v>旅游管理</v>
      </c>
      <c r="H383" s="7" t="s">
        <v>9</v>
      </c>
    </row>
    <row r="384" spans="1:8" ht="15" customHeight="1">
      <c r="A384" s="5">
        <v>382</v>
      </c>
      <c r="B384" s="6" t="str">
        <f>"王贵贵"</f>
        <v>王贵贵</v>
      </c>
      <c r="C384" s="6" t="str">
        <f t="shared" si="192"/>
        <v>女</v>
      </c>
      <c r="D384" s="6" t="str">
        <f>"1994-06-22"</f>
        <v>1994-06-22</v>
      </c>
      <c r="E384" s="6" t="str">
        <f t="shared" si="193"/>
        <v>本科</v>
      </c>
      <c r="F384" s="6" t="str">
        <f>"农学学士学位"</f>
        <v>农学学士学位</v>
      </c>
      <c r="G384" s="6" t="str">
        <f>"植物保护"</f>
        <v>植物保护</v>
      </c>
      <c r="H384" s="7" t="s">
        <v>9</v>
      </c>
    </row>
    <row r="385" spans="1:8" ht="15" customHeight="1">
      <c r="A385" s="5">
        <v>383</v>
      </c>
      <c r="B385" s="6" t="str">
        <f>"陈亦阳"</f>
        <v>陈亦阳</v>
      </c>
      <c r="C385" s="6" t="str">
        <f aca="true" t="shared" si="194" ref="C385:C388">"男"</f>
        <v>男</v>
      </c>
      <c r="D385" s="6" t="str">
        <f>"1997-10-10"</f>
        <v>1997-10-10</v>
      </c>
      <c r="E385" s="6" t="str">
        <f t="shared" si="193"/>
        <v>本科</v>
      </c>
      <c r="F385" s="6" t="str">
        <f aca="true" t="shared" si="195" ref="F385:F390">"管理学学士"</f>
        <v>管理学学士</v>
      </c>
      <c r="G385" s="6" t="str">
        <f>"国际商务"</f>
        <v>国际商务</v>
      </c>
      <c r="H385" s="7" t="s">
        <v>9</v>
      </c>
    </row>
    <row r="386" spans="1:8" ht="15" customHeight="1">
      <c r="A386" s="5">
        <v>384</v>
      </c>
      <c r="B386" s="6" t="str">
        <f>"吴昕"</f>
        <v>吴昕</v>
      </c>
      <c r="C386" s="6" t="str">
        <f aca="true" t="shared" si="196" ref="C386:C390">"女"</f>
        <v>女</v>
      </c>
      <c r="D386" s="6" t="str">
        <f>"2001-11-25"</f>
        <v>2001-11-25</v>
      </c>
      <c r="E386" s="6" t="str">
        <f>"全日制本科"</f>
        <v>全日制本科</v>
      </c>
      <c r="F386" s="6" t="str">
        <f t="shared" si="195"/>
        <v>管理学学士</v>
      </c>
      <c r="G386" s="6" t="str">
        <f>"物流管理"</f>
        <v>物流管理</v>
      </c>
      <c r="H386" s="7" t="s">
        <v>9</v>
      </c>
    </row>
    <row r="387" spans="1:8" ht="15" customHeight="1">
      <c r="A387" s="5">
        <v>385</v>
      </c>
      <c r="B387" s="6" t="str">
        <f>"李精华"</f>
        <v>李精华</v>
      </c>
      <c r="C387" s="6" t="str">
        <f t="shared" si="194"/>
        <v>男</v>
      </c>
      <c r="D387" s="6" t="str">
        <f>"1995-07-05"</f>
        <v>1995-07-05</v>
      </c>
      <c r="E387" s="6" t="str">
        <f>"硕士研究生"</f>
        <v>硕士研究生</v>
      </c>
      <c r="F387" s="6" t="str">
        <f>"农学硕士"</f>
        <v>农学硕士</v>
      </c>
      <c r="G387" s="6" t="str">
        <f>"资源利用与植物保护"</f>
        <v>资源利用与植物保护</v>
      </c>
      <c r="H387" s="7" t="s">
        <v>9</v>
      </c>
    </row>
    <row r="388" spans="1:8" ht="15" customHeight="1">
      <c r="A388" s="5">
        <v>386</v>
      </c>
      <c r="B388" s="6" t="str">
        <f>"曾德阳"</f>
        <v>曾德阳</v>
      </c>
      <c r="C388" s="6" t="str">
        <f t="shared" si="194"/>
        <v>男</v>
      </c>
      <c r="D388" s="6" t="str">
        <f>"1999-11-25"</f>
        <v>1999-11-25</v>
      </c>
      <c r="E388" s="6" t="str">
        <f>"大学本科"</f>
        <v>大学本科</v>
      </c>
      <c r="F388" s="6" t="str">
        <f>"文学学士"</f>
        <v>文学学士</v>
      </c>
      <c r="G388" s="6" t="str">
        <f>"汉语言文学"</f>
        <v>汉语言文学</v>
      </c>
      <c r="H388" s="7" t="s">
        <v>9</v>
      </c>
    </row>
    <row r="389" spans="1:8" ht="15" customHeight="1">
      <c r="A389" s="5">
        <v>387</v>
      </c>
      <c r="B389" s="6" t="str">
        <f>"周桐宇"</f>
        <v>周桐宇</v>
      </c>
      <c r="C389" s="6" t="str">
        <f t="shared" si="196"/>
        <v>女</v>
      </c>
      <c r="D389" s="6" t="str">
        <f>"1996-11-26"</f>
        <v>1996-11-26</v>
      </c>
      <c r="E389" s="6" t="str">
        <f>"全日制大学本科"</f>
        <v>全日制大学本科</v>
      </c>
      <c r="F389" s="6" t="str">
        <f t="shared" si="195"/>
        <v>管理学学士</v>
      </c>
      <c r="G389" s="6" t="str">
        <f>"人力资源管理"</f>
        <v>人力资源管理</v>
      </c>
      <c r="H389" s="7" t="s">
        <v>9</v>
      </c>
    </row>
    <row r="390" spans="1:8" ht="15" customHeight="1">
      <c r="A390" s="5">
        <v>388</v>
      </c>
      <c r="B390" s="6" t="str">
        <f>"黄艳"</f>
        <v>黄艳</v>
      </c>
      <c r="C390" s="6" t="str">
        <f t="shared" si="196"/>
        <v>女</v>
      </c>
      <c r="D390" s="6" t="str">
        <f>"1998-06-21"</f>
        <v>1998-06-21</v>
      </c>
      <c r="E390" s="6" t="str">
        <f>"大学本科学历"</f>
        <v>大学本科学历</v>
      </c>
      <c r="F390" s="6" t="str">
        <f t="shared" si="195"/>
        <v>管理学学士</v>
      </c>
      <c r="G390" s="6" t="str">
        <f>"市场营销"</f>
        <v>市场营销</v>
      </c>
      <c r="H390" s="7" t="s">
        <v>9</v>
      </c>
    </row>
    <row r="391" spans="1:8" ht="15" customHeight="1">
      <c r="A391" s="5">
        <v>389</v>
      </c>
      <c r="B391" s="6" t="str">
        <f>"冯平"</f>
        <v>冯平</v>
      </c>
      <c r="C391" s="6" t="str">
        <f aca="true" t="shared" si="197" ref="C391:C394">"男"</f>
        <v>男</v>
      </c>
      <c r="D391" s="6" t="str">
        <f>"1998-07-01"</f>
        <v>1998-07-01</v>
      </c>
      <c r="E391" s="6" t="str">
        <f aca="true" t="shared" si="198" ref="E391:E393">"本科"</f>
        <v>本科</v>
      </c>
      <c r="F391" s="6" t="str">
        <f aca="true" t="shared" si="199" ref="F391:F394">"工学学士"</f>
        <v>工学学士</v>
      </c>
      <c r="G391" s="6" t="str">
        <f>"计算机科学与技术"</f>
        <v>计算机科学与技术</v>
      </c>
      <c r="H391" s="7" t="s">
        <v>9</v>
      </c>
    </row>
    <row r="392" spans="1:8" ht="15" customHeight="1">
      <c r="A392" s="5">
        <v>390</v>
      </c>
      <c r="B392" s="6" t="str">
        <f>"文奇童"</f>
        <v>文奇童</v>
      </c>
      <c r="C392" s="6" t="str">
        <f t="shared" si="197"/>
        <v>男</v>
      </c>
      <c r="D392" s="6" t="str">
        <f>"2000-04-20"</f>
        <v>2000-04-20</v>
      </c>
      <c r="E392" s="6" t="str">
        <f t="shared" si="198"/>
        <v>本科</v>
      </c>
      <c r="F392" s="6" t="str">
        <f t="shared" si="199"/>
        <v>工学学士</v>
      </c>
      <c r="G392" s="6" t="str">
        <f aca="true" t="shared" si="200" ref="G392:G394">"土木工程"</f>
        <v>土木工程</v>
      </c>
      <c r="H392" s="7" t="s">
        <v>9</v>
      </c>
    </row>
    <row r="393" spans="1:8" ht="15" customHeight="1">
      <c r="A393" s="5">
        <v>391</v>
      </c>
      <c r="B393" s="6" t="str">
        <f>"陈日桂"</f>
        <v>陈日桂</v>
      </c>
      <c r="C393" s="6" t="str">
        <f t="shared" si="197"/>
        <v>男</v>
      </c>
      <c r="D393" s="6" t="str">
        <f>"1997-01-28"</f>
        <v>1997-01-28</v>
      </c>
      <c r="E393" s="6" t="str">
        <f t="shared" si="198"/>
        <v>本科</v>
      </c>
      <c r="F393" s="6" t="str">
        <f>"工学学位"</f>
        <v>工学学位</v>
      </c>
      <c r="G393" s="6" t="str">
        <f t="shared" si="200"/>
        <v>土木工程</v>
      </c>
      <c r="H393" s="7" t="s">
        <v>9</v>
      </c>
    </row>
    <row r="394" spans="1:8" ht="15" customHeight="1">
      <c r="A394" s="5">
        <v>392</v>
      </c>
      <c r="B394" s="6" t="str">
        <f>"王溱"</f>
        <v>王溱</v>
      </c>
      <c r="C394" s="6" t="str">
        <f t="shared" si="197"/>
        <v>男</v>
      </c>
      <c r="D394" s="6" t="str">
        <f>"1999-09-23"</f>
        <v>1999-09-23</v>
      </c>
      <c r="E394" s="6" t="str">
        <f>"大学本科"</f>
        <v>大学本科</v>
      </c>
      <c r="F394" s="6" t="str">
        <f t="shared" si="199"/>
        <v>工学学士</v>
      </c>
      <c r="G394" s="6" t="str">
        <f t="shared" si="200"/>
        <v>土木工程</v>
      </c>
      <c r="H394" s="7" t="s">
        <v>9</v>
      </c>
    </row>
    <row r="395" spans="1:8" ht="15" customHeight="1">
      <c r="A395" s="5">
        <v>393</v>
      </c>
      <c r="B395" s="6" t="str">
        <f>"谢杏楼"</f>
        <v>谢杏楼</v>
      </c>
      <c r="C395" s="6" t="str">
        <f aca="true" t="shared" si="201" ref="C395:C400">"女"</f>
        <v>女</v>
      </c>
      <c r="D395" s="6" t="str">
        <f>"1996-10-13"</f>
        <v>1996-10-13</v>
      </c>
      <c r="E395" s="6" t="str">
        <f>"大学本科学历"</f>
        <v>大学本科学历</v>
      </c>
      <c r="F395" s="6" t="str">
        <f>"文学学士"</f>
        <v>文学学士</v>
      </c>
      <c r="G395" s="6" t="str">
        <f>"汉语言文学"</f>
        <v>汉语言文学</v>
      </c>
      <c r="H395" s="7" t="s">
        <v>9</v>
      </c>
    </row>
    <row r="396" spans="1:8" ht="15" customHeight="1">
      <c r="A396" s="5">
        <v>394</v>
      </c>
      <c r="B396" s="6" t="str">
        <f>"周谦红"</f>
        <v>周谦红</v>
      </c>
      <c r="C396" s="6" t="str">
        <f>"男"</f>
        <v>男</v>
      </c>
      <c r="D396" s="6" t="str">
        <f>"1998-10-20"</f>
        <v>1998-10-20</v>
      </c>
      <c r="E396" s="6" t="str">
        <f aca="true" t="shared" si="202" ref="E396:E400">"本科"</f>
        <v>本科</v>
      </c>
      <c r="F396" s="6" t="str">
        <f aca="true" t="shared" si="203" ref="F396:F398">"管理学学士"</f>
        <v>管理学学士</v>
      </c>
      <c r="G396" s="6" t="str">
        <f>"会计学"</f>
        <v>会计学</v>
      </c>
      <c r="H396" s="7" t="s">
        <v>9</v>
      </c>
    </row>
    <row r="397" spans="1:8" ht="15" customHeight="1">
      <c r="A397" s="5">
        <v>395</v>
      </c>
      <c r="B397" s="6" t="str">
        <f>"张悦琦"</f>
        <v>张悦琦</v>
      </c>
      <c r="C397" s="6" t="str">
        <f t="shared" si="201"/>
        <v>女</v>
      </c>
      <c r="D397" s="6" t="str">
        <f>"1993-10-06"</f>
        <v>1993-10-06</v>
      </c>
      <c r="E397" s="6" t="str">
        <f t="shared" si="202"/>
        <v>本科</v>
      </c>
      <c r="F397" s="6" t="str">
        <f t="shared" si="203"/>
        <v>管理学学士</v>
      </c>
      <c r="G397" s="6" t="str">
        <f>"工商管理"</f>
        <v>工商管理</v>
      </c>
      <c r="H397" s="7" t="s">
        <v>9</v>
      </c>
    </row>
    <row r="398" spans="1:8" ht="15" customHeight="1">
      <c r="A398" s="5">
        <v>396</v>
      </c>
      <c r="B398" s="6" t="str">
        <f>"吴霜霜"</f>
        <v>吴霜霜</v>
      </c>
      <c r="C398" s="6" t="str">
        <f t="shared" si="201"/>
        <v>女</v>
      </c>
      <c r="D398" s="6" t="str">
        <f>"2001-09-03"</f>
        <v>2001-09-03</v>
      </c>
      <c r="E398" s="6" t="str">
        <f>"大学本科学历"</f>
        <v>大学本科学历</v>
      </c>
      <c r="F398" s="6" t="str">
        <f t="shared" si="203"/>
        <v>管理学学士</v>
      </c>
      <c r="G398" s="6" t="str">
        <f>"酒店管理"</f>
        <v>酒店管理</v>
      </c>
      <c r="H398" s="7" t="s">
        <v>9</v>
      </c>
    </row>
    <row r="399" spans="1:8" ht="15" customHeight="1">
      <c r="A399" s="5">
        <v>397</v>
      </c>
      <c r="B399" s="6" t="str">
        <f>"邱慧妙"</f>
        <v>邱慧妙</v>
      </c>
      <c r="C399" s="6" t="str">
        <f t="shared" si="201"/>
        <v>女</v>
      </c>
      <c r="D399" s="6" t="str">
        <f>"1992-05-26"</f>
        <v>1992-05-26</v>
      </c>
      <c r="E399" s="6" t="str">
        <f t="shared" si="202"/>
        <v>本科</v>
      </c>
      <c r="F399" s="6" t="str">
        <f>"学士"</f>
        <v>学士</v>
      </c>
      <c r="G399" s="6" t="str">
        <f>"市场营销"</f>
        <v>市场营销</v>
      </c>
      <c r="H399" s="7" t="s">
        <v>9</v>
      </c>
    </row>
    <row r="400" spans="1:8" ht="15" customHeight="1">
      <c r="A400" s="5">
        <v>398</v>
      </c>
      <c r="B400" s="6" t="str">
        <f>"彭秀文"</f>
        <v>彭秀文</v>
      </c>
      <c r="C400" s="6" t="str">
        <f t="shared" si="201"/>
        <v>女</v>
      </c>
      <c r="D400" s="6" t="str">
        <f>"1995-01-02"</f>
        <v>1995-01-02</v>
      </c>
      <c r="E400" s="6" t="str">
        <f t="shared" si="202"/>
        <v>本科</v>
      </c>
      <c r="F400" s="6" t="str">
        <f aca="true" t="shared" si="204" ref="F400:F402">"管理学学士"</f>
        <v>管理学学士</v>
      </c>
      <c r="G400" s="6" t="str">
        <f>"会计学"</f>
        <v>会计学</v>
      </c>
      <c r="H400" s="7" t="s">
        <v>9</v>
      </c>
    </row>
    <row r="401" spans="1:8" ht="15" customHeight="1">
      <c r="A401" s="5">
        <v>399</v>
      </c>
      <c r="B401" s="6" t="str">
        <f>"洪盛辉"</f>
        <v>洪盛辉</v>
      </c>
      <c r="C401" s="6" t="str">
        <f aca="true" t="shared" si="205" ref="C401:C403">"男"</f>
        <v>男</v>
      </c>
      <c r="D401" s="6" t="str">
        <f>"1997-11-11"</f>
        <v>1997-11-11</v>
      </c>
      <c r="E401" s="6" t="str">
        <f>"全日制本科"</f>
        <v>全日制本科</v>
      </c>
      <c r="F401" s="6" t="str">
        <f t="shared" si="204"/>
        <v>管理学学士</v>
      </c>
      <c r="G401" s="6" t="str">
        <f>"物流管理专业"</f>
        <v>物流管理专业</v>
      </c>
      <c r="H401" s="7" t="s">
        <v>9</v>
      </c>
    </row>
    <row r="402" spans="1:8" ht="15" customHeight="1">
      <c r="A402" s="5">
        <v>400</v>
      </c>
      <c r="B402" s="6" t="str">
        <f>"史才通"</f>
        <v>史才通</v>
      </c>
      <c r="C402" s="6" t="str">
        <f t="shared" si="205"/>
        <v>男</v>
      </c>
      <c r="D402" s="6" t="str">
        <f>"1998-07-07"</f>
        <v>1998-07-07</v>
      </c>
      <c r="E402" s="6" t="str">
        <f>"大学本科"</f>
        <v>大学本科</v>
      </c>
      <c r="F402" s="6" t="str">
        <f t="shared" si="204"/>
        <v>管理学学士</v>
      </c>
      <c r="G402" s="6" t="str">
        <f>"旅游管理"</f>
        <v>旅游管理</v>
      </c>
      <c r="H402" s="7" t="s">
        <v>9</v>
      </c>
    </row>
    <row r="403" spans="1:8" ht="15" customHeight="1">
      <c r="A403" s="5">
        <v>401</v>
      </c>
      <c r="B403" s="6" t="str">
        <f>"陈泽鸿"</f>
        <v>陈泽鸿</v>
      </c>
      <c r="C403" s="6" t="str">
        <f t="shared" si="205"/>
        <v>男</v>
      </c>
      <c r="D403" s="6" t="str">
        <f>"1999-05-07"</f>
        <v>1999-05-07</v>
      </c>
      <c r="E403" s="6" t="str">
        <f aca="true" t="shared" si="206" ref="E403:E405">"本科"</f>
        <v>本科</v>
      </c>
      <c r="F403" s="6" t="str">
        <f>"经济学学士"</f>
        <v>经济学学士</v>
      </c>
      <c r="G403" s="6" t="str">
        <f>"经济与金融"</f>
        <v>经济与金融</v>
      </c>
      <c r="H403" s="7" t="s">
        <v>9</v>
      </c>
    </row>
    <row r="404" spans="1:8" ht="15" customHeight="1">
      <c r="A404" s="5">
        <v>402</v>
      </c>
      <c r="B404" s="6" t="str">
        <f>"吴祥燕"</f>
        <v>吴祥燕</v>
      </c>
      <c r="C404" s="6" t="str">
        <f>"女"</f>
        <v>女</v>
      </c>
      <c r="D404" s="6" t="str">
        <f>"1996-03-13"</f>
        <v>1996-03-13</v>
      </c>
      <c r="E404" s="6" t="str">
        <f t="shared" si="206"/>
        <v>本科</v>
      </c>
      <c r="F404" s="6" t="str">
        <f>"文学学士"</f>
        <v>文学学士</v>
      </c>
      <c r="G404" s="6" t="str">
        <f>"汉语言文学"</f>
        <v>汉语言文学</v>
      </c>
      <c r="H404" s="7" t="s">
        <v>9</v>
      </c>
    </row>
    <row r="405" spans="1:8" ht="15" customHeight="1">
      <c r="A405" s="5">
        <v>403</v>
      </c>
      <c r="B405" s="6" t="str">
        <f>"詹美珊"</f>
        <v>詹美珊</v>
      </c>
      <c r="C405" s="6" t="str">
        <f>"女"</f>
        <v>女</v>
      </c>
      <c r="D405" s="6" t="str">
        <f>"1995-05-25"</f>
        <v>1995-05-25</v>
      </c>
      <c r="E405" s="6" t="str">
        <f t="shared" si="206"/>
        <v>本科</v>
      </c>
      <c r="F405" s="6" t="str">
        <f aca="true" t="shared" si="207" ref="F405:F408">"工学学士"</f>
        <v>工学学士</v>
      </c>
      <c r="G405" s="6" t="str">
        <f>"网络工程"</f>
        <v>网络工程</v>
      </c>
      <c r="H405" s="7" t="s">
        <v>9</v>
      </c>
    </row>
    <row r="406" spans="1:8" ht="15" customHeight="1">
      <c r="A406" s="5">
        <v>404</v>
      </c>
      <c r="B406" s="6" t="str">
        <f>"李宗豪"</f>
        <v>李宗豪</v>
      </c>
      <c r="C406" s="6" t="str">
        <f aca="true" t="shared" si="208" ref="C406:C409">"男"</f>
        <v>男</v>
      </c>
      <c r="D406" s="6" t="str">
        <f>"1999-01-15"</f>
        <v>1999-01-15</v>
      </c>
      <c r="E406" s="6" t="str">
        <f>"全日制本科"</f>
        <v>全日制本科</v>
      </c>
      <c r="F406" s="6" t="str">
        <f t="shared" si="207"/>
        <v>工学学士</v>
      </c>
      <c r="G406" s="6" t="str">
        <f>"土木工程"</f>
        <v>土木工程</v>
      </c>
      <c r="H406" s="7" t="s">
        <v>9</v>
      </c>
    </row>
    <row r="407" spans="1:8" ht="15" customHeight="1">
      <c r="A407" s="5">
        <v>405</v>
      </c>
      <c r="B407" s="6" t="str">
        <f>"陈公满"</f>
        <v>陈公满</v>
      </c>
      <c r="C407" s="6" t="str">
        <f t="shared" si="208"/>
        <v>男</v>
      </c>
      <c r="D407" s="6" t="str">
        <f>"1997-10-05"</f>
        <v>1997-10-05</v>
      </c>
      <c r="E407" s="6" t="str">
        <f aca="true" t="shared" si="209" ref="E407:E410">"本科"</f>
        <v>本科</v>
      </c>
      <c r="F407" s="6" t="str">
        <f aca="true" t="shared" si="210" ref="F407:F411">"管理学学士"</f>
        <v>管理学学士</v>
      </c>
      <c r="G407" s="6" t="str">
        <f>"旅游管理"</f>
        <v>旅游管理</v>
      </c>
      <c r="H407" s="7" t="s">
        <v>9</v>
      </c>
    </row>
    <row r="408" spans="1:8" ht="15" customHeight="1">
      <c r="A408" s="5">
        <v>406</v>
      </c>
      <c r="B408" s="6" t="str">
        <f>"翁天利"</f>
        <v>翁天利</v>
      </c>
      <c r="C408" s="6" t="str">
        <f t="shared" si="208"/>
        <v>男</v>
      </c>
      <c r="D408" s="6" t="str">
        <f>"1996-03-18"</f>
        <v>1996-03-18</v>
      </c>
      <c r="E408" s="6" t="str">
        <f t="shared" si="209"/>
        <v>本科</v>
      </c>
      <c r="F408" s="6" t="str">
        <f t="shared" si="207"/>
        <v>工学学士</v>
      </c>
      <c r="G408" s="6" t="str">
        <f>"物联网工程"</f>
        <v>物联网工程</v>
      </c>
      <c r="H408" s="7" t="s">
        <v>9</v>
      </c>
    </row>
    <row r="409" spans="1:8" ht="15" customHeight="1">
      <c r="A409" s="5">
        <v>407</v>
      </c>
      <c r="B409" s="6" t="str">
        <f>"黄宗仙"</f>
        <v>黄宗仙</v>
      </c>
      <c r="C409" s="6" t="str">
        <f t="shared" si="208"/>
        <v>男</v>
      </c>
      <c r="D409" s="6" t="str">
        <f>"1993-11-02"</f>
        <v>1993-11-02</v>
      </c>
      <c r="E409" s="6" t="str">
        <f t="shared" si="209"/>
        <v>本科</v>
      </c>
      <c r="F409" s="6" t="str">
        <f t="shared" si="210"/>
        <v>管理学学士</v>
      </c>
      <c r="G409" s="6" t="str">
        <f>"电子商务"</f>
        <v>电子商务</v>
      </c>
      <c r="H409" s="7" t="s">
        <v>9</v>
      </c>
    </row>
    <row r="410" spans="1:8" ht="15" customHeight="1">
      <c r="A410" s="5">
        <v>408</v>
      </c>
      <c r="B410" s="6" t="str">
        <f>"林小莉"</f>
        <v>林小莉</v>
      </c>
      <c r="C410" s="6" t="str">
        <f aca="true" t="shared" si="211" ref="C410:C412">"女"</f>
        <v>女</v>
      </c>
      <c r="D410" s="6" t="str">
        <f>"1999-11-19"</f>
        <v>1999-11-19</v>
      </c>
      <c r="E410" s="6" t="str">
        <f t="shared" si="209"/>
        <v>本科</v>
      </c>
      <c r="F410" s="6" t="str">
        <f t="shared" si="210"/>
        <v>管理学学士</v>
      </c>
      <c r="G410" s="6" t="str">
        <f>"电子商务"</f>
        <v>电子商务</v>
      </c>
      <c r="H410" s="7" t="s">
        <v>9</v>
      </c>
    </row>
    <row r="411" spans="1:8" ht="15" customHeight="1">
      <c r="A411" s="5">
        <v>409</v>
      </c>
      <c r="B411" s="6" t="str">
        <f>"林泽玲"</f>
        <v>林泽玲</v>
      </c>
      <c r="C411" s="6" t="str">
        <f t="shared" si="211"/>
        <v>女</v>
      </c>
      <c r="D411" s="6" t="str">
        <f>"1997-06-03"</f>
        <v>1997-06-03</v>
      </c>
      <c r="E411" s="6" t="str">
        <f>"大学本科学历"</f>
        <v>大学本科学历</v>
      </c>
      <c r="F411" s="6" t="str">
        <f t="shared" si="210"/>
        <v>管理学学士</v>
      </c>
      <c r="G411" s="6" t="str">
        <f>"旅游管理"</f>
        <v>旅游管理</v>
      </c>
      <c r="H411" s="7" t="s">
        <v>9</v>
      </c>
    </row>
    <row r="412" spans="1:8" ht="15" customHeight="1">
      <c r="A412" s="5">
        <v>410</v>
      </c>
      <c r="B412" s="6" t="str">
        <f>"卓书鸿"</f>
        <v>卓书鸿</v>
      </c>
      <c r="C412" s="6" t="str">
        <f t="shared" si="211"/>
        <v>女</v>
      </c>
      <c r="D412" s="6" t="str">
        <f>"1996-08-24"</f>
        <v>1996-08-24</v>
      </c>
      <c r="E412" s="6" t="str">
        <f>"本科"</f>
        <v>本科</v>
      </c>
      <c r="F412" s="6" t="str">
        <f>"工学学士"</f>
        <v>工学学士</v>
      </c>
      <c r="G412" s="6" t="str">
        <f>"风景园林（园林工程技术方向）"</f>
        <v>风景园林（园林工程技术方向）</v>
      </c>
      <c r="H412" s="7" t="s">
        <v>9</v>
      </c>
    </row>
    <row r="413" spans="1:8" ht="15" customHeight="1">
      <c r="A413" s="5">
        <v>411</v>
      </c>
      <c r="B413" s="6" t="str">
        <f>"胡耀"</f>
        <v>胡耀</v>
      </c>
      <c r="C413" s="6" t="str">
        <f aca="true" t="shared" si="212" ref="C413:C415">"男"</f>
        <v>男</v>
      </c>
      <c r="D413" s="6" t="str">
        <f>"1993-08-20"</f>
        <v>1993-08-20</v>
      </c>
      <c r="E413" s="6" t="str">
        <f aca="true" t="shared" si="213" ref="E413:E416">"大学本科"</f>
        <v>大学本科</v>
      </c>
      <c r="F413" s="6" t="str">
        <f>"管理学学士"</f>
        <v>管理学学士</v>
      </c>
      <c r="G413" s="6" t="str">
        <f>"物流管理"</f>
        <v>物流管理</v>
      </c>
      <c r="H413" s="7" t="s">
        <v>9</v>
      </c>
    </row>
    <row r="414" spans="1:8" ht="15" customHeight="1">
      <c r="A414" s="5">
        <v>412</v>
      </c>
      <c r="B414" s="6" t="str">
        <f>"陈柏延"</f>
        <v>陈柏延</v>
      </c>
      <c r="C414" s="6" t="str">
        <f t="shared" si="212"/>
        <v>男</v>
      </c>
      <c r="D414" s="6" t="str">
        <f>"1996-04-18"</f>
        <v>1996-04-18</v>
      </c>
      <c r="E414" s="6" t="str">
        <f t="shared" si="213"/>
        <v>大学本科</v>
      </c>
      <c r="F414" s="6" t="str">
        <f>"管理式学位"</f>
        <v>管理式学位</v>
      </c>
      <c r="G414" s="6" t="str">
        <f>"会计学（工程预算方向）"</f>
        <v>会计学（工程预算方向）</v>
      </c>
      <c r="H414" s="7" t="s">
        <v>9</v>
      </c>
    </row>
    <row r="415" spans="1:8" ht="15" customHeight="1">
      <c r="A415" s="5">
        <v>413</v>
      </c>
      <c r="B415" s="6" t="str">
        <f>"李永标"</f>
        <v>李永标</v>
      </c>
      <c r="C415" s="6" t="str">
        <f t="shared" si="212"/>
        <v>男</v>
      </c>
      <c r="D415" s="6" t="str">
        <f>"1991-10-21"</f>
        <v>1991-10-21</v>
      </c>
      <c r="E415" s="6" t="str">
        <f>"大学本科学历"</f>
        <v>大学本科学历</v>
      </c>
      <c r="F415" s="6" t="str">
        <f>"管理学学士"</f>
        <v>管理学学士</v>
      </c>
      <c r="G415" s="6" t="str">
        <f>"旅游管理(文科实验班)"</f>
        <v>旅游管理(文科实验班)</v>
      </c>
      <c r="H415" s="7" t="s">
        <v>9</v>
      </c>
    </row>
    <row r="416" spans="1:8" ht="15" customHeight="1">
      <c r="A416" s="5">
        <v>414</v>
      </c>
      <c r="B416" s="6" t="str">
        <f>"吴燕阳"</f>
        <v>吴燕阳</v>
      </c>
      <c r="C416" s="6" t="str">
        <f aca="true" t="shared" si="214" ref="C416:C421">"女"</f>
        <v>女</v>
      </c>
      <c r="D416" s="6" t="str">
        <f>"1996-03-13"</f>
        <v>1996-03-13</v>
      </c>
      <c r="E416" s="6" t="str">
        <f t="shared" si="213"/>
        <v>大学本科</v>
      </c>
      <c r="F416" s="6" t="str">
        <f>"学士学位"</f>
        <v>学士学位</v>
      </c>
      <c r="G416" s="6" t="str">
        <f>"财务管理"</f>
        <v>财务管理</v>
      </c>
      <c r="H416" s="7" t="s">
        <v>9</v>
      </c>
    </row>
    <row r="417" spans="1:8" ht="15" customHeight="1">
      <c r="A417" s="5">
        <v>415</v>
      </c>
      <c r="B417" s="6" t="str">
        <f>"陈奕梧"</f>
        <v>陈奕梧</v>
      </c>
      <c r="C417" s="6" t="str">
        <f aca="true" t="shared" si="215" ref="C417:C420">"男"</f>
        <v>男</v>
      </c>
      <c r="D417" s="6" t="str">
        <f>"1998-07-31"</f>
        <v>1998-07-31</v>
      </c>
      <c r="E417" s="6" t="str">
        <f aca="true" t="shared" si="216" ref="E417:E420">"本科"</f>
        <v>本科</v>
      </c>
      <c r="F417" s="6" t="str">
        <f>"文学学士"</f>
        <v>文学学士</v>
      </c>
      <c r="G417" s="6" t="str">
        <f>"汉语言文学"</f>
        <v>汉语言文学</v>
      </c>
      <c r="H417" s="7" t="s">
        <v>9</v>
      </c>
    </row>
    <row r="418" spans="1:8" ht="15" customHeight="1">
      <c r="A418" s="5">
        <v>416</v>
      </c>
      <c r="B418" s="6" t="str">
        <f>"卓丽娟"</f>
        <v>卓丽娟</v>
      </c>
      <c r="C418" s="6" t="str">
        <f t="shared" si="214"/>
        <v>女</v>
      </c>
      <c r="D418" s="6" t="str">
        <f>"1989-06-09"</f>
        <v>1989-06-09</v>
      </c>
      <c r="E418" s="6" t="str">
        <f t="shared" si="216"/>
        <v>本科</v>
      </c>
      <c r="F418" s="6" t="str">
        <f>"文学学士"</f>
        <v>文学学士</v>
      </c>
      <c r="G418" s="6" t="str">
        <f>"汉语言文学（公关与文秘）"</f>
        <v>汉语言文学（公关与文秘）</v>
      </c>
      <c r="H418" s="7" t="s">
        <v>9</v>
      </c>
    </row>
    <row r="419" spans="1:8" ht="15" customHeight="1">
      <c r="A419" s="5">
        <v>417</v>
      </c>
      <c r="B419" s="6" t="str">
        <f>"苏安果"</f>
        <v>苏安果</v>
      </c>
      <c r="C419" s="6" t="str">
        <f t="shared" si="215"/>
        <v>男</v>
      </c>
      <c r="D419" s="6" t="str">
        <f>"1997-05-09"</f>
        <v>1997-05-09</v>
      </c>
      <c r="E419" s="6" t="str">
        <f t="shared" si="216"/>
        <v>本科</v>
      </c>
      <c r="F419" s="6" t="str">
        <f>"农学学士"</f>
        <v>农学学士</v>
      </c>
      <c r="G419" s="6" t="str">
        <f>"园艺（草坪科学与工程方向）"</f>
        <v>园艺（草坪科学与工程方向）</v>
      </c>
      <c r="H419" s="7" t="s">
        <v>9</v>
      </c>
    </row>
    <row r="420" spans="1:8" ht="15" customHeight="1">
      <c r="A420" s="5">
        <v>418</v>
      </c>
      <c r="B420" s="6" t="str">
        <f>"温屹杰"</f>
        <v>温屹杰</v>
      </c>
      <c r="C420" s="6" t="str">
        <f t="shared" si="215"/>
        <v>男</v>
      </c>
      <c r="D420" s="6" t="str">
        <f>"1997-12-13"</f>
        <v>1997-12-13</v>
      </c>
      <c r="E420" s="6" t="str">
        <f t="shared" si="216"/>
        <v>本科</v>
      </c>
      <c r="F420" s="6" t="str">
        <f>"工学学士"</f>
        <v>工学学士</v>
      </c>
      <c r="G420" s="6" t="str">
        <f>"建筑学"</f>
        <v>建筑学</v>
      </c>
      <c r="H420" s="7" t="s">
        <v>9</v>
      </c>
    </row>
    <row r="421" spans="1:8" ht="15" customHeight="1">
      <c r="A421" s="5">
        <v>419</v>
      </c>
      <c r="B421" s="6" t="str">
        <f>"陈媛媛"</f>
        <v>陈媛媛</v>
      </c>
      <c r="C421" s="6" t="str">
        <f t="shared" si="214"/>
        <v>女</v>
      </c>
      <c r="D421" s="6" t="str">
        <f>"1994-06-08"</f>
        <v>1994-06-08</v>
      </c>
      <c r="E421" s="6" t="str">
        <f>"研究生"</f>
        <v>研究生</v>
      </c>
      <c r="F421" s="6" t="str">
        <f>"硕士"</f>
        <v>硕士</v>
      </c>
      <c r="G421" s="6" t="str">
        <f>"农业管理"</f>
        <v>农业管理</v>
      </c>
      <c r="H421" s="7" t="s">
        <v>9</v>
      </c>
    </row>
    <row r="422" spans="1:8" ht="15" customHeight="1">
      <c r="A422" s="5">
        <v>420</v>
      </c>
      <c r="B422" s="6" t="str">
        <f>"薛海浪"</f>
        <v>薛海浪</v>
      </c>
      <c r="C422" s="6" t="str">
        <f aca="true" t="shared" si="217" ref="C422:C425">"男"</f>
        <v>男</v>
      </c>
      <c r="D422" s="6" t="str">
        <f>"2001-03-16"</f>
        <v>2001-03-16</v>
      </c>
      <c r="E422" s="6" t="str">
        <f aca="true" t="shared" si="218" ref="E422:E427">"大学本科学历"</f>
        <v>大学本科学历</v>
      </c>
      <c r="F422" s="6" t="str">
        <f aca="true" t="shared" si="219" ref="F422:F424">"管理学学士"</f>
        <v>管理学学士</v>
      </c>
      <c r="G422" s="6" t="str">
        <f>"会展经济与管理"</f>
        <v>会展经济与管理</v>
      </c>
      <c r="H422" s="7" t="s">
        <v>9</v>
      </c>
    </row>
    <row r="423" spans="1:8" ht="15" customHeight="1">
      <c r="A423" s="5">
        <v>421</v>
      </c>
      <c r="B423" s="6" t="str">
        <f>"钟春华"</f>
        <v>钟春华</v>
      </c>
      <c r="C423" s="6" t="str">
        <f aca="true" t="shared" si="220" ref="C423:C427">"女"</f>
        <v>女</v>
      </c>
      <c r="D423" s="6" t="str">
        <f>"1990-12-06"</f>
        <v>1990-12-06</v>
      </c>
      <c r="E423" s="6" t="str">
        <f aca="true" t="shared" si="221" ref="E423:E426">"本科"</f>
        <v>本科</v>
      </c>
      <c r="F423" s="6" t="str">
        <f t="shared" si="219"/>
        <v>管理学学士</v>
      </c>
      <c r="G423" s="6" t="str">
        <f>"旅游管理"</f>
        <v>旅游管理</v>
      </c>
      <c r="H423" s="7" t="s">
        <v>9</v>
      </c>
    </row>
    <row r="424" spans="1:8" ht="15" customHeight="1">
      <c r="A424" s="5">
        <v>422</v>
      </c>
      <c r="B424" s="6" t="str">
        <f>"陈瑞涛"</f>
        <v>陈瑞涛</v>
      </c>
      <c r="C424" s="6" t="str">
        <f t="shared" si="217"/>
        <v>男</v>
      </c>
      <c r="D424" s="6" t="str">
        <f>"1999-07-02"</f>
        <v>1999-07-02</v>
      </c>
      <c r="E424" s="6" t="str">
        <f t="shared" si="218"/>
        <v>大学本科学历</v>
      </c>
      <c r="F424" s="6" t="str">
        <f t="shared" si="219"/>
        <v>管理学学士</v>
      </c>
      <c r="G424" s="6" t="str">
        <f>"工商管理"</f>
        <v>工商管理</v>
      </c>
      <c r="H424" s="7" t="s">
        <v>9</v>
      </c>
    </row>
    <row r="425" spans="1:8" ht="15" customHeight="1">
      <c r="A425" s="5">
        <v>423</v>
      </c>
      <c r="B425" s="6" t="str">
        <f>"陈振远"</f>
        <v>陈振远</v>
      </c>
      <c r="C425" s="6" t="str">
        <f t="shared" si="217"/>
        <v>男</v>
      </c>
      <c r="D425" s="6" t="str">
        <f>"1996-11-19"</f>
        <v>1996-11-19</v>
      </c>
      <c r="E425" s="6" t="str">
        <f t="shared" si="221"/>
        <v>本科</v>
      </c>
      <c r="F425" s="6" t="str">
        <f>"学士学位"</f>
        <v>学士学位</v>
      </c>
      <c r="G425" s="6" t="str">
        <f>"经济学"</f>
        <v>经济学</v>
      </c>
      <c r="H425" s="7" t="s">
        <v>9</v>
      </c>
    </row>
    <row r="426" spans="1:8" ht="15" customHeight="1">
      <c r="A426" s="5">
        <v>424</v>
      </c>
      <c r="B426" s="6" t="str">
        <f>"薛兰敏"</f>
        <v>薛兰敏</v>
      </c>
      <c r="C426" s="6" t="str">
        <f t="shared" si="220"/>
        <v>女</v>
      </c>
      <c r="D426" s="6" t="str">
        <f>"1992-04-24"</f>
        <v>1992-04-24</v>
      </c>
      <c r="E426" s="6" t="str">
        <f t="shared" si="221"/>
        <v>本科</v>
      </c>
      <c r="F426" s="6" t="str">
        <f>"管理学学士学位"</f>
        <v>管理学学士学位</v>
      </c>
      <c r="G426" s="6" t="str">
        <f>"信息管理与信息系统"</f>
        <v>信息管理与信息系统</v>
      </c>
      <c r="H426" s="7" t="s">
        <v>9</v>
      </c>
    </row>
    <row r="427" spans="1:8" ht="15" customHeight="1">
      <c r="A427" s="5">
        <v>425</v>
      </c>
      <c r="B427" s="6" t="str">
        <f>"陈丽惠"</f>
        <v>陈丽惠</v>
      </c>
      <c r="C427" s="6" t="str">
        <f t="shared" si="220"/>
        <v>女</v>
      </c>
      <c r="D427" s="6" t="str">
        <f>"1996-01-04"</f>
        <v>1996-01-04</v>
      </c>
      <c r="E427" s="6" t="str">
        <f t="shared" si="218"/>
        <v>大学本科学历</v>
      </c>
      <c r="F427" s="6" t="str">
        <f aca="true" t="shared" si="222" ref="F427:F429">"管理学学士"</f>
        <v>管理学学士</v>
      </c>
      <c r="G427" s="6" t="str">
        <f>"财务管理"</f>
        <v>财务管理</v>
      </c>
      <c r="H427" s="7" t="s">
        <v>9</v>
      </c>
    </row>
    <row r="428" spans="1:8" ht="15" customHeight="1">
      <c r="A428" s="5">
        <v>426</v>
      </c>
      <c r="B428" s="6" t="str">
        <f>"陈帆"</f>
        <v>陈帆</v>
      </c>
      <c r="C428" s="6" t="str">
        <f aca="true" t="shared" si="223" ref="C428:C431">"男"</f>
        <v>男</v>
      </c>
      <c r="D428" s="6" t="str">
        <f>"2000-11-15"</f>
        <v>2000-11-15</v>
      </c>
      <c r="E428" s="6" t="str">
        <f aca="true" t="shared" si="224" ref="E428:E437">"本科"</f>
        <v>本科</v>
      </c>
      <c r="F428" s="6" t="str">
        <f t="shared" si="222"/>
        <v>管理学学士</v>
      </c>
      <c r="G428" s="6" t="str">
        <f>"旅游管理"</f>
        <v>旅游管理</v>
      </c>
      <c r="H428" s="7" t="s">
        <v>9</v>
      </c>
    </row>
    <row r="429" spans="1:8" ht="15" customHeight="1">
      <c r="A429" s="5">
        <v>427</v>
      </c>
      <c r="B429" s="6" t="str">
        <f>"王阳"</f>
        <v>王阳</v>
      </c>
      <c r="C429" s="6" t="str">
        <f aca="true" t="shared" si="225" ref="C429:C433">"女"</f>
        <v>女</v>
      </c>
      <c r="D429" s="6" t="str">
        <f>"1999-12-10"</f>
        <v>1999-12-10</v>
      </c>
      <c r="E429" s="6" t="str">
        <f t="shared" si="224"/>
        <v>本科</v>
      </c>
      <c r="F429" s="6" t="str">
        <f t="shared" si="222"/>
        <v>管理学学士</v>
      </c>
      <c r="G429" s="6" t="str">
        <f>"土地资源管理"</f>
        <v>土地资源管理</v>
      </c>
      <c r="H429" s="7" t="s">
        <v>9</v>
      </c>
    </row>
    <row r="430" spans="1:8" ht="15" customHeight="1">
      <c r="A430" s="5">
        <v>428</v>
      </c>
      <c r="B430" s="6" t="str">
        <f>"蒲才喜"</f>
        <v>蒲才喜</v>
      </c>
      <c r="C430" s="6" t="str">
        <f t="shared" si="223"/>
        <v>男</v>
      </c>
      <c r="D430" s="6" t="str">
        <f>"1997-07-06"</f>
        <v>1997-07-06</v>
      </c>
      <c r="E430" s="6" t="str">
        <f>"全日制本科"</f>
        <v>全日制本科</v>
      </c>
      <c r="F430" s="6" t="str">
        <f>"工学学士"</f>
        <v>工学学士</v>
      </c>
      <c r="G430" s="6" t="str">
        <f>"计算机科学与技术"</f>
        <v>计算机科学与技术</v>
      </c>
      <c r="H430" s="7" t="s">
        <v>9</v>
      </c>
    </row>
    <row r="431" spans="1:8" ht="15" customHeight="1">
      <c r="A431" s="5">
        <v>429</v>
      </c>
      <c r="B431" s="6" t="str">
        <f>"吉会忠"</f>
        <v>吉会忠</v>
      </c>
      <c r="C431" s="6" t="str">
        <f t="shared" si="223"/>
        <v>男</v>
      </c>
      <c r="D431" s="6" t="str">
        <f>"1999-07-10"</f>
        <v>1999-07-10</v>
      </c>
      <c r="E431" s="6" t="str">
        <f t="shared" si="224"/>
        <v>本科</v>
      </c>
      <c r="F431" s="6" t="str">
        <f>"管理学学士"</f>
        <v>管理学学士</v>
      </c>
      <c r="G431" s="6" t="str">
        <f>"旅游管理"</f>
        <v>旅游管理</v>
      </c>
      <c r="H431" s="7" t="s">
        <v>9</v>
      </c>
    </row>
    <row r="432" spans="1:8" ht="15" customHeight="1">
      <c r="A432" s="5">
        <v>430</v>
      </c>
      <c r="B432" s="6" t="str">
        <f>"吉采玉"</f>
        <v>吉采玉</v>
      </c>
      <c r="C432" s="6" t="str">
        <f t="shared" si="225"/>
        <v>女</v>
      </c>
      <c r="D432" s="6" t="str">
        <f>"2000-09-19"</f>
        <v>2000-09-19</v>
      </c>
      <c r="E432" s="6" t="str">
        <f t="shared" si="224"/>
        <v>本科</v>
      </c>
      <c r="F432" s="6" t="str">
        <f>"工学学士"</f>
        <v>工学学士</v>
      </c>
      <c r="G432" s="6" t="str">
        <f>"环境科学"</f>
        <v>环境科学</v>
      </c>
      <c r="H432" s="7" t="s">
        <v>9</v>
      </c>
    </row>
    <row r="433" spans="1:8" ht="15" customHeight="1">
      <c r="A433" s="5">
        <v>431</v>
      </c>
      <c r="B433" s="6" t="str">
        <f>"林莲"</f>
        <v>林莲</v>
      </c>
      <c r="C433" s="6" t="str">
        <f t="shared" si="225"/>
        <v>女</v>
      </c>
      <c r="D433" s="6" t="str">
        <f>"1998-12-10"</f>
        <v>1998-12-10</v>
      </c>
      <c r="E433" s="6" t="str">
        <f t="shared" si="224"/>
        <v>本科</v>
      </c>
      <c r="F433" s="6" t="str">
        <f aca="true" t="shared" si="226" ref="F433:F438">"文学学士"</f>
        <v>文学学士</v>
      </c>
      <c r="G433" s="6" t="str">
        <f>"汉语国际教育"</f>
        <v>汉语国际教育</v>
      </c>
      <c r="H433" s="7" t="s">
        <v>9</v>
      </c>
    </row>
    <row r="434" spans="1:8" ht="15" customHeight="1">
      <c r="A434" s="5">
        <v>432</v>
      </c>
      <c r="B434" s="6" t="str">
        <f>"何奋"</f>
        <v>何奋</v>
      </c>
      <c r="C434" s="6" t="str">
        <f>"男"</f>
        <v>男</v>
      </c>
      <c r="D434" s="6" t="str">
        <f>"1995-08-25"</f>
        <v>1995-08-25</v>
      </c>
      <c r="E434" s="6" t="str">
        <f t="shared" si="224"/>
        <v>本科</v>
      </c>
      <c r="F434" s="6" t="str">
        <f>"管理越学士"</f>
        <v>管理越学士</v>
      </c>
      <c r="G434" s="6" t="str">
        <f>"会计学"</f>
        <v>会计学</v>
      </c>
      <c r="H434" s="7" t="s">
        <v>9</v>
      </c>
    </row>
    <row r="435" spans="1:8" ht="15" customHeight="1">
      <c r="A435" s="5">
        <v>433</v>
      </c>
      <c r="B435" s="6" t="str">
        <f>"吴文琳"</f>
        <v>吴文琳</v>
      </c>
      <c r="C435" s="6" t="str">
        <f aca="true" t="shared" si="227" ref="C435:C439">"女"</f>
        <v>女</v>
      </c>
      <c r="D435" s="6" t="str">
        <f>"2000-04-18"</f>
        <v>2000-04-18</v>
      </c>
      <c r="E435" s="6" t="str">
        <f t="shared" si="224"/>
        <v>本科</v>
      </c>
      <c r="F435" s="6" t="str">
        <f t="shared" si="226"/>
        <v>文学学士</v>
      </c>
      <c r="G435" s="6" t="str">
        <f>"汉语言文学"</f>
        <v>汉语言文学</v>
      </c>
      <c r="H435" s="7" t="s">
        <v>9</v>
      </c>
    </row>
    <row r="436" spans="1:8" ht="15" customHeight="1">
      <c r="A436" s="5">
        <v>434</v>
      </c>
      <c r="B436" s="6" t="str">
        <f>"廖广宁"</f>
        <v>廖广宁</v>
      </c>
      <c r="C436" s="6" t="str">
        <f aca="true" t="shared" si="228" ref="C436:C444">"男"</f>
        <v>男</v>
      </c>
      <c r="D436" s="6" t="str">
        <f>"1996-05-22"</f>
        <v>1996-05-22</v>
      </c>
      <c r="E436" s="6" t="str">
        <f t="shared" si="224"/>
        <v>本科</v>
      </c>
      <c r="F436" s="6" t="str">
        <f>"管理学学士学位"</f>
        <v>管理学学士学位</v>
      </c>
      <c r="G436" s="6" t="str">
        <f>"财务管理"</f>
        <v>财务管理</v>
      </c>
      <c r="H436" s="7" t="s">
        <v>9</v>
      </c>
    </row>
    <row r="437" spans="1:8" ht="15" customHeight="1">
      <c r="A437" s="5">
        <v>435</v>
      </c>
      <c r="B437" s="6" t="str">
        <f>"王玲"</f>
        <v>王玲</v>
      </c>
      <c r="C437" s="6" t="str">
        <f t="shared" si="227"/>
        <v>女</v>
      </c>
      <c r="D437" s="6" t="str">
        <f>"1996-08-04"</f>
        <v>1996-08-04</v>
      </c>
      <c r="E437" s="6" t="str">
        <f t="shared" si="224"/>
        <v>本科</v>
      </c>
      <c r="F437" s="6" t="str">
        <f>"学士学位"</f>
        <v>学士学位</v>
      </c>
      <c r="G437" s="6" t="str">
        <f>"审计学"</f>
        <v>审计学</v>
      </c>
      <c r="H437" s="7" t="s">
        <v>9</v>
      </c>
    </row>
    <row r="438" spans="1:8" ht="15" customHeight="1">
      <c r="A438" s="5">
        <v>436</v>
      </c>
      <c r="B438" s="6" t="str">
        <f>"熊燕"</f>
        <v>熊燕</v>
      </c>
      <c r="C438" s="6" t="str">
        <f t="shared" si="227"/>
        <v>女</v>
      </c>
      <c r="D438" s="6" t="str">
        <f>"2001-01-27"</f>
        <v>2001-01-27</v>
      </c>
      <c r="E438" s="6" t="str">
        <f>"大学本科"</f>
        <v>大学本科</v>
      </c>
      <c r="F438" s="6" t="str">
        <f t="shared" si="226"/>
        <v>文学学士</v>
      </c>
      <c r="G438" s="6" t="str">
        <f>"汉语言文学"</f>
        <v>汉语言文学</v>
      </c>
      <c r="H438" s="7" t="s">
        <v>9</v>
      </c>
    </row>
    <row r="439" spans="1:8" ht="15" customHeight="1">
      <c r="A439" s="5">
        <v>437</v>
      </c>
      <c r="B439" s="6" t="str">
        <f>"洪彩妹"</f>
        <v>洪彩妹</v>
      </c>
      <c r="C439" s="6" t="str">
        <f t="shared" si="227"/>
        <v>女</v>
      </c>
      <c r="D439" s="6" t="str">
        <f>"1996-04-19"</f>
        <v>1996-04-19</v>
      </c>
      <c r="E439" s="6" t="str">
        <f>"大学本科学历"</f>
        <v>大学本科学历</v>
      </c>
      <c r="F439" s="6" t="str">
        <f>"经济学学士学位"</f>
        <v>经济学学士学位</v>
      </c>
      <c r="G439" s="6" t="str">
        <f>"经济学"</f>
        <v>经济学</v>
      </c>
      <c r="H439" s="7" t="s">
        <v>9</v>
      </c>
    </row>
    <row r="440" spans="1:8" ht="15" customHeight="1">
      <c r="A440" s="5">
        <v>438</v>
      </c>
      <c r="B440" s="6" t="str">
        <f>"陈腾"</f>
        <v>陈腾</v>
      </c>
      <c r="C440" s="6" t="str">
        <f t="shared" si="228"/>
        <v>男</v>
      </c>
      <c r="D440" s="6" t="str">
        <f>"1992-08-10"</f>
        <v>1992-08-10</v>
      </c>
      <c r="E440" s="6" t="str">
        <f aca="true" t="shared" si="229" ref="E440:E443">"本科"</f>
        <v>本科</v>
      </c>
      <c r="F440" s="6" t="str">
        <f>"理学学士"</f>
        <v>理学学士</v>
      </c>
      <c r="G440" s="6" t="str">
        <f>"计算机科学与技术"</f>
        <v>计算机科学与技术</v>
      </c>
      <c r="H440" s="7" t="s">
        <v>9</v>
      </c>
    </row>
    <row r="441" spans="1:8" ht="15" customHeight="1">
      <c r="A441" s="5">
        <v>439</v>
      </c>
      <c r="B441" s="6" t="str">
        <f>"王兴波"</f>
        <v>王兴波</v>
      </c>
      <c r="C441" s="6" t="str">
        <f t="shared" si="228"/>
        <v>男</v>
      </c>
      <c r="D441" s="6" t="str">
        <f>"1994-01-01"</f>
        <v>1994-01-01</v>
      </c>
      <c r="E441" s="6" t="str">
        <f t="shared" si="229"/>
        <v>本科</v>
      </c>
      <c r="F441" s="6" t="str">
        <f>"经济学学士"</f>
        <v>经济学学士</v>
      </c>
      <c r="G441" s="6" t="str">
        <f>"金融学"</f>
        <v>金融学</v>
      </c>
      <c r="H441" s="7" t="s">
        <v>9</v>
      </c>
    </row>
    <row r="442" spans="1:8" ht="15" customHeight="1">
      <c r="A442" s="5">
        <v>440</v>
      </c>
      <c r="B442" s="6" t="str">
        <f>"江祖南"</f>
        <v>江祖南</v>
      </c>
      <c r="C442" s="6" t="str">
        <f t="shared" si="228"/>
        <v>男</v>
      </c>
      <c r="D442" s="6" t="str">
        <f>"1995-11-16"</f>
        <v>1995-11-16</v>
      </c>
      <c r="E442" s="6" t="str">
        <f>"大学本科学历"</f>
        <v>大学本科学历</v>
      </c>
      <c r="F442" s="6" t="str">
        <f>"理学学士"</f>
        <v>理学学士</v>
      </c>
      <c r="G442" s="6" t="str">
        <f>"计算机科学与技术"</f>
        <v>计算机科学与技术</v>
      </c>
      <c r="H442" s="7" t="s">
        <v>9</v>
      </c>
    </row>
    <row r="443" spans="1:8" ht="15" customHeight="1">
      <c r="A443" s="5">
        <v>441</v>
      </c>
      <c r="B443" s="6" t="str">
        <f>"黄龙奋"</f>
        <v>黄龙奋</v>
      </c>
      <c r="C443" s="6" t="str">
        <f t="shared" si="228"/>
        <v>男</v>
      </c>
      <c r="D443" s="6" t="str">
        <f>"1997-07-10"</f>
        <v>1997-07-10</v>
      </c>
      <c r="E443" s="6" t="str">
        <f t="shared" si="229"/>
        <v>本科</v>
      </c>
      <c r="F443" s="6" t="str">
        <f aca="true" t="shared" si="230" ref="F443:F447">"管理学学士"</f>
        <v>管理学学士</v>
      </c>
      <c r="G443" s="6" t="str">
        <f>"行政管理"</f>
        <v>行政管理</v>
      </c>
      <c r="H443" s="7" t="s">
        <v>9</v>
      </c>
    </row>
    <row r="444" spans="1:8" ht="15" customHeight="1">
      <c r="A444" s="5">
        <v>442</v>
      </c>
      <c r="B444" s="6" t="str">
        <f>"王品熙"</f>
        <v>王品熙</v>
      </c>
      <c r="C444" s="6" t="str">
        <f t="shared" si="228"/>
        <v>男</v>
      </c>
      <c r="D444" s="6" t="str">
        <f>"1995-03-25"</f>
        <v>1995-03-25</v>
      </c>
      <c r="E444" s="6" t="str">
        <f>"大学本科"</f>
        <v>大学本科</v>
      </c>
      <c r="F444" s="6" t="str">
        <f t="shared" si="230"/>
        <v>管理学学士</v>
      </c>
      <c r="G444" s="6" t="str">
        <f>"会计学"</f>
        <v>会计学</v>
      </c>
      <c r="H444" s="7" t="s">
        <v>9</v>
      </c>
    </row>
    <row r="445" spans="1:8" ht="15" customHeight="1">
      <c r="A445" s="5">
        <v>443</v>
      </c>
      <c r="B445" s="6" t="str">
        <f>"潘铭鸯"</f>
        <v>潘铭鸯</v>
      </c>
      <c r="C445" s="6" t="str">
        <f aca="true" t="shared" si="231" ref="C445:C451">"女"</f>
        <v>女</v>
      </c>
      <c r="D445" s="6" t="str">
        <f>"1994-10-25"</f>
        <v>1994-10-25</v>
      </c>
      <c r="E445" s="6" t="str">
        <f aca="true" t="shared" si="232" ref="E445:E451">"本科"</f>
        <v>本科</v>
      </c>
      <c r="F445" s="6" t="str">
        <f aca="true" t="shared" si="233" ref="F445:F448">"工学学士"</f>
        <v>工学学士</v>
      </c>
      <c r="G445" s="6" t="str">
        <f>"风景园林（园林工程技术方向）"</f>
        <v>风景园林（园林工程技术方向）</v>
      </c>
      <c r="H445" s="7" t="s">
        <v>9</v>
      </c>
    </row>
    <row r="446" spans="1:8" ht="15" customHeight="1">
      <c r="A446" s="5">
        <v>444</v>
      </c>
      <c r="B446" s="6" t="str">
        <f>"林明明"</f>
        <v>林明明</v>
      </c>
      <c r="C446" s="6" t="str">
        <f>"男"</f>
        <v>男</v>
      </c>
      <c r="D446" s="6" t="str">
        <f>"1995-10-23"</f>
        <v>1995-10-23</v>
      </c>
      <c r="E446" s="6" t="str">
        <f t="shared" si="232"/>
        <v>本科</v>
      </c>
      <c r="F446" s="6" t="str">
        <f t="shared" si="233"/>
        <v>工学学士</v>
      </c>
      <c r="G446" s="6" t="str">
        <f>"土木工程"</f>
        <v>土木工程</v>
      </c>
      <c r="H446" s="7" t="s">
        <v>9</v>
      </c>
    </row>
    <row r="447" spans="1:8" ht="15" customHeight="1">
      <c r="A447" s="5">
        <v>445</v>
      </c>
      <c r="B447" s="6" t="str">
        <f>"洪涛"</f>
        <v>洪涛</v>
      </c>
      <c r="C447" s="6" t="str">
        <f>"男"</f>
        <v>男</v>
      </c>
      <c r="D447" s="6" t="str">
        <f>"1995-02-14"</f>
        <v>1995-02-14</v>
      </c>
      <c r="E447" s="6" t="str">
        <f>"全日制本科"</f>
        <v>全日制本科</v>
      </c>
      <c r="F447" s="6" t="str">
        <f t="shared" si="230"/>
        <v>管理学学士</v>
      </c>
      <c r="G447" s="6" t="str">
        <f>"物流管理"</f>
        <v>物流管理</v>
      </c>
      <c r="H447" s="7" t="s">
        <v>9</v>
      </c>
    </row>
    <row r="448" spans="1:8" ht="15" customHeight="1">
      <c r="A448" s="5">
        <v>446</v>
      </c>
      <c r="B448" s="6" t="str">
        <f>"李小艳"</f>
        <v>李小艳</v>
      </c>
      <c r="C448" s="6" t="str">
        <f t="shared" si="231"/>
        <v>女</v>
      </c>
      <c r="D448" s="6" t="str">
        <f>"2000-08-12"</f>
        <v>2000-08-12</v>
      </c>
      <c r="E448" s="6" t="str">
        <f t="shared" si="232"/>
        <v>本科</v>
      </c>
      <c r="F448" s="6" t="str">
        <f t="shared" si="233"/>
        <v>工学学士</v>
      </c>
      <c r="G448" s="6" t="str">
        <f>"计算机科学与技术"</f>
        <v>计算机科学与技术</v>
      </c>
      <c r="H448" s="7" t="s">
        <v>9</v>
      </c>
    </row>
    <row r="449" spans="1:8" ht="15" customHeight="1">
      <c r="A449" s="5">
        <v>447</v>
      </c>
      <c r="B449" s="6" t="str">
        <f>"黄嘉慧"</f>
        <v>黄嘉慧</v>
      </c>
      <c r="C449" s="6" t="str">
        <f t="shared" si="231"/>
        <v>女</v>
      </c>
      <c r="D449" s="6" t="str">
        <f>"2001-01-22"</f>
        <v>2001-01-22</v>
      </c>
      <c r="E449" s="6" t="str">
        <f t="shared" si="232"/>
        <v>本科</v>
      </c>
      <c r="F449" s="6" t="str">
        <f>"学士学位"</f>
        <v>学士学位</v>
      </c>
      <c r="G449" s="6" t="str">
        <f>"电子商务"</f>
        <v>电子商务</v>
      </c>
      <c r="H449" s="7" t="s">
        <v>9</v>
      </c>
    </row>
    <row r="450" spans="1:8" ht="15" customHeight="1">
      <c r="A450" s="5">
        <v>448</v>
      </c>
      <c r="B450" s="6" t="str">
        <f>"黄坤"</f>
        <v>黄坤</v>
      </c>
      <c r="C450" s="6" t="str">
        <f t="shared" si="231"/>
        <v>女</v>
      </c>
      <c r="D450" s="6" t="str">
        <f>"1989-02-17"</f>
        <v>1989-02-17</v>
      </c>
      <c r="E450" s="6" t="str">
        <f t="shared" si="232"/>
        <v>本科</v>
      </c>
      <c r="F450" s="6" t="str">
        <f>"文学学士"</f>
        <v>文学学士</v>
      </c>
      <c r="G450" s="6" t="str">
        <f>"汉语言文学"</f>
        <v>汉语言文学</v>
      </c>
      <c r="H450" s="7" t="s">
        <v>9</v>
      </c>
    </row>
    <row r="451" spans="1:8" ht="15" customHeight="1">
      <c r="A451" s="5">
        <v>449</v>
      </c>
      <c r="B451" s="6" t="str">
        <f>"邓慧婷"</f>
        <v>邓慧婷</v>
      </c>
      <c r="C451" s="6" t="str">
        <f t="shared" si="231"/>
        <v>女</v>
      </c>
      <c r="D451" s="6" t="str">
        <f>"1996-11-10"</f>
        <v>1996-11-10</v>
      </c>
      <c r="E451" s="6" t="str">
        <f t="shared" si="232"/>
        <v>本科</v>
      </c>
      <c r="F451" s="6" t="str">
        <f>"学士学位"</f>
        <v>学士学位</v>
      </c>
      <c r="G451" s="6" t="str">
        <f>"广播电视学"</f>
        <v>广播电视学</v>
      </c>
      <c r="H451" s="7" t="s">
        <v>9</v>
      </c>
    </row>
    <row r="452" spans="1:8" ht="15" customHeight="1">
      <c r="A452" s="5">
        <v>450</v>
      </c>
      <c r="B452" s="6" t="str">
        <f>"邢维纲"</f>
        <v>邢维纲</v>
      </c>
      <c r="C452" s="6" t="str">
        <f aca="true" t="shared" si="234" ref="C452:C458">"男"</f>
        <v>男</v>
      </c>
      <c r="D452" s="6" t="str">
        <f>"1995-04-27"</f>
        <v>1995-04-27</v>
      </c>
      <c r="E452" s="6" t="str">
        <f>"全日制大学本科"</f>
        <v>全日制大学本科</v>
      </c>
      <c r="F452" s="6" t="str">
        <f>"管理学学士学位"</f>
        <v>管理学学士学位</v>
      </c>
      <c r="G452" s="6" t="str">
        <f>"会计学"</f>
        <v>会计学</v>
      </c>
      <c r="H452" s="7" t="s">
        <v>9</v>
      </c>
    </row>
    <row r="453" spans="1:8" ht="15" customHeight="1">
      <c r="A453" s="5">
        <v>451</v>
      </c>
      <c r="B453" s="6" t="str">
        <f>"陈蔓"</f>
        <v>陈蔓</v>
      </c>
      <c r="C453" s="6" t="str">
        <f aca="true" t="shared" si="235" ref="C453:C456">"女"</f>
        <v>女</v>
      </c>
      <c r="D453" s="6" t="str">
        <f>"1990-03-17"</f>
        <v>1990-03-17</v>
      </c>
      <c r="E453" s="6" t="str">
        <f>"大学本科学历"</f>
        <v>大学本科学历</v>
      </c>
      <c r="F453" s="6" t="str">
        <f aca="true" t="shared" si="236" ref="F453:F458">"管理学学士"</f>
        <v>管理学学士</v>
      </c>
      <c r="G453" s="6" t="str">
        <f>"人力资源管理"</f>
        <v>人力资源管理</v>
      </c>
      <c r="H453" s="7" t="s">
        <v>9</v>
      </c>
    </row>
    <row r="454" spans="1:8" ht="15" customHeight="1">
      <c r="A454" s="5">
        <v>452</v>
      </c>
      <c r="B454" s="6" t="str">
        <f>"黄宵瑶"</f>
        <v>黄宵瑶</v>
      </c>
      <c r="C454" s="6" t="str">
        <f t="shared" si="235"/>
        <v>女</v>
      </c>
      <c r="D454" s="6" t="str">
        <f>"1999-03-24"</f>
        <v>1999-03-24</v>
      </c>
      <c r="E454" s="6" t="str">
        <f>"全日制本科"</f>
        <v>全日制本科</v>
      </c>
      <c r="F454" s="6" t="str">
        <f t="shared" si="236"/>
        <v>管理学学士</v>
      </c>
      <c r="G454" s="6" t="str">
        <f>"工程管理"</f>
        <v>工程管理</v>
      </c>
      <c r="H454" s="7" t="s">
        <v>9</v>
      </c>
    </row>
    <row r="455" spans="1:8" ht="15" customHeight="1">
      <c r="A455" s="5">
        <v>453</v>
      </c>
      <c r="B455" s="6" t="str">
        <f>"钟孝敬"</f>
        <v>钟孝敬</v>
      </c>
      <c r="C455" s="6" t="str">
        <f t="shared" si="234"/>
        <v>男</v>
      </c>
      <c r="D455" s="6" t="str">
        <f>"1996-06-20"</f>
        <v>1996-06-20</v>
      </c>
      <c r="E455" s="6" t="str">
        <f>"本科"</f>
        <v>本科</v>
      </c>
      <c r="F455" s="6" t="str">
        <f>"学士学位"</f>
        <v>学士学位</v>
      </c>
      <c r="G455" s="6" t="str">
        <f>"人力资源管理"</f>
        <v>人力资源管理</v>
      </c>
      <c r="H455" s="7" t="s">
        <v>9</v>
      </c>
    </row>
    <row r="456" spans="1:8" ht="15" customHeight="1">
      <c r="A456" s="5">
        <v>454</v>
      </c>
      <c r="B456" s="6" t="str">
        <f>"陈焕蓉"</f>
        <v>陈焕蓉</v>
      </c>
      <c r="C456" s="6" t="str">
        <f t="shared" si="235"/>
        <v>女</v>
      </c>
      <c r="D456" s="6" t="str">
        <f>"2001-01-01"</f>
        <v>2001-01-01</v>
      </c>
      <c r="E456" s="6" t="str">
        <f>"大学本科学历"</f>
        <v>大学本科学历</v>
      </c>
      <c r="F456" s="6" t="str">
        <f aca="true" t="shared" si="237" ref="F456:F461">"工学学士"</f>
        <v>工学学士</v>
      </c>
      <c r="G456" s="6" t="str">
        <f>"城乡规划"</f>
        <v>城乡规划</v>
      </c>
      <c r="H456" s="7" t="s">
        <v>9</v>
      </c>
    </row>
    <row r="457" spans="1:8" ht="15" customHeight="1">
      <c r="A457" s="5">
        <v>455</v>
      </c>
      <c r="B457" s="6" t="str">
        <f>"李茂文"</f>
        <v>李茂文</v>
      </c>
      <c r="C457" s="6" t="str">
        <f t="shared" si="234"/>
        <v>男</v>
      </c>
      <c r="D457" s="6" t="str">
        <f>"1993-12-06"</f>
        <v>1993-12-06</v>
      </c>
      <c r="E457" s="6" t="str">
        <f>"全日制本科"</f>
        <v>全日制本科</v>
      </c>
      <c r="F457" s="6" t="str">
        <f t="shared" si="237"/>
        <v>工学学士</v>
      </c>
      <c r="G457" s="6" t="str">
        <f>"环境工程"</f>
        <v>环境工程</v>
      </c>
      <c r="H457" s="7" t="s">
        <v>9</v>
      </c>
    </row>
    <row r="458" spans="1:8" ht="15" customHeight="1">
      <c r="A458" s="5">
        <v>456</v>
      </c>
      <c r="B458" s="6" t="str">
        <f>"谢锡儒"</f>
        <v>谢锡儒</v>
      </c>
      <c r="C458" s="6" t="str">
        <f t="shared" si="234"/>
        <v>男</v>
      </c>
      <c r="D458" s="6" t="str">
        <f>"1995-08-30"</f>
        <v>1995-08-30</v>
      </c>
      <c r="E458" s="6" t="str">
        <f>"本科"</f>
        <v>本科</v>
      </c>
      <c r="F458" s="6" t="str">
        <f t="shared" si="236"/>
        <v>管理学学士</v>
      </c>
      <c r="G458" s="6" t="str">
        <f>"电子商务"</f>
        <v>电子商务</v>
      </c>
      <c r="H458" s="7" t="s">
        <v>9</v>
      </c>
    </row>
    <row r="459" spans="1:8" ht="15" customHeight="1">
      <c r="A459" s="5">
        <v>457</v>
      </c>
      <c r="B459" s="6" t="str">
        <f>"云燕"</f>
        <v>云燕</v>
      </c>
      <c r="C459" s="6" t="str">
        <f aca="true" t="shared" si="238" ref="C459:C464">"女"</f>
        <v>女</v>
      </c>
      <c r="D459" s="6" t="str">
        <f>"1987-11-05"</f>
        <v>1987-11-05</v>
      </c>
      <c r="E459" s="6" t="str">
        <f aca="true" t="shared" si="239" ref="E459:E462">"大学本科"</f>
        <v>大学本科</v>
      </c>
      <c r="F459" s="6" t="str">
        <f>"管理学士"</f>
        <v>管理学士</v>
      </c>
      <c r="G459" s="6" t="str">
        <f>"行政管理"</f>
        <v>行政管理</v>
      </c>
      <c r="H459" s="7" t="s">
        <v>9</v>
      </c>
    </row>
    <row r="460" spans="1:8" ht="15" customHeight="1">
      <c r="A460" s="5">
        <v>458</v>
      </c>
      <c r="B460" s="6" t="str">
        <f>"黄达鸣"</f>
        <v>黄达鸣</v>
      </c>
      <c r="C460" s="6" t="str">
        <f aca="true" t="shared" si="240" ref="C460:C463">"男"</f>
        <v>男</v>
      </c>
      <c r="D460" s="6" t="str">
        <f>"1995-03-05"</f>
        <v>1995-03-05</v>
      </c>
      <c r="E460" s="6" t="str">
        <f>"大学本科学历"</f>
        <v>大学本科学历</v>
      </c>
      <c r="F460" s="6" t="str">
        <f>"管理学学士"</f>
        <v>管理学学士</v>
      </c>
      <c r="G460" s="6" t="str">
        <f>"财务管理（公司金融）"</f>
        <v>财务管理（公司金融）</v>
      </c>
      <c r="H460" s="7" t="s">
        <v>9</v>
      </c>
    </row>
    <row r="461" spans="1:8" ht="15" customHeight="1">
      <c r="A461" s="5">
        <v>459</v>
      </c>
      <c r="B461" s="6" t="str">
        <f>"曹文聪"</f>
        <v>曹文聪</v>
      </c>
      <c r="C461" s="6" t="str">
        <f t="shared" si="240"/>
        <v>男</v>
      </c>
      <c r="D461" s="6" t="str">
        <f>"1994-05-30"</f>
        <v>1994-05-30</v>
      </c>
      <c r="E461" s="6" t="str">
        <f t="shared" si="239"/>
        <v>大学本科</v>
      </c>
      <c r="F461" s="6" t="str">
        <f t="shared" si="237"/>
        <v>工学学士</v>
      </c>
      <c r="G461" s="6" t="str">
        <f>"城乡规划"</f>
        <v>城乡规划</v>
      </c>
      <c r="H461" s="7" t="s">
        <v>9</v>
      </c>
    </row>
    <row r="462" spans="1:8" ht="15" customHeight="1">
      <c r="A462" s="5">
        <v>460</v>
      </c>
      <c r="B462" s="6" t="str">
        <f>"周美秀"</f>
        <v>周美秀</v>
      </c>
      <c r="C462" s="6" t="str">
        <f t="shared" si="238"/>
        <v>女</v>
      </c>
      <c r="D462" s="6" t="str">
        <f>"1999-04-08"</f>
        <v>1999-04-08</v>
      </c>
      <c r="E462" s="6" t="str">
        <f t="shared" si="239"/>
        <v>大学本科</v>
      </c>
      <c r="F462" s="6" t="str">
        <f>"文学学士"</f>
        <v>文学学士</v>
      </c>
      <c r="G462" s="6" t="str">
        <f>"汉语言文学（师范类）"</f>
        <v>汉语言文学（师范类）</v>
      </c>
      <c r="H462" s="7" t="s">
        <v>9</v>
      </c>
    </row>
    <row r="463" spans="1:8" ht="15" customHeight="1">
      <c r="A463" s="5">
        <v>461</v>
      </c>
      <c r="B463" s="6" t="str">
        <f>"高炜"</f>
        <v>高炜</v>
      </c>
      <c r="C463" s="6" t="str">
        <f t="shared" si="240"/>
        <v>男</v>
      </c>
      <c r="D463" s="6" t="str">
        <f>"1997-01-17"</f>
        <v>1997-01-17</v>
      </c>
      <c r="E463" s="6" t="str">
        <f aca="true" t="shared" si="241" ref="E463:E465">"本科"</f>
        <v>本科</v>
      </c>
      <c r="F463" s="6" t="str">
        <f>"工学学位"</f>
        <v>工学学位</v>
      </c>
      <c r="G463" s="6" t="str">
        <f>"环境科学与工程"</f>
        <v>环境科学与工程</v>
      </c>
      <c r="H463" s="7" t="s">
        <v>9</v>
      </c>
    </row>
    <row r="464" spans="1:8" ht="15" customHeight="1">
      <c r="A464" s="5">
        <v>462</v>
      </c>
      <c r="B464" s="6" t="str">
        <f>"唐瑶雯"</f>
        <v>唐瑶雯</v>
      </c>
      <c r="C464" s="6" t="str">
        <f t="shared" si="238"/>
        <v>女</v>
      </c>
      <c r="D464" s="6" t="str">
        <f>"1997-10-01"</f>
        <v>1997-10-01</v>
      </c>
      <c r="E464" s="6" t="str">
        <f t="shared" si="241"/>
        <v>本科</v>
      </c>
      <c r="F464" s="6" t="str">
        <f>"学士"</f>
        <v>学士</v>
      </c>
      <c r="G464" s="6" t="str">
        <f>"公共事业管理"</f>
        <v>公共事业管理</v>
      </c>
      <c r="H464" s="7" t="s">
        <v>9</v>
      </c>
    </row>
    <row r="465" spans="1:8" ht="15" customHeight="1">
      <c r="A465" s="5">
        <v>463</v>
      </c>
      <c r="B465" s="6" t="str">
        <f>"郑大洲"</f>
        <v>郑大洲</v>
      </c>
      <c r="C465" s="6" t="str">
        <f aca="true" t="shared" si="242" ref="C465:C469">"男"</f>
        <v>男</v>
      </c>
      <c r="D465" s="6" t="str">
        <f>"1998-03-20"</f>
        <v>1998-03-20</v>
      </c>
      <c r="E465" s="6" t="str">
        <f t="shared" si="241"/>
        <v>本科</v>
      </c>
      <c r="F465" s="6" t="str">
        <f>"管理学学士（主修），理学学士（辅修）"</f>
        <v>管理学学士（主修），理学学士（辅修）</v>
      </c>
      <c r="G465" s="6" t="str">
        <f>"市场营销（主修），应用心理学（辅修）"</f>
        <v>市场营销（主修），应用心理学（辅修）</v>
      </c>
      <c r="H465" s="7" t="s">
        <v>9</v>
      </c>
    </row>
    <row r="466" spans="1:8" ht="15" customHeight="1">
      <c r="A466" s="5">
        <v>464</v>
      </c>
      <c r="B466" s="6" t="str">
        <f>"卓业诚"</f>
        <v>卓业诚</v>
      </c>
      <c r="C466" s="6" t="str">
        <f t="shared" si="242"/>
        <v>男</v>
      </c>
      <c r="D466" s="6" t="str">
        <f>"1991-05-31"</f>
        <v>1991-05-31</v>
      </c>
      <c r="E466" s="6" t="str">
        <f aca="true" t="shared" si="243" ref="E466:E470">"大学本科"</f>
        <v>大学本科</v>
      </c>
      <c r="F466" s="6" t="str">
        <f aca="true" t="shared" si="244" ref="F466:F470">"管理学学士"</f>
        <v>管理学学士</v>
      </c>
      <c r="G466" s="6" t="str">
        <f>"信息管理与信息系统"</f>
        <v>信息管理与信息系统</v>
      </c>
      <c r="H466" s="7" t="s">
        <v>9</v>
      </c>
    </row>
    <row r="467" spans="1:8" ht="15" customHeight="1">
      <c r="A467" s="5">
        <v>465</v>
      </c>
      <c r="B467" s="6" t="str">
        <f>"朱荣"</f>
        <v>朱荣</v>
      </c>
      <c r="C467" s="6" t="str">
        <f aca="true" t="shared" si="245" ref="C467:C473">"女"</f>
        <v>女</v>
      </c>
      <c r="D467" s="6" t="str">
        <f>"1998-07-19"</f>
        <v>1998-07-19</v>
      </c>
      <c r="E467" s="6" t="str">
        <f t="shared" si="243"/>
        <v>大学本科</v>
      </c>
      <c r="F467" s="6" t="str">
        <f t="shared" si="244"/>
        <v>管理学学士</v>
      </c>
      <c r="G467" s="6" t="str">
        <f>"人力资源管理专业"</f>
        <v>人力资源管理专业</v>
      </c>
      <c r="H467" s="7" t="s">
        <v>9</v>
      </c>
    </row>
    <row r="468" spans="1:8" ht="15" customHeight="1">
      <c r="A468" s="5">
        <v>466</v>
      </c>
      <c r="B468" s="6" t="str">
        <f>"吴阳"</f>
        <v>吴阳</v>
      </c>
      <c r="C468" s="6" t="str">
        <f t="shared" si="242"/>
        <v>男</v>
      </c>
      <c r="D468" s="6" t="str">
        <f>"1991-06-10"</f>
        <v>1991-06-10</v>
      </c>
      <c r="E468" s="6" t="str">
        <f>"本科"</f>
        <v>本科</v>
      </c>
      <c r="F468" s="6" t="str">
        <f>"理学学士"</f>
        <v>理学学士</v>
      </c>
      <c r="G468" s="6" t="str">
        <f>"资源环境科学"</f>
        <v>资源环境科学</v>
      </c>
      <c r="H468" s="7" t="s">
        <v>9</v>
      </c>
    </row>
    <row r="469" spans="1:8" ht="15" customHeight="1">
      <c r="A469" s="5">
        <v>467</v>
      </c>
      <c r="B469" s="6" t="str">
        <f>"叶高斌"</f>
        <v>叶高斌</v>
      </c>
      <c r="C469" s="6" t="str">
        <f t="shared" si="242"/>
        <v>男</v>
      </c>
      <c r="D469" s="6" t="str">
        <f>"1995-10-15"</f>
        <v>1995-10-15</v>
      </c>
      <c r="E469" s="6" t="str">
        <f aca="true" t="shared" si="246" ref="E469:E473">"大学本科学历"</f>
        <v>大学本科学历</v>
      </c>
      <c r="F469" s="6" t="str">
        <f t="shared" si="244"/>
        <v>管理学学士</v>
      </c>
      <c r="G469" s="6" t="str">
        <f>"财务管理（企业理财方向）"</f>
        <v>财务管理（企业理财方向）</v>
      </c>
      <c r="H469" s="7" t="s">
        <v>9</v>
      </c>
    </row>
    <row r="470" spans="1:8" ht="15" customHeight="1">
      <c r="A470" s="5">
        <v>468</v>
      </c>
      <c r="B470" s="6" t="str">
        <f>"周小丽"</f>
        <v>周小丽</v>
      </c>
      <c r="C470" s="6" t="str">
        <f t="shared" si="245"/>
        <v>女</v>
      </c>
      <c r="D470" s="6" t="str">
        <f>"1995-12-01"</f>
        <v>1995-12-01</v>
      </c>
      <c r="E470" s="6" t="str">
        <f t="shared" si="243"/>
        <v>大学本科</v>
      </c>
      <c r="F470" s="6" t="str">
        <f t="shared" si="244"/>
        <v>管理学学士</v>
      </c>
      <c r="G470" s="6" t="str">
        <f>"财务管理"</f>
        <v>财务管理</v>
      </c>
      <c r="H470" s="7" t="s">
        <v>9</v>
      </c>
    </row>
    <row r="471" spans="1:8" ht="15" customHeight="1">
      <c r="A471" s="5">
        <v>469</v>
      </c>
      <c r="B471" s="6" t="str">
        <f>"阎丽芬"</f>
        <v>阎丽芬</v>
      </c>
      <c r="C471" s="6" t="str">
        <f t="shared" si="245"/>
        <v>女</v>
      </c>
      <c r="D471" s="6" t="str">
        <f>"1997-03-15"</f>
        <v>1997-03-15</v>
      </c>
      <c r="E471" s="6" t="str">
        <f t="shared" si="246"/>
        <v>大学本科学历</v>
      </c>
      <c r="F471" s="6" t="str">
        <f>"工学学士"</f>
        <v>工学学士</v>
      </c>
      <c r="G471" s="6" t="str">
        <f>"城乡规划"</f>
        <v>城乡规划</v>
      </c>
      <c r="H471" s="7" t="s">
        <v>9</v>
      </c>
    </row>
    <row r="472" spans="1:8" ht="15" customHeight="1">
      <c r="A472" s="5">
        <v>470</v>
      </c>
      <c r="B472" s="6" t="str">
        <f>"羊春燕"</f>
        <v>羊春燕</v>
      </c>
      <c r="C472" s="6" t="str">
        <f t="shared" si="245"/>
        <v>女</v>
      </c>
      <c r="D472" s="6" t="str">
        <f>"1991-10-01"</f>
        <v>1991-10-01</v>
      </c>
      <c r="E472" s="6" t="str">
        <f aca="true" t="shared" si="247" ref="E472:E476">"本科"</f>
        <v>本科</v>
      </c>
      <c r="F472" s="6" t="str">
        <f>"工学学士"</f>
        <v>工学学士</v>
      </c>
      <c r="G472" s="6" t="str">
        <f>"环境工程"</f>
        <v>环境工程</v>
      </c>
      <c r="H472" s="7" t="s">
        <v>9</v>
      </c>
    </row>
    <row r="473" spans="1:8" ht="15" customHeight="1">
      <c r="A473" s="5">
        <v>471</v>
      </c>
      <c r="B473" s="6" t="str">
        <f>"邓苏萍"</f>
        <v>邓苏萍</v>
      </c>
      <c r="C473" s="6" t="str">
        <f t="shared" si="245"/>
        <v>女</v>
      </c>
      <c r="D473" s="6" t="str">
        <f>"1999-05-18"</f>
        <v>1999-05-18</v>
      </c>
      <c r="E473" s="6" t="str">
        <f t="shared" si="246"/>
        <v>大学本科学历</v>
      </c>
      <c r="F473" s="6" t="str">
        <f>"管理学士"</f>
        <v>管理学士</v>
      </c>
      <c r="G473" s="6" t="str">
        <f>"市场营销"</f>
        <v>市场营销</v>
      </c>
      <c r="H473" s="7" t="s">
        <v>9</v>
      </c>
    </row>
    <row r="474" spans="1:8" ht="15" customHeight="1">
      <c r="A474" s="5">
        <v>472</v>
      </c>
      <c r="B474" s="6" t="str">
        <f>"邢谷毅"</f>
        <v>邢谷毅</v>
      </c>
      <c r="C474" s="6" t="str">
        <f>"男"</f>
        <v>男</v>
      </c>
      <c r="D474" s="6" t="str">
        <f>"1994-12-16"</f>
        <v>1994-12-16</v>
      </c>
      <c r="E474" s="6" t="str">
        <f t="shared" si="247"/>
        <v>本科</v>
      </c>
      <c r="F474" s="6" t="str">
        <f>"学士"</f>
        <v>学士</v>
      </c>
      <c r="G474" s="6" t="str">
        <f>"园林"</f>
        <v>园林</v>
      </c>
      <c r="H474" s="7" t="s">
        <v>9</v>
      </c>
    </row>
    <row r="475" spans="1:8" ht="15" customHeight="1">
      <c r="A475" s="5">
        <v>473</v>
      </c>
      <c r="B475" s="6" t="str">
        <f>"彭翠燕"</f>
        <v>彭翠燕</v>
      </c>
      <c r="C475" s="6" t="str">
        <f aca="true" t="shared" si="248" ref="C475:C480">"女"</f>
        <v>女</v>
      </c>
      <c r="D475" s="6" t="str">
        <f>"1999-10-02"</f>
        <v>1999-10-02</v>
      </c>
      <c r="E475" s="6" t="str">
        <f t="shared" si="247"/>
        <v>本科</v>
      </c>
      <c r="F475" s="6" t="str">
        <f aca="true" t="shared" si="249" ref="F475:F479">"管理学学士"</f>
        <v>管理学学士</v>
      </c>
      <c r="G475" s="6" t="str">
        <f>"信息管理与信息系统"</f>
        <v>信息管理与信息系统</v>
      </c>
      <c r="H475" s="7" t="s">
        <v>9</v>
      </c>
    </row>
    <row r="476" spans="1:8" ht="15" customHeight="1">
      <c r="A476" s="5">
        <v>474</v>
      </c>
      <c r="B476" s="6" t="str">
        <f>"李晓默"</f>
        <v>李晓默</v>
      </c>
      <c r="C476" s="6" t="str">
        <f t="shared" si="248"/>
        <v>女</v>
      </c>
      <c r="D476" s="6" t="str">
        <f>"1999-09-12"</f>
        <v>1999-09-12</v>
      </c>
      <c r="E476" s="6" t="str">
        <f t="shared" si="247"/>
        <v>本科</v>
      </c>
      <c r="F476" s="6" t="str">
        <f t="shared" si="249"/>
        <v>管理学学士</v>
      </c>
      <c r="G476" s="6" t="str">
        <f>"旅游管理"</f>
        <v>旅游管理</v>
      </c>
      <c r="H476" s="7" t="s">
        <v>9</v>
      </c>
    </row>
    <row r="477" spans="1:8" ht="15" customHeight="1">
      <c r="A477" s="5">
        <v>475</v>
      </c>
      <c r="B477" s="6" t="str">
        <f>"钟小碧"</f>
        <v>钟小碧</v>
      </c>
      <c r="C477" s="6" t="str">
        <f t="shared" si="248"/>
        <v>女</v>
      </c>
      <c r="D477" s="6" t="str">
        <f>"1993-07-09"</f>
        <v>1993-07-09</v>
      </c>
      <c r="E477" s="6" t="str">
        <f>"大学本科"</f>
        <v>大学本科</v>
      </c>
      <c r="F477" s="6" t="str">
        <f>"经济学学士"</f>
        <v>经济学学士</v>
      </c>
      <c r="G477" s="6" t="str">
        <f>"金融学"</f>
        <v>金融学</v>
      </c>
      <c r="H477" s="7" t="s">
        <v>9</v>
      </c>
    </row>
    <row r="478" spans="1:8" ht="15" customHeight="1">
      <c r="A478" s="5">
        <v>476</v>
      </c>
      <c r="B478" s="6" t="str">
        <f>"王秀菊"</f>
        <v>王秀菊</v>
      </c>
      <c r="C478" s="6" t="str">
        <f t="shared" si="248"/>
        <v>女</v>
      </c>
      <c r="D478" s="6" t="str">
        <f>"1996-02-06"</f>
        <v>1996-02-06</v>
      </c>
      <c r="E478" s="6" t="str">
        <f>"大学本科学历"</f>
        <v>大学本科学历</v>
      </c>
      <c r="F478" s="6" t="str">
        <f t="shared" si="249"/>
        <v>管理学学士</v>
      </c>
      <c r="G478" s="6" t="str">
        <f>"财务管理"</f>
        <v>财务管理</v>
      </c>
      <c r="H478" s="7" t="s">
        <v>9</v>
      </c>
    </row>
    <row r="479" spans="1:8" ht="15" customHeight="1">
      <c r="A479" s="5">
        <v>477</v>
      </c>
      <c r="B479" s="6" t="str">
        <f>"陈家慧"</f>
        <v>陈家慧</v>
      </c>
      <c r="C479" s="6" t="str">
        <f t="shared" si="248"/>
        <v>女</v>
      </c>
      <c r="D479" s="6" t="str">
        <f>"1999-12-27"</f>
        <v>1999-12-27</v>
      </c>
      <c r="E479" s="6" t="str">
        <f aca="true" t="shared" si="250" ref="E479:E484">"本科"</f>
        <v>本科</v>
      </c>
      <c r="F479" s="6" t="str">
        <f t="shared" si="249"/>
        <v>管理学学士</v>
      </c>
      <c r="G479" s="6" t="str">
        <f>"体育经济与管理"</f>
        <v>体育经济与管理</v>
      </c>
      <c r="H479" s="7" t="s">
        <v>9</v>
      </c>
    </row>
    <row r="480" spans="1:8" ht="15" customHeight="1">
      <c r="A480" s="5">
        <v>478</v>
      </c>
      <c r="B480" s="6" t="str">
        <f>"钟海玲"</f>
        <v>钟海玲</v>
      </c>
      <c r="C480" s="6" t="str">
        <f t="shared" si="248"/>
        <v>女</v>
      </c>
      <c r="D480" s="6" t="str">
        <f>"1992-11-05"</f>
        <v>1992-11-05</v>
      </c>
      <c r="E480" s="6" t="str">
        <f t="shared" si="250"/>
        <v>本科</v>
      </c>
      <c r="F480" s="6" t="str">
        <f aca="true" t="shared" si="251" ref="F480:F484">"工学学士"</f>
        <v>工学学士</v>
      </c>
      <c r="G480" s="6" t="str">
        <f>"人力资源管理"</f>
        <v>人力资源管理</v>
      </c>
      <c r="H480" s="7" t="s">
        <v>9</v>
      </c>
    </row>
    <row r="481" spans="1:8" ht="15" customHeight="1">
      <c r="A481" s="5">
        <v>479</v>
      </c>
      <c r="B481" s="6" t="str">
        <f>"方干臣"</f>
        <v>方干臣</v>
      </c>
      <c r="C481" s="6" t="str">
        <f>"男"</f>
        <v>男</v>
      </c>
      <c r="D481" s="6" t="str">
        <f>"1997-07-17"</f>
        <v>1997-07-17</v>
      </c>
      <c r="E481" s="6" t="str">
        <f t="shared" si="250"/>
        <v>本科</v>
      </c>
      <c r="F481" s="6" t="str">
        <f>"文学学士"</f>
        <v>文学学士</v>
      </c>
      <c r="G481" s="6" t="str">
        <f>"汉语言文学"</f>
        <v>汉语言文学</v>
      </c>
      <c r="H481" s="7" t="s">
        <v>9</v>
      </c>
    </row>
    <row r="482" spans="1:8" ht="15" customHeight="1">
      <c r="A482" s="5">
        <v>480</v>
      </c>
      <c r="B482" s="6" t="str">
        <f>"谢明健"</f>
        <v>谢明健</v>
      </c>
      <c r="C482" s="6" t="str">
        <f aca="true" t="shared" si="252" ref="C482:C485">"女"</f>
        <v>女</v>
      </c>
      <c r="D482" s="6" t="str">
        <f>"2000-09-12"</f>
        <v>2000-09-12</v>
      </c>
      <c r="E482" s="6" t="str">
        <f t="shared" si="250"/>
        <v>本科</v>
      </c>
      <c r="F482" s="6" t="str">
        <f>"农学学士"</f>
        <v>农学学士</v>
      </c>
      <c r="G482" s="6" t="str">
        <f>"野生动物与自然保护区管理"</f>
        <v>野生动物与自然保护区管理</v>
      </c>
      <c r="H482" s="7" t="s">
        <v>9</v>
      </c>
    </row>
    <row r="483" spans="1:8" ht="15" customHeight="1">
      <c r="A483" s="5">
        <v>481</v>
      </c>
      <c r="B483" s="6" t="str">
        <f>"刘小玉"</f>
        <v>刘小玉</v>
      </c>
      <c r="C483" s="6" t="str">
        <f t="shared" si="252"/>
        <v>女</v>
      </c>
      <c r="D483" s="6" t="str">
        <f>"1998-12-15"</f>
        <v>1998-12-15</v>
      </c>
      <c r="E483" s="6" t="str">
        <f t="shared" si="250"/>
        <v>本科</v>
      </c>
      <c r="F483" s="6" t="str">
        <f t="shared" si="251"/>
        <v>工学学士</v>
      </c>
      <c r="G483" s="6" t="str">
        <f>"工程管理"</f>
        <v>工程管理</v>
      </c>
      <c r="H483" s="7" t="s">
        <v>9</v>
      </c>
    </row>
    <row r="484" spans="1:8" ht="15" customHeight="1">
      <c r="A484" s="5">
        <v>482</v>
      </c>
      <c r="B484" s="6" t="str">
        <f>"王莹"</f>
        <v>王莹</v>
      </c>
      <c r="C484" s="6" t="str">
        <f t="shared" si="252"/>
        <v>女</v>
      </c>
      <c r="D484" s="6" t="str">
        <f>"1995-08-22"</f>
        <v>1995-08-22</v>
      </c>
      <c r="E484" s="6" t="str">
        <f t="shared" si="250"/>
        <v>本科</v>
      </c>
      <c r="F484" s="6" t="str">
        <f t="shared" si="251"/>
        <v>工学学士</v>
      </c>
      <c r="G484" s="6" t="str">
        <f>"物联网工程"</f>
        <v>物联网工程</v>
      </c>
      <c r="H484" s="7" t="s">
        <v>9</v>
      </c>
    </row>
    <row r="485" spans="1:8" ht="15" customHeight="1">
      <c r="A485" s="5">
        <v>483</v>
      </c>
      <c r="B485" s="6" t="str">
        <f>"李慧芹"</f>
        <v>李慧芹</v>
      </c>
      <c r="C485" s="6" t="str">
        <f t="shared" si="252"/>
        <v>女</v>
      </c>
      <c r="D485" s="6" t="str">
        <f>"1993-06-11"</f>
        <v>1993-06-11</v>
      </c>
      <c r="E485" s="6" t="str">
        <f>"大学本科"</f>
        <v>大学本科</v>
      </c>
      <c r="F485" s="6" t="str">
        <f aca="true" t="shared" si="253" ref="F485:F488">"管理学学士"</f>
        <v>管理学学士</v>
      </c>
      <c r="G485" s="6" t="str">
        <f>"工商管理"</f>
        <v>工商管理</v>
      </c>
      <c r="H485" s="7" t="s">
        <v>9</v>
      </c>
    </row>
    <row r="486" spans="1:8" ht="15" customHeight="1">
      <c r="A486" s="5">
        <v>484</v>
      </c>
      <c r="B486" s="6" t="str">
        <f>"文名"</f>
        <v>文名</v>
      </c>
      <c r="C486" s="6" t="str">
        <f>"男"</f>
        <v>男</v>
      </c>
      <c r="D486" s="6" t="str">
        <f>"1993-03-26"</f>
        <v>1993-03-26</v>
      </c>
      <c r="E486" s="6" t="str">
        <f aca="true" t="shared" si="254" ref="E486:E493">"本科"</f>
        <v>本科</v>
      </c>
      <c r="F486" s="6" t="str">
        <f>"管理学位"</f>
        <v>管理学位</v>
      </c>
      <c r="G486" s="6" t="str">
        <f>"工程管理"</f>
        <v>工程管理</v>
      </c>
      <c r="H486" s="7" t="s">
        <v>9</v>
      </c>
    </row>
    <row r="487" spans="1:8" ht="15" customHeight="1">
      <c r="A487" s="5">
        <v>485</v>
      </c>
      <c r="B487" s="6" t="str">
        <f>"邢雅韵"</f>
        <v>邢雅韵</v>
      </c>
      <c r="C487" s="6" t="str">
        <f aca="true" t="shared" si="255" ref="C487:C498">"女"</f>
        <v>女</v>
      </c>
      <c r="D487" s="6" t="str">
        <f>"1995-10-20"</f>
        <v>1995-10-20</v>
      </c>
      <c r="E487" s="6" t="str">
        <f t="shared" si="254"/>
        <v>本科</v>
      </c>
      <c r="F487" s="6" t="str">
        <f t="shared" si="253"/>
        <v>管理学学士</v>
      </c>
      <c r="G487" s="6" t="str">
        <f>"财务管理"</f>
        <v>财务管理</v>
      </c>
      <c r="H487" s="7" t="s">
        <v>9</v>
      </c>
    </row>
    <row r="488" spans="1:8" ht="15" customHeight="1">
      <c r="A488" s="5">
        <v>486</v>
      </c>
      <c r="B488" s="6" t="str">
        <f>"王小雨"</f>
        <v>王小雨</v>
      </c>
      <c r="C488" s="6" t="str">
        <f t="shared" si="255"/>
        <v>女</v>
      </c>
      <c r="D488" s="6" t="str">
        <f>"1997-11-09"</f>
        <v>1997-11-09</v>
      </c>
      <c r="E488" s="6" t="str">
        <f>"大学本科"</f>
        <v>大学本科</v>
      </c>
      <c r="F488" s="6" t="str">
        <f t="shared" si="253"/>
        <v>管理学学士</v>
      </c>
      <c r="G488" s="6" t="str">
        <f>"工商管理"</f>
        <v>工商管理</v>
      </c>
      <c r="H488" s="7" t="s">
        <v>9</v>
      </c>
    </row>
    <row r="489" spans="1:8" ht="15" customHeight="1">
      <c r="A489" s="5">
        <v>487</v>
      </c>
      <c r="B489" s="6" t="str">
        <f>"吉训卿"</f>
        <v>吉训卿</v>
      </c>
      <c r="C489" s="6" t="str">
        <f t="shared" si="255"/>
        <v>女</v>
      </c>
      <c r="D489" s="6" t="str">
        <f>"1999-11-15"</f>
        <v>1999-11-15</v>
      </c>
      <c r="E489" s="6" t="str">
        <f t="shared" si="254"/>
        <v>本科</v>
      </c>
      <c r="F489" s="6" t="str">
        <f>"学士学位"</f>
        <v>学士学位</v>
      </c>
      <c r="G489" s="6" t="str">
        <f>"汉语言文学"</f>
        <v>汉语言文学</v>
      </c>
      <c r="H489" s="7" t="s">
        <v>9</v>
      </c>
    </row>
    <row r="490" spans="1:8" ht="15" customHeight="1">
      <c r="A490" s="5">
        <v>488</v>
      </c>
      <c r="B490" s="6" t="str">
        <f>"何应焕"</f>
        <v>何应焕</v>
      </c>
      <c r="C490" s="6" t="str">
        <f t="shared" si="255"/>
        <v>女</v>
      </c>
      <c r="D490" s="6" t="str">
        <f>"1991-12-18"</f>
        <v>1991-12-18</v>
      </c>
      <c r="E490" s="6" t="str">
        <f t="shared" si="254"/>
        <v>本科</v>
      </c>
      <c r="F490" s="6" t="str">
        <f>"经济学学士"</f>
        <v>经济学学士</v>
      </c>
      <c r="G490" s="6" t="str">
        <f>"国际经济与贸易"</f>
        <v>国际经济与贸易</v>
      </c>
      <c r="H490" s="7" t="s">
        <v>9</v>
      </c>
    </row>
    <row r="491" spans="1:8" ht="15" customHeight="1">
      <c r="A491" s="5">
        <v>489</v>
      </c>
      <c r="B491" s="6" t="str">
        <f>"李颖颖"</f>
        <v>李颖颖</v>
      </c>
      <c r="C491" s="6" t="str">
        <f t="shared" si="255"/>
        <v>女</v>
      </c>
      <c r="D491" s="6" t="str">
        <f>"1993-03-19"</f>
        <v>1993-03-19</v>
      </c>
      <c r="E491" s="6" t="str">
        <f t="shared" si="254"/>
        <v>本科</v>
      </c>
      <c r="F491" s="6" t="str">
        <f>"文学学士"</f>
        <v>文学学士</v>
      </c>
      <c r="G491" s="6" t="str">
        <f>"对外汉语"</f>
        <v>对外汉语</v>
      </c>
      <c r="H491" s="7" t="s">
        <v>9</v>
      </c>
    </row>
    <row r="492" spans="1:8" ht="15" customHeight="1">
      <c r="A492" s="5">
        <v>490</v>
      </c>
      <c r="B492" s="6" t="str">
        <f>"张涵钰"</f>
        <v>张涵钰</v>
      </c>
      <c r="C492" s="6" t="str">
        <f t="shared" si="255"/>
        <v>女</v>
      </c>
      <c r="D492" s="6" t="str">
        <f>"1998-08-14"</f>
        <v>1998-08-14</v>
      </c>
      <c r="E492" s="6" t="str">
        <f t="shared" si="254"/>
        <v>本科</v>
      </c>
      <c r="F492" s="6" t="str">
        <f>"管理学学士学位"</f>
        <v>管理学学士学位</v>
      </c>
      <c r="G492" s="6" t="str">
        <f>"会计学"</f>
        <v>会计学</v>
      </c>
      <c r="H492" s="7" t="s">
        <v>9</v>
      </c>
    </row>
    <row r="493" spans="1:8" ht="15" customHeight="1">
      <c r="A493" s="5">
        <v>491</v>
      </c>
      <c r="B493" s="6" t="str">
        <f>"羊萍"</f>
        <v>羊萍</v>
      </c>
      <c r="C493" s="6" t="str">
        <f t="shared" si="255"/>
        <v>女</v>
      </c>
      <c r="D493" s="6" t="str">
        <f>"1997-11-10"</f>
        <v>1997-11-10</v>
      </c>
      <c r="E493" s="6" t="str">
        <f t="shared" si="254"/>
        <v>本科</v>
      </c>
      <c r="F493" s="6" t="str">
        <f>"学士"</f>
        <v>学士</v>
      </c>
      <c r="G493" s="6" t="str">
        <f>"劳动与社会保障"</f>
        <v>劳动与社会保障</v>
      </c>
      <c r="H493" s="7" t="s">
        <v>9</v>
      </c>
    </row>
    <row r="494" spans="1:8" ht="15" customHeight="1">
      <c r="A494" s="5">
        <v>492</v>
      </c>
      <c r="B494" s="6" t="str">
        <f>"胡小莲"</f>
        <v>胡小莲</v>
      </c>
      <c r="C494" s="6" t="str">
        <f t="shared" si="255"/>
        <v>女</v>
      </c>
      <c r="D494" s="6" t="str">
        <f>"1994-06-29"</f>
        <v>1994-06-29</v>
      </c>
      <c r="E494" s="6" t="str">
        <f>"大学本科"</f>
        <v>大学本科</v>
      </c>
      <c r="F494" s="6" t="str">
        <f>"农学学士"</f>
        <v>农学学士</v>
      </c>
      <c r="G494" s="6" t="str">
        <f>"园艺"</f>
        <v>园艺</v>
      </c>
      <c r="H494" s="7" t="s">
        <v>9</v>
      </c>
    </row>
    <row r="495" spans="1:8" ht="15" customHeight="1">
      <c r="A495" s="5">
        <v>493</v>
      </c>
      <c r="B495" s="6" t="str">
        <f>"张琪英"</f>
        <v>张琪英</v>
      </c>
      <c r="C495" s="6" t="str">
        <f t="shared" si="255"/>
        <v>女</v>
      </c>
      <c r="D495" s="6" t="str">
        <f>"1995-08-09"</f>
        <v>1995-08-09</v>
      </c>
      <c r="E495" s="6" t="str">
        <f aca="true" t="shared" si="256" ref="E495:E498">"本科"</f>
        <v>本科</v>
      </c>
      <c r="F495" s="6" t="str">
        <f>"管理学学士"</f>
        <v>管理学学士</v>
      </c>
      <c r="G495" s="6" t="str">
        <f>"工商管理"</f>
        <v>工商管理</v>
      </c>
      <c r="H495" s="7" t="s">
        <v>9</v>
      </c>
    </row>
    <row r="496" spans="1:8" ht="15" customHeight="1">
      <c r="A496" s="5">
        <v>494</v>
      </c>
      <c r="B496" s="6" t="str">
        <f>"张达鹤"</f>
        <v>张达鹤</v>
      </c>
      <c r="C496" s="6" t="str">
        <f t="shared" si="255"/>
        <v>女</v>
      </c>
      <c r="D496" s="6" t="str">
        <f>"1992-05-14"</f>
        <v>1992-05-14</v>
      </c>
      <c r="E496" s="6" t="str">
        <f t="shared" si="256"/>
        <v>本科</v>
      </c>
      <c r="F496" s="6" t="str">
        <f>"农学学士"</f>
        <v>农学学士</v>
      </c>
      <c r="G496" s="6" t="str">
        <f>"园艺"</f>
        <v>园艺</v>
      </c>
      <c r="H496" s="7" t="s">
        <v>9</v>
      </c>
    </row>
    <row r="497" spans="1:8" ht="15" customHeight="1">
      <c r="A497" s="5">
        <v>495</v>
      </c>
      <c r="B497" s="6" t="str">
        <f>"郑琳"</f>
        <v>郑琳</v>
      </c>
      <c r="C497" s="6" t="str">
        <f t="shared" si="255"/>
        <v>女</v>
      </c>
      <c r="D497" s="6" t="str">
        <f>"1998-04-11"</f>
        <v>1998-04-11</v>
      </c>
      <c r="E497" s="6" t="str">
        <f t="shared" si="256"/>
        <v>本科</v>
      </c>
      <c r="F497" s="6" t="str">
        <f>"学士"</f>
        <v>学士</v>
      </c>
      <c r="G497" s="6" t="str">
        <f>"财务管理"</f>
        <v>财务管理</v>
      </c>
      <c r="H497" s="7" t="s">
        <v>9</v>
      </c>
    </row>
    <row r="498" spans="1:8" ht="15" customHeight="1">
      <c r="A498" s="5">
        <v>496</v>
      </c>
      <c r="B498" s="6" t="str">
        <f>"曾学香"</f>
        <v>曾学香</v>
      </c>
      <c r="C498" s="6" t="str">
        <f t="shared" si="255"/>
        <v>女</v>
      </c>
      <c r="D498" s="6" t="str">
        <f>"1992-10-05"</f>
        <v>1992-10-05</v>
      </c>
      <c r="E498" s="6" t="str">
        <f t="shared" si="256"/>
        <v>本科</v>
      </c>
      <c r="F498" s="6" t="str">
        <f>"学士学位"</f>
        <v>学士学位</v>
      </c>
      <c r="G498" s="6" t="str">
        <f>"计算机科学与技术"</f>
        <v>计算机科学与技术</v>
      </c>
      <c r="H498" s="7" t="s">
        <v>9</v>
      </c>
    </row>
    <row r="499" spans="1:8" ht="15" customHeight="1">
      <c r="A499" s="5">
        <v>497</v>
      </c>
      <c r="B499" s="6" t="str">
        <f>"吉训国"</f>
        <v>吉训国</v>
      </c>
      <c r="C499" s="6" t="str">
        <f aca="true" t="shared" si="257" ref="C499:C501">"男"</f>
        <v>男</v>
      </c>
      <c r="D499" s="6" t="str">
        <f>"1988-09-08"</f>
        <v>1988-09-08</v>
      </c>
      <c r="E499" s="6" t="str">
        <f>"大学本科"</f>
        <v>大学本科</v>
      </c>
      <c r="F499" s="6" t="str">
        <f>"工学学士"</f>
        <v>工学学士</v>
      </c>
      <c r="G499" s="6" t="str">
        <f>"环境工程"</f>
        <v>环境工程</v>
      </c>
      <c r="H499" s="7" t="s">
        <v>9</v>
      </c>
    </row>
    <row r="500" spans="1:8" ht="15" customHeight="1">
      <c r="A500" s="5">
        <v>498</v>
      </c>
      <c r="B500" s="6" t="str">
        <f>"赵海博"</f>
        <v>赵海博</v>
      </c>
      <c r="C500" s="6" t="str">
        <f t="shared" si="257"/>
        <v>男</v>
      </c>
      <c r="D500" s="6" t="str">
        <f>"1995-08-13"</f>
        <v>1995-08-13</v>
      </c>
      <c r="E500" s="6" t="str">
        <f aca="true" t="shared" si="258" ref="E500:E502">"本科"</f>
        <v>本科</v>
      </c>
      <c r="F500" s="6" t="str">
        <f aca="true" t="shared" si="259" ref="F500:F504">"管理学学士"</f>
        <v>管理学学士</v>
      </c>
      <c r="G500" s="6" t="str">
        <f>"市场营销"</f>
        <v>市场营销</v>
      </c>
      <c r="H500" s="7" t="s">
        <v>9</v>
      </c>
    </row>
    <row r="501" spans="1:8" ht="15" customHeight="1">
      <c r="A501" s="5">
        <v>499</v>
      </c>
      <c r="B501" s="6" t="str">
        <f>"蔡仁发"</f>
        <v>蔡仁发</v>
      </c>
      <c r="C501" s="6" t="str">
        <f t="shared" si="257"/>
        <v>男</v>
      </c>
      <c r="D501" s="6" t="str">
        <f>"1999-08-18"</f>
        <v>1999-08-18</v>
      </c>
      <c r="E501" s="6" t="str">
        <f t="shared" si="258"/>
        <v>本科</v>
      </c>
      <c r="F501" s="6" t="str">
        <f>"理学学士"</f>
        <v>理学学士</v>
      </c>
      <c r="G501" s="6" t="str">
        <f>"环境科学"</f>
        <v>环境科学</v>
      </c>
      <c r="H501" s="7" t="s">
        <v>9</v>
      </c>
    </row>
    <row r="502" spans="1:8" ht="15" customHeight="1">
      <c r="A502" s="5">
        <v>500</v>
      </c>
      <c r="B502" s="6" t="str">
        <f>"冯洁莹"</f>
        <v>冯洁莹</v>
      </c>
      <c r="C502" s="6" t="str">
        <f aca="true" t="shared" si="260" ref="C502:C504">"女"</f>
        <v>女</v>
      </c>
      <c r="D502" s="6" t="str">
        <f>"1999-12-10"</f>
        <v>1999-12-10</v>
      </c>
      <c r="E502" s="6" t="str">
        <f t="shared" si="258"/>
        <v>本科</v>
      </c>
      <c r="F502" s="6" t="str">
        <f t="shared" si="259"/>
        <v>管理学学士</v>
      </c>
      <c r="G502" s="6" t="str">
        <f>"会计学"</f>
        <v>会计学</v>
      </c>
      <c r="H502" s="7" t="s">
        <v>9</v>
      </c>
    </row>
    <row r="503" spans="1:8" ht="15" customHeight="1">
      <c r="A503" s="5">
        <v>501</v>
      </c>
      <c r="B503" s="6" t="str">
        <f>"李菁菁"</f>
        <v>李菁菁</v>
      </c>
      <c r="C503" s="6" t="str">
        <f t="shared" si="260"/>
        <v>女</v>
      </c>
      <c r="D503" s="6" t="str">
        <f>"1999-05-26"</f>
        <v>1999-05-26</v>
      </c>
      <c r="E503" s="6" t="str">
        <f>"大学本科学历"</f>
        <v>大学本科学历</v>
      </c>
      <c r="F503" s="6" t="str">
        <f t="shared" si="259"/>
        <v>管理学学士</v>
      </c>
      <c r="G503" s="6" t="str">
        <f>"物流管理"</f>
        <v>物流管理</v>
      </c>
      <c r="H503" s="7" t="s">
        <v>9</v>
      </c>
    </row>
    <row r="504" spans="1:8" ht="15" customHeight="1">
      <c r="A504" s="5">
        <v>502</v>
      </c>
      <c r="B504" s="6" t="str">
        <f>"李微"</f>
        <v>李微</v>
      </c>
      <c r="C504" s="6" t="str">
        <f t="shared" si="260"/>
        <v>女</v>
      </c>
      <c r="D504" s="6" t="str">
        <f>"1996-10-09"</f>
        <v>1996-10-09</v>
      </c>
      <c r="E504" s="6" t="str">
        <f>"本科"</f>
        <v>本科</v>
      </c>
      <c r="F504" s="6" t="str">
        <f t="shared" si="259"/>
        <v>管理学学士</v>
      </c>
      <c r="G504" s="6" t="str">
        <f>"公共事业管理"</f>
        <v>公共事业管理</v>
      </c>
      <c r="H504" s="7" t="s">
        <v>9</v>
      </c>
    </row>
    <row r="505" spans="1:8" ht="15" customHeight="1">
      <c r="A505" s="5">
        <v>503</v>
      </c>
      <c r="B505" s="6" t="str">
        <f>"董国帅"</f>
        <v>董国帅</v>
      </c>
      <c r="C505" s="6" t="str">
        <f aca="true" t="shared" si="261" ref="C505:C510">"男"</f>
        <v>男</v>
      </c>
      <c r="D505" s="6" t="str">
        <f>"2000-03-03"</f>
        <v>2000-03-03</v>
      </c>
      <c r="E505" s="6" t="str">
        <f aca="true" t="shared" si="262" ref="E505:E507">"大学本科"</f>
        <v>大学本科</v>
      </c>
      <c r="F505" s="6" t="str">
        <f>"农学学士"</f>
        <v>农学学士</v>
      </c>
      <c r="G505" s="6" t="str">
        <f>"植物保护"</f>
        <v>植物保护</v>
      </c>
      <c r="H505" s="7" t="s">
        <v>9</v>
      </c>
    </row>
    <row r="506" spans="1:8" ht="15" customHeight="1">
      <c r="A506" s="5">
        <v>504</v>
      </c>
      <c r="B506" s="6" t="str">
        <f>"刘美珍"</f>
        <v>刘美珍</v>
      </c>
      <c r="C506" s="6" t="str">
        <f aca="true" t="shared" si="263" ref="C506:C509">"女"</f>
        <v>女</v>
      </c>
      <c r="D506" s="6" t="str">
        <f>"1991-08-05"</f>
        <v>1991-08-05</v>
      </c>
      <c r="E506" s="6" t="str">
        <f t="shared" si="262"/>
        <v>大学本科</v>
      </c>
      <c r="F506" s="6" t="str">
        <f>"理学学士"</f>
        <v>理学学士</v>
      </c>
      <c r="G506" s="6" t="str">
        <f>"资源环境与城乡规划管理（旅游开发与管理）"</f>
        <v>资源环境与城乡规划管理（旅游开发与管理）</v>
      </c>
      <c r="H506" s="7" t="s">
        <v>9</v>
      </c>
    </row>
    <row r="507" spans="1:8" ht="15" customHeight="1">
      <c r="A507" s="5">
        <v>505</v>
      </c>
      <c r="B507" s="6" t="str">
        <f>"洪觉夏"</f>
        <v>洪觉夏</v>
      </c>
      <c r="C507" s="6" t="str">
        <f t="shared" si="263"/>
        <v>女</v>
      </c>
      <c r="D507" s="6" t="str">
        <f>"2002-12-30"</f>
        <v>2002-12-30</v>
      </c>
      <c r="E507" s="6" t="str">
        <f t="shared" si="262"/>
        <v>大学本科</v>
      </c>
      <c r="F507" s="6" t="str">
        <f>"文学学士"</f>
        <v>文学学士</v>
      </c>
      <c r="G507" s="6" t="str">
        <f>"汉语言文学（师范)"</f>
        <v>汉语言文学（师范)</v>
      </c>
      <c r="H507" s="7" t="s">
        <v>9</v>
      </c>
    </row>
    <row r="508" spans="1:8" ht="15" customHeight="1">
      <c r="A508" s="5">
        <v>506</v>
      </c>
      <c r="B508" s="6" t="str">
        <f>"王赞章"</f>
        <v>王赞章</v>
      </c>
      <c r="C508" s="6" t="str">
        <f t="shared" si="261"/>
        <v>男</v>
      </c>
      <c r="D508" s="6" t="str">
        <f>"1989-10-01"</f>
        <v>1989-10-01</v>
      </c>
      <c r="E508" s="6" t="str">
        <f>"本科"</f>
        <v>本科</v>
      </c>
      <c r="F508" s="6" t="str">
        <f>"学士学位"</f>
        <v>学士学位</v>
      </c>
      <c r="G508" s="6" t="str">
        <f>"网络工程"</f>
        <v>网络工程</v>
      </c>
      <c r="H508" s="7" t="s">
        <v>9</v>
      </c>
    </row>
    <row r="509" spans="1:8" ht="15" customHeight="1">
      <c r="A509" s="5">
        <v>507</v>
      </c>
      <c r="B509" s="6" t="str">
        <f>"张登菱"</f>
        <v>张登菱</v>
      </c>
      <c r="C509" s="6" t="str">
        <f t="shared" si="263"/>
        <v>女</v>
      </c>
      <c r="D509" s="6" t="str">
        <f>"1995-02-05"</f>
        <v>1995-02-05</v>
      </c>
      <c r="E509" s="6" t="str">
        <f aca="true" t="shared" si="264" ref="E509:E513">"大学本科"</f>
        <v>大学本科</v>
      </c>
      <c r="F509" s="6" t="str">
        <f>"经济学学学士"</f>
        <v>经济学学学士</v>
      </c>
      <c r="G509" s="6" t="str">
        <f>"经济学"</f>
        <v>经济学</v>
      </c>
      <c r="H509" s="7" t="s">
        <v>9</v>
      </c>
    </row>
    <row r="510" spans="1:8" ht="15" customHeight="1">
      <c r="A510" s="5">
        <v>508</v>
      </c>
      <c r="B510" s="6" t="str">
        <f>"文齐麟"</f>
        <v>文齐麟</v>
      </c>
      <c r="C510" s="6" t="str">
        <f t="shared" si="261"/>
        <v>男</v>
      </c>
      <c r="D510" s="6" t="str">
        <f>"1996-08-07"</f>
        <v>1996-08-07</v>
      </c>
      <c r="E510" s="6" t="str">
        <f>"大学本科学历"</f>
        <v>大学本科学历</v>
      </c>
      <c r="F510" s="6" t="str">
        <f>"工学学士"</f>
        <v>工学学士</v>
      </c>
      <c r="G510" s="6" t="str">
        <f>"计算机科学与技术"</f>
        <v>计算机科学与技术</v>
      </c>
      <c r="H510" s="7" t="s">
        <v>9</v>
      </c>
    </row>
    <row r="511" spans="1:8" ht="15" customHeight="1">
      <c r="A511" s="5">
        <v>509</v>
      </c>
      <c r="B511" s="6" t="str">
        <f>"王梅妹"</f>
        <v>王梅妹</v>
      </c>
      <c r="C511" s="6" t="str">
        <f aca="true" t="shared" si="265" ref="C511:C515">"女"</f>
        <v>女</v>
      </c>
      <c r="D511" s="6" t="str">
        <f>"1996-04-24"</f>
        <v>1996-04-24</v>
      </c>
      <c r="E511" s="6" t="str">
        <f>"大学本科  "</f>
        <v>大学本科  </v>
      </c>
      <c r="F511" s="6" t="str">
        <f aca="true" t="shared" si="266" ref="F511:F515">"管理学学士"</f>
        <v>管理学学士</v>
      </c>
      <c r="G511" s="6" t="str">
        <f>"审计学"</f>
        <v>审计学</v>
      </c>
      <c r="H511" s="7" t="s">
        <v>9</v>
      </c>
    </row>
    <row r="512" spans="1:8" ht="15" customHeight="1">
      <c r="A512" s="5">
        <v>510</v>
      </c>
      <c r="B512" s="6" t="str">
        <f>"梁丹燕"</f>
        <v>梁丹燕</v>
      </c>
      <c r="C512" s="6" t="str">
        <f t="shared" si="265"/>
        <v>女</v>
      </c>
      <c r="D512" s="6" t="str">
        <f>"1995-04-22"</f>
        <v>1995-04-22</v>
      </c>
      <c r="E512" s="6" t="str">
        <f t="shared" si="264"/>
        <v>大学本科</v>
      </c>
      <c r="F512" s="6" t="str">
        <f>"文学学士学位"</f>
        <v>文学学士学位</v>
      </c>
      <c r="G512" s="6" t="str">
        <f>"新闻学"</f>
        <v>新闻学</v>
      </c>
      <c r="H512" s="7" t="s">
        <v>9</v>
      </c>
    </row>
    <row r="513" spans="1:8" ht="15" customHeight="1">
      <c r="A513" s="5">
        <v>511</v>
      </c>
      <c r="B513" s="6" t="str">
        <f>"谢启玲"</f>
        <v>谢启玲</v>
      </c>
      <c r="C513" s="6" t="str">
        <f t="shared" si="265"/>
        <v>女</v>
      </c>
      <c r="D513" s="6" t="str">
        <f>"2000-04-01"</f>
        <v>2000-04-01</v>
      </c>
      <c r="E513" s="6" t="str">
        <f t="shared" si="264"/>
        <v>大学本科</v>
      </c>
      <c r="F513" s="6" t="str">
        <f t="shared" si="266"/>
        <v>管理学学士</v>
      </c>
      <c r="G513" s="6" t="str">
        <f>"旅游管理"</f>
        <v>旅游管理</v>
      </c>
      <c r="H513" s="7" t="s">
        <v>9</v>
      </c>
    </row>
    <row r="514" spans="1:8" ht="15" customHeight="1">
      <c r="A514" s="5">
        <v>512</v>
      </c>
      <c r="B514" s="6" t="str">
        <f>"林彩虹"</f>
        <v>林彩虹</v>
      </c>
      <c r="C514" s="6" t="str">
        <f t="shared" si="265"/>
        <v>女</v>
      </c>
      <c r="D514" s="6" t="str">
        <f>"1994-04-15"</f>
        <v>1994-04-15</v>
      </c>
      <c r="E514" s="6" t="str">
        <f>"大学本科学历"</f>
        <v>大学本科学历</v>
      </c>
      <c r="F514" s="6" t="str">
        <f t="shared" si="266"/>
        <v>管理学学士</v>
      </c>
      <c r="G514" s="6" t="str">
        <f>"会计学"</f>
        <v>会计学</v>
      </c>
      <c r="H514" s="7" t="s">
        <v>9</v>
      </c>
    </row>
    <row r="515" spans="1:8" ht="15" customHeight="1">
      <c r="A515" s="5">
        <v>513</v>
      </c>
      <c r="B515" s="6" t="str">
        <f>"李文晶"</f>
        <v>李文晶</v>
      </c>
      <c r="C515" s="6" t="str">
        <f t="shared" si="265"/>
        <v>女</v>
      </c>
      <c r="D515" s="6" t="str">
        <f>"1999-10-01"</f>
        <v>1999-10-01</v>
      </c>
      <c r="E515" s="6" t="str">
        <f aca="true" t="shared" si="267" ref="E515:E517">"本科"</f>
        <v>本科</v>
      </c>
      <c r="F515" s="6" t="str">
        <f t="shared" si="266"/>
        <v>管理学学士</v>
      </c>
      <c r="G515" s="6" t="str">
        <f>"会计学"</f>
        <v>会计学</v>
      </c>
      <c r="H515" s="7" t="s">
        <v>9</v>
      </c>
    </row>
    <row r="516" spans="1:8" ht="15" customHeight="1">
      <c r="A516" s="5">
        <v>514</v>
      </c>
      <c r="B516" s="6" t="str">
        <f>"陆飞"</f>
        <v>陆飞</v>
      </c>
      <c r="C516" s="6" t="str">
        <f aca="true" t="shared" si="268" ref="C516:C521">"男"</f>
        <v>男</v>
      </c>
      <c r="D516" s="6" t="str">
        <f>"1995-12-20"</f>
        <v>1995-12-20</v>
      </c>
      <c r="E516" s="6" t="str">
        <f t="shared" si="267"/>
        <v>本科</v>
      </c>
      <c r="F516" s="6" t="str">
        <f>"工学学士"</f>
        <v>工学学士</v>
      </c>
      <c r="G516" s="6" t="str">
        <f>"土木工程"</f>
        <v>土木工程</v>
      </c>
      <c r="H516" s="7" t="s">
        <v>9</v>
      </c>
    </row>
    <row r="517" spans="1:8" ht="15" customHeight="1">
      <c r="A517" s="5">
        <v>515</v>
      </c>
      <c r="B517" s="6" t="str">
        <f>"吉雪娜"</f>
        <v>吉雪娜</v>
      </c>
      <c r="C517" s="6" t="str">
        <f aca="true" t="shared" si="269" ref="C517:C523">"女"</f>
        <v>女</v>
      </c>
      <c r="D517" s="6" t="str">
        <f>"1997-05-11"</f>
        <v>1997-05-11</v>
      </c>
      <c r="E517" s="6" t="str">
        <f t="shared" si="267"/>
        <v>本科</v>
      </c>
      <c r="F517" s="6" t="str">
        <f aca="true" t="shared" si="270" ref="F517:F520">"管理学学士"</f>
        <v>管理学学士</v>
      </c>
      <c r="G517" s="6" t="str">
        <f>"公共事业管理"</f>
        <v>公共事业管理</v>
      </c>
      <c r="H517" s="7" t="s">
        <v>9</v>
      </c>
    </row>
    <row r="518" spans="1:8" ht="15" customHeight="1">
      <c r="A518" s="5">
        <v>516</v>
      </c>
      <c r="B518" s="6" t="str">
        <f>"何金菊"</f>
        <v>何金菊</v>
      </c>
      <c r="C518" s="6" t="str">
        <f t="shared" si="269"/>
        <v>女</v>
      </c>
      <c r="D518" s="6" t="str">
        <f>"1997-06-13"</f>
        <v>1997-06-13</v>
      </c>
      <c r="E518" s="6" t="str">
        <f>"本科  学士"</f>
        <v>本科  学士</v>
      </c>
      <c r="F518" s="6" t="str">
        <f t="shared" si="270"/>
        <v>管理学学士</v>
      </c>
      <c r="G518" s="6" t="str">
        <f>"审计学"</f>
        <v>审计学</v>
      </c>
      <c r="H518" s="7" t="s">
        <v>9</v>
      </c>
    </row>
    <row r="519" spans="1:8" ht="15" customHeight="1">
      <c r="A519" s="5">
        <v>517</v>
      </c>
      <c r="B519" s="6" t="str">
        <f>"黄恺迪"</f>
        <v>黄恺迪</v>
      </c>
      <c r="C519" s="6" t="str">
        <f t="shared" si="268"/>
        <v>男</v>
      </c>
      <c r="D519" s="6" t="str">
        <f>"1994-02-07"</f>
        <v>1994-02-07</v>
      </c>
      <c r="E519" s="6" t="str">
        <f aca="true" t="shared" si="271" ref="E519:E522">"大学本科"</f>
        <v>大学本科</v>
      </c>
      <c r="F519" s="6" t="str">
        <f>"经济学学士学位"</f>
        <v>经济学学士学位</v>
      </c>
      <c r="G519" s="6" t="str">
        <f>"经济学"</f>
        <v>经济学</v>
      </c>
      <c r="H519" s="7" t="s">
        <v>9</v>
      </c>
    </row>
    <row r="520" spans="1:8" ht="15" customHeight="1">
      <c r="A520" s="5">
        <v>518</v>
      </c>
      <c r="B520" s="6" t="str">
        <f>"蔡於旺"</f>
        <v>蔡於旺</v>
      </c>
      <c r="C520" s="6" t="str">
        <f t="shared" si="268"/>
        <v>男</v>
      </c>
      <c r="D520" s="6" t="str">
        <f>"1999-02-28"</f>
        <v>1999-02-28</v>
      </c>
      <c r="E520" s="6" t="str">
        <f aca="true" t="shared" si="272" ref="E520:E525">"本科"</f>
        <v>本科</v>
      </c>
      <c r="F520" s="6" t="str">
        <f t="shared" si="270"/>
        <v>管理学学士</v>
      </c>
      <c r="G520" s="6" t="str">
        <f>"行政管理"</f>
        <v>行政管理</v>
      </c>
      <c r="H520" s="7" t="s">
        <v>9</v>
      </c>
    </row>
    <row r="521" spans="1:8" ht="15" customHeight="1">
      <c r="A521" s="5">
        <v>519</v>
      </c>
      <c r="B521" s="6" t="str">
        <f>"洪增文"</f>
        <v>洪增文</v>
      </c>
      <c r="C521" s="6" t="str">
        <f t="shared" si="268"/>
        <v>男</v>
      </c>
      <c r="D521" s="6" t="str">
        <f>"2000-03-05"</f>
        <v>2000-03-05</v>
      </c>
      <c r="E521" s="6" t="str">
        <f t="shared" si="271"/>
        <v>大学本科</v>
      </c>
      <c r="F521" s="6" t="str">
        <f>"工学学士"</f>
        <v>工学学士</v>
      </c>
      <c r="G521" s="6" t="str">
        <f>"计算机科学与技术"</f>
        <v>计算机科学与技术</v>
      </c>
      <c r="H521" s="7" t="s">
        <v>9</v>
      </c>
    </row>
    <row r="522" spans="1:8" ht="15" customHeight="1">
      <c r="A522" s="5">
        <v>520</v>
      </c>
      <c r="B522" s="6" t="str">
        <f>"陈华玲"</f>
        <v>陈华玲</v>
      </c>
      <c r="C522" s="6" t="str">
        <f t="shared" si="269"/>
        <v>女</v>
      </c>
      <c r="D522" s="6" t="str">
        <f>"1996-12-26"</f>
        <v>1996-12-26</v>
      </c>
      <c r="E522" s="6" t="str">
        <f t="shared" si="271"/>
        <v>大学本科</v>
      </c>
      <c r="F522" s="6" t="str">
        <f>"管理学学士学位"</f>
        <v>管理学学士学位</v>
      </c>
      <c r="G522" s="6" t="str">
        <f>"财务管理"</f>
        <v>财务管理</v>
      </c>
      <c r="H522" s="7" t="s">
        <v>9</v>
      </c>
    </row>
    <row r="523" spans="1:8" ht="15" customHeight="1">
      <c r="A523" s="5">
        <v>521</v>
      </c>
      <c r="B523" s="6" t="str">
        <f>"李喜月"</f>
        <v>李喜月</v>
      </c>
      <c r="C523" s="6" t="str">
        <f t="shared" si="269"/>
        <v>女</v>
      </c>
      <c r="D523" s="6" t="str">
        <f>"1999-06-23"</f>
        <v>1999-06-23</v>
      </c>
      <c r="E523" s="6" t="str">
        <f t="shared" si="272"/>
        <v>本科</v>
      </c>
      <c r="F523" s="6" t="str">
        <f>"学士学位"</f>
        <v>学士学位</v>
      </c>
      <c r="G523" s="6" t="str">
        <f>"风景园林（园林工程技术方向）"</f>
        <v>风景园林（园林工程技术方向）</v>
      </c>
      <c r="H523" s="7" t="s">
        <v>9</v>
      </c>
    </row>
    <row r="524" spans="1:8" ht="15" customHeight="1">
      <c r="A524" s="5">
        <v>522</v>
      </c>
      <c r="B524" s="6" t="str">
        <f>"符晓达"</f>
        <v>符晓达</v>
      </c>
      <c r="C524" s="6" t="str">
        <f>"男"</f>
        <v>男</v>
      </c>
      <c r="D524" s="6" t="str">
        <f>"1996-01-02"</f>
        <v>1996-01-02</v>
      </c>
      <c r="E524" s="6" t="str">
        <f t="shared" si="272"/>
        <v>本科</v>
      </c>
      <c r="F524" s="6" t="str">
        <f aca="true" t="shared" si="273" ref="F524:F529">"管理学学士"</f>
        <v>管理学学士</v>
      </c>
      <c r="G524" s="6" t="str">
        <f aca="true" t="shared" si="274" ref="G524:G529">"工商管理"</f>
        <v>工商管理</v>
      </c>
      <c r="H524" s="7" t="s">
        <v>9</v>
      </c>
    </row>
    <row r="525" spans="1:8" ht="15" customHeight="1">
      <c r="A525" s="5">
        <v>523</v>
      </c>
      <c r="B525" s="6" t="str">
        <f>"沈家民"</f>
        <v>沈家民</v>
      </c>
      <c r="C525" s="6" t="str">
        <f>"男"</f>
        <v>男</v>
      </c>
      <c r="D525" s="6" t="str">
        <f>"2001-04-06"</f>
        <v>2001-04-06</v>
      </c>
      <c r="E525" s="6" t="str">
        <f t="shared" si="272"/>
        <v>本科</v>
      </c>
      <c r="F525" s="6" t="str">
        <f>"工商管理学士"</f>
        <v>工商管理学士</v>
      </c>
      <c r="G525" s="6" t="str">
        <f t="shared" si="274"/>
        <v>工商管理</v>
      </c>
      <c r="H525" s="7" t="s">
        <v>9</v>
      </c>
    </row>
    <row r="526" spans="1:8" ht="15" customHeight="1">
      <c r="A526" s="5">
        <v>524</v>
      </c>
      <c r="B526" s="6" t="str">
        <f>"谢圆圆"</f>
        <v>谢圆圆</v>
      </c>
      <c r="C526" s="6" t="str">
        <f aca="true" t="shared" si="275" ref="C526:C531">"女"</f>
        <v>女</v>
      </c>
      <c r="D526" s="6" t="str">
        <f>"1992-01-07"</f>
        <v>1992-01-07</v>
      </c>
      <c r="E526" s="6" t="str">
        <f>"大学本科"</f>
        <v>大学本科</v>
      </c>
      <c r="F526" s="6" t="str">
        <f t="shared" si="273"/>
        <v>管理学学士</v>
      </c>
      <c r="G526" s="6" t="str">
        <f>"市场营销"</f>
        <v>市场营销</v>
      </c>
      <c r="H526" s="7" t="s">
        <v>9</v>
      </c>
    </row>
    <row r="527" spans="1:8" ht="15" customHeight="1">
      <c r="A527" s="5">
        <v>525</v>
      </c>
      <c r="B527" s="6" t="str">
        <f>"张楠"</f>
        <v>张楠</v>
      </c>
      <c r="C527" s="6" t="str">
        <f t="shared" si="275"/>
        <v>女</v>
      </c>
      <c r="D527" s="6" t="str">
        <f>"2001-06-01"</f>
        <v>2001-06-01</v>
      </c>
      <c r="E527" s="6" t="str">
        <f aca="true" t="shared" si="276" ref="E527:E535">"本科"</f>
        <v>本科</v>
      </c>
      <c r="F527" s="6" t="str">
        <f>"工学学士"</f>
        <v>工学学士</v>
      </c>
      <c r="G527" s="6" t="str">
        <f>"计算机科学与技术"</f>
        <v>计算机科学与技术</v>
      </c>
      <c r="H527" s="7" t="s">
        <v>9</v>
      </c>
    </row>
    <row r="528" spans="1:8" ht="15" customHeight="1">
      <c r="A528" s="5">
        <v>526</v>
      </c>
      <c r="B528" s="6" t="str">
        <f>"曾燕霜"</f>
        <v>曾燕霜</v>
      </c>
      <c r="C528" s="6" t="str">
        <f t="shared" si="275"/>
        <v>女</v>
      </c>
      <c r="D528" s="6" t="str">
        <f>"1992-11-20"</f>
        <v>1992-11-20</v>
      </c>
      <c r="E528" s="6" t="str">
        <f>"大学本科"</f>
        <v>大学本科</v>
      </c>
      <c r="F528" s="6" t="str">
        <f>"工学学士"</f>
        <v>工学学士</v>
      </c>
      <c r="G528" s="6" t="str">
        <f>"工程管理"</f>
        <v>工程管理</v>
      </c>
      <c r="H528" s="7" t="s">
        <v>9</v>
      </c>
    </row>
    <row r="529" spans="1:8" ht="15" customHeight="1">
      <c r="A529" s="5">
        <v>527</v>
      </c>
      <c r="B529" s="6" t="str">
        <f>"吴万惠"</f>
        <v>吴万惠</v>
      </c>
      <c r="C529" s="6" t="str">
        <f t="shared" si="275"/>
        <v>女</v>
      </c>
      <c r="D529" s="6" t="str">
        <f>"1996-12-03"</f>
        <v>1996-12-03</v>
      </c>
      <c r="E529" s="6" t="str">
        <f>"大学本科学历"</f>
        <v>大学本科学历</v>
      </c>
      <c r="F529" s="6" t="str">
        <f t="shared" si="273"/>
        <v>管理学学士</v>
      </c>
      <c r="G529" s="6" t="str">
        <f t="shared" si="274"/>
        <v>工商管理</v>
      </c>
      <c r="H529" s="7" t="s">
        <v>9</v>
      </c>
    </row>
    <row r="530" spans="1:8" ht="15" customHeight="1">
      <c r="A530" s="5">
        <v>528</v>
      </c>
      <c r="B530" s="6" t="str">
        <f>"王子芯"</f>
        <v>王子芯</v>
      </c>
      <c r="C530" s="6" t="str">
        <f t="shared" si="275"/>
        <v>女</v>
      </c>
      <c r="D530" s="6" t="str">
        <f>"1992-10-14"</f>
        <v>1992-10-14</v>
      </c>
      <c r="E530" s="6" t="str">
        <f t="shared" si="276"/>
        <v>本科</v>
      </c>
      <c r="F530" s="6" t="str">
        <f>"经济学学士"</f>
        <v>经济学学士</v>
      </c>
      <c r="G530" s="6" t="str">
        <f>"经济学"</f>
        <v>经济学</v>
      </c>
      <c r="H530" s="7" t="s">
        <v>9</v>
      </c>
    </row>
    <row r="531" spans="1:8" ht="15" customHeight="1">
      <c r="A531" s="5">
        <v>529</v>
      </c>
      <c r="B531" s="6" t="str">
        <f>"陈琪芷"</f>
        <v>陈琪芷</v>
      </c>
      <c r="C531" s="6" t="str">
        <f t="shared" si="275"/>
        <v>女</v>
      </c>
      <c r="D531" s="6" t="str">
        <f>"1997-01-20"</f>
        <v>1997-01-20</v>
      </c>
      <c r="E531" s="6" t="str">
        <f t="shared" si="276"/>
        <v>本科</v>
      </c>
      <c r="F531" s="6" t="str">
        <f>"学士"</f>
        <v>学士</v>
      </c>
      <c r="G531" s="6" t="str">
        <f>"风景园林"</f>
        <v>风景园林</v>
      </c>
      <c r="H531" s="7" t="s">
        <v>9</v>
      </c>
    </row>
    <row r="532" spans="1:8" ht="15" customHeight="1">
      <c r="A532" s="5">
        <v>530</v>
      </c>
      <c r="B532" s="6" t="str">
        <f>"符宁"</f>
        <v>符宁</v>
      </c>
      <c r="C532" s="6" t="str">
        <f aca="true" t="shared" si="277" ref="C532:C537">"男"</f>
        <v>男</v>
      </c>
      <c r="D532" s="6" t="str">
        <f>"1993-07-13"</f>
        <v>1993-07-13</v>
      </c>
      <c r="E532" s="6" t="str">
        <f t="shared" si="276"/>
        <v>本科</v>
      </c>
      <c r="F532" s="6" t="str">
        <f>"学士"</f>
        <v>学士</v>
      </c>
      <c r="G532" s="6" t="str">
        <f>"土木工程"</f>
        <v>土木工程</v>
      </c>
      <c r="H532" s="7" t="s">
        <v>9</v>
      </c>
    </row>
    <row r="533" spans="1:8" ht="15" customHeight="1">
      <c r="A533" s="5">
        <v>531</v>
      </c>
      <c r="B533" s="6" t="str">
        <f>"卢玉琪"</f>
        <v>卢玉琪</v>
      </c>
      <c r="C533" s="6" t="str">
        <f aca="true" t="shared" si="278" ref="C533:C536">"女"</f>
        <v>女</v>
      </c>
      <c r="D533" s="6" t="str">
        <f>"1997-10-06"</f>
        <v>1997-10-06</v>
      </c>
      <c r="E533" s="6" t="str">
        <f t="shared" si="276"/>
        <v>本科</v>
      </c>
      <c r="F533" s="6" t="str">
        <f aca="true" t="shared" si="279" ref="F533:F538">"管理学学士"</f>
        <v>管理学学士</v>
      </c>
      <c r="G533" s="6" t="str">
        <f>"物流管理"</f>
        <v>物流管理</v>
      </c>
      <c r="H533" s="7" t="s">
        <v>9</v>
      </c>
    </row>
    <row r="534" spans="1:8" ht="15" customHeight="1">
      <c r="A534" s="5">
        <v>532</v>
      </c>
      <c r="B534" s="6" t="str">
        <f>"李少强"</f>
        <v>李少强</v>
      </c>
      <c r="C534" s="6" t="str">
        <f t="shared" si="277"/>
        <v>男</v>
      </c>
      <c r="D534" s="6" t="str">
        <f>"1995-11-15"</f>
        <v>1995-11-15</v>
      </c>
      <c r="E534" s="6" t="str">
        <f t="shared" si="276"/>
        <v>本科</v>
      </c>
      <c r="F534" s="6" t="str">
        <f>"工学学士"</f>
        <v>工学学士</v>
      </c>
      <c r="G534" s="6" t="str">
        <f>"土木工程（轨道交通）"</f>
        <v>土木工程（轨道交通）</v>
      </c>
      <c r="H534" s="7" t="s">
        <v>9</v>
      </c>
    </row>
    <row r="535" spans="1:8" ht="15" customHeight="1">
      <c r="A535" s="5">
        <v>533</v>
      </c>
      <c r="B535" s="6" t="str">
        <f>"王帆"</f>
        <v>王帆</v>
      </c>
      <c r="C535" s="6" t="str">
        <f t="shared" si="278"/>
        <v>女</v>
      </c>
      <c r="D535" s="6" t="str">
        <f>"1992-03-28"</f>
        <v>1992-03-28</v>
      </c>
      <c r="E535" s="6" t="str">
        <f t="shared" si="276"/>
        <v>本科</v>
      </c>
      <c r="F535" s="6" t="str">
        <f>"工学学士"</f>
        <v>工学学士</v>
      </c>
      <c r="G535" s="6" t="str">
        <f>"城市规划"</f>
        <v>城市规划</v>
      </c>
      <c r="H535" s="7" t="s">
        <v>9</v>
      </c>
    </row>
    <row r="536" spans="1:8" ht="15" customHeight="1">
      <c r="A536" s="5">
        <v>534</v>
      </c>
      <c r="B536" s="6" t="str">
        <f>"羊贵花"</f>
        <v>羊贵花</v>
      </c>
      <c r="C536" s="6" t="str">
        <f t="shared" si="278"/>
        <v>女</v>
      </c>
      <c r="D536" s="6" t="str">
        <f>"1999-10-10"</f>
        <v>1999-10-10</v>
      </c>
      <c r="E536" s="6" t="str">
        <f>"大学本科学历"</f>
        <v>大学本科学历</v>
      </c>
      <c r="F536" s="6" t="str">
        <f t="shared" si="279"/>
        <v>管理学学士</v>
      </c>
      <c r="G536" s="6" t="str">
        <f>"财务管理"</f>
        <v>财务管理</v>
      </c>
      <c r="H536" s="7" t="s">
        <v>9</v>
      </c>
    </row>
    <row r="537" spans="1:8" ht="15" customHeight="1">
      <c r="A537" s="5">
        <v>535</v>
      </c>
      <c r="B537" s="6" t="str">
        <f>"陈正亮"</f>
        <v>陈正亮</v>
      </c>
      <c r="C537" s="6" t="str">
        <f t="shared" si="277"/>
        <v>男</v>
      </c>
      <c r="D537" s="6" t="str">
        <f>"1991-12-25"</f>
        <v>1991-12-25</v>
      </c>
      <c r="E537" s="6" t="str">
        <f aca="true" t="shared" si="280" ref="E537:E542">"本科"</f>
        <v>本科</v>
      </c>
      <c r="F537" s="6" t="str">
        <f>"物流管理学士"</f>
        <v>物流管理学士</v>
      </c>
      <c r="G537" s="6" t="str">
        <f>"物流管理"</f>
        <v>物流管理</v>
      </c>
      <c r="H537" s="7" t="s">
        <v>9</v>
      </c>
    </row>
    <row r="538" spans="1:8" ht="15" customHeight="1">
      <c r="A538" s="5">
        <v>536</v>
      </c>
      <c r="B538" s="6" t="str">
        <f>"谢丽岑"</f>
        <v>谢丽岑</v>
      </c>
      <c r="C538" s="6" t="str">
        <f aca="true" t="shared" si="281" ref="C538:C542">"女"</f>
        <v>女</v>
      </c>
      <c r="D538" s="6" t="str">
        <f>"1999-05-29"</f>
        <v>1999-05-29</v>
      </c>
      <c r="E538" s="6" t="str">
        <f>"大学本科学历"</f>
        <v>大学本科学历</v>
      </c>
      <c r="F538" s="6" t="str">
        <f t="shared" si="279"/>
        <v>管理学学士</v>
      </c>
      <c r="G538" s="6" t="str">
        <f>"信息管理与信息系统"</f>
        <v>信息管理与信息系统</v>
      </c>
      <c r="H538" s="7" t="s">
        <v>9</v>
      </c>
    </row>
    <row r="539" spans="1:8" ht="15" customHeight="1">
      <c r="A539" s="5">
        <v>537</v>
      </c>
      <c r="B539" s="6" t="str">
        <f>"王炬登"</f>
        <v>王炬登</v>
      </c>
      <c r="C539" s="6" t="str">
        <f aca="true" t="shared" si="282" ref="C539:C543">"男"</f>
        <v>男</v>
      </c>
      <c r="D539" s="6" t="str">
        <f>"1991-01-01"</f>
        <v>1991-01-01</v>
      </c>
      <c r="E539" s="6" t="str">
        <f>"大学本科"</f>
        <v>大学本科</v>
      </c>
      <c r="F539" s="6" t="str">
        <f>"法学学士"</f>
        <v>法学学士</v>
      </c>
      <c r="G539" s="6" t="str">
        <f>"行政管理专业"</f>
        <v>行政管理专业</v>
      </c>
      <c r="H539" s="7" t="s">
        <v>9</v>
      </c>
    </row>
    <row r="540" spans="1:8" ht="15" customHeight="1">
      <c r="A540" s="5">
        <v>538</v>
      </c>
      <c r="B540" s="6" t="str">
        <f>"史新启"</f>
        <v>史新启</v>
      </c>
      <c r="C540" s="6" t="str">
        <f t="shared" si="282"/>
        <v>男</v>
      </c>
      <c r="D540" s="6" t="str">
        <f>"1990-07-01"</f>
        <v>1990-07-01</v>
      </c>
      <c r="E540" s="6" t="str">
        <f t="shared" si="280"/>
        <v>本科</v>
      </c>
      <c r="F540" s="6" t="str">
        <f aca="true" t="shared" si="283" ref="F540:F543">"工学学士"</f>
        <v>工学学士</v>
      </c>
      <c r="G540" s="6" t="str">
        <f>"工业工程"</f>
        <v>工业工程</v>
      </c>
      <c r="H540" s="7" t="s">
        <v>9</v>
      </c>
    </row>
    <row r="541" spans="1:8" ht="15" customHeight="1">
      <c r="A541" s="5">
        <v>539</v>
      </c>
      <c r="B541" s="6" t="str">
        <f>"薛睿婕"</f>
        <v>薛睿婕</v>
      </c>
      <c r="C541" s="6" t="str">
        <f t="shared" si="281"/>
        <v>女</v>
      </c>
      <c r="D541" s="6" t="str">
        <f>"1999-07-02"</f>
        <v>1999-07-02</v>
      </c>
      <c r="E541" s="6" t="str">
        <f>"青海师范大学本科生"</f>
        <v>青海师范大学本科生</v>
      </c>
      <c r="F541" s="6" t="str">
        <f t="shared" si="283"/>
        <v>工学学士</v>
      </c>
      <c r="G541" s="6" t="str">
        <f>"物联网工程"</f>
        <v>物联网工程</v>
      </c>
      <c r="H541" s="7" t="s">
        <v>9</v>
      </c>
    </row>
    <row r="542" spans="1:8" ht="15" customHeight="1">
      <c r="A542" s="5">
        <v>540</v>
      </c>
      <c r="B542" s="6" t="str">
        <f>"许芳"</f>
        <v>许芳</v>
      </c>
      <c r="C542" s="6" t="str">
        <f t="shared" si="281"/>
        <v>女</v>
      </c>
      <c r="D542" s="6" t="str">
        <f>"1989-01-30"</f>
        <v>1989-01-30</v>
      </c>
      <c r="E542" s="6" t="str">
        <f t="shared" si="280"/>
        <v>本科</v>
      </c>
      <c r="F542" s="6" t="str">
        <f>"管理学学士"</f>
        <v>管理学学士</v>
      </c>
      <c r="G542" s="6" t="str">
        <f>"会计学"</f>
        <v>会计学</v>
      </c>
      <c r="H542" s="7" t="s">
        <v>9</v>
      </c>
    </row>
    <row r="543" spans="1:8" ht="15" customHeight="1">
      <c r="A543" s="5">
        <v>541</v>
      </c>
      <c r="B543" s="6" t="str">
        <f>"陈鹏飞"</f>
        <v>陈鹏飞</v>
      </c>
      <c r="C543" s="6" t="str">
        <f t="shared" si="282"/>
        <v>男</v>
      </c>
      <c r="D543" s="6" t="str">
        <f>"1997-06-26"</f>
        <v>1997-06-26</v>
      </c>
      <c r="E543" s="6" t="str">
        <f aca="true" t="shared" si="284" ref="E543:E547">"大学本科"</f>
        <v>大学本科</v>
      </c>
      <c r="F543" s="6" t="str">
        <f t="shared" si="283"/>
        <v>工学学士</v>
      </c>
      <c r="G543" s="6" t="str">
        <f>"环境科学"</f>
        <v>环境科学</v>
      </c>
      <c r="H543" s="7" t="s">
        <v>9</v>
      </c>
    </row>
    <row r="544" spans="1:8" ht="15" customHeight="1">
      <c r="A544" s="5">
        <v>542</v>
      </c>
      <c r="B544" s="6" t="str">
        <f>"颜子雅"</f>
        <v>颜子雅</v>
      </c>
      <c r="C544" s="6" t="str">
        <f aca="true" t="shared" si="285" ref="C544:C547">"女"</f>
        <v>女</v>
      </c>
      <c r="D544" s="6" t="str">
        <f>"2000-04-12"</f>
        <v>2000-04-12</v>
      </c>
      <c r="E544" s="6" t="str">
        <f aca="true" t="shared" si="286" ref="E544:E548">"本科"</f>
        <v>本科</v>
      </c>
      <c r="F544" s="6" t="str">
        <f>"学士"</f>
        <v>学士</v>
      </c>
      <c r="G544" s="6" t="str">
        <f>"工程造价"</f>
        <v>工程造价</v>
      </c>
      <c r="H544" s="7" t="s">
        <v>9</v>
      </c>
    </row>
    <row r="545" spans="1:8" ht="15" customHeight="1">
      <c r="A545" s="5">
        <v>543</v>
      </c>
      <c r="B545" s="6" t="str">
        <f>"王明增"</f>
        <v>王明增</v>
      </c>
      <c r="C545" s="6" t="str">
        <f aca="true" t="shared" si="287" ref="C545:C550">"男"</f>
        <v>男</v>
      </c>
      <c r="D545" s="6" t="str">
        <f>"1989-06-10"</f>
        <v>1989-06-10</v>
      </c>
      <c r="E545" s="6" t="str">
        <f t="shared" si="284"/>
        <v>大学本科</v>
      </c>
      <c r="F545" s="6" t="str">
        <f>"理学学士"</f>
        <v>理学学士</v>
      </c>
      <c r="G545" s="6" t="str">
        <f>"环境科学"</f>
        <v>环境科学</v>
      </c>
      <c r="H545" s="7" t="s">
        <v>9</v>
      </c>
    </row>
    <row r="546" spans="1:8" ht="15" customHeight="1">
      <c r="A546" s="5">
        <v>544</v>
      </c>
      <c r="B546" s="6" t="str">
        <f>"吉家欣"</f>
        <v>吉家欣</v>
      </c>
      <c r="C546" s="6" t="str">
        <f t="shared" si="285"/>
        <v>女</v>
      </c>
      <c r="D546" s="6" t="str">
        <f>"1999-02-02"</f>
        <v>1999-02-02</v>
      </c>
      <c r="E546" s="6" t="str">
        <f t="shared" si="286"/>
        <v>本科</v>
      </c>
      <c r="F546" s="6" t="str">
        <f>"管理学学士"</f>
        <v>管理学学士</v>
      </c>
      <c r="G546" s="6" t="str">
        <f>"电子商务"</f>
        <v>电子商务</v>
      </c>
      <c r="H546" s="7" t="s">
        <v>9</v>
      </c>
    </row>
    <row r="547" spans="1:8" ht="15" customHeight="1">
      <c r="A547" s="5">
        <v>545</v>
      </c>
      <c r="B547" s="6" t="str">
        <f>"李梦君"</f>
        <v>李梦君</v>
      </c>
      <c r="C547" s="6" t="str">
        <f t="shared" si="285"/>
        <v>女</v>
      </c>
      <c r="D547" s="6" t="str">
        <f>"1995-02-03"</f>
        <v>1995-02-03</v>
      </c>
      <c r="E547" s="6" t="str">
        <f t="shared" si="284"/>
        <v>大学本科</v>
      </c>
      <c r="F547" s="6" t="str">
        <f>"文学学士"</f>
        <v>文学学士</v>
      </c>
      <c r="G547" s="6" t="str">
        <f>"新闻学"</f>
        <v>新闻学</v>
      </c>
      <c r="H547" s="7" t="s">
        <v>9</v>
      </c>
    </row>
    <row r="548" spans="1:8" ht="15" customHeight="1">
      <c r="A548" s="5">
        <v>546</v>
      </c>
      <c r="B548" s="6" t="str">
        <f>"唐健"</f>
        <v>唐健</v>
      </c>
      <c r="C548" s="6" t="str">
        <f t="shared" si="287"/>
        <v>男</v>
      </c>
      <c r="D548" s="6" t="str">
        <f>"1997-06-05"</f>
        <v>1997-06-05</v>
      </c>
      <c r="E548" s="6" t="str">
        <f t="shared" si="286"/>
        <v>本科</v>
      </c>
      <c r="F548" s="6" t="str">
        <f aca="true" t="shared" si="288" ref="F548:F554">"管理学学士"</f>
        <v>管理学学士</v>
      </c>
      <c r="G548" s="6" t="str">
        <f>"人力资源管理"</f>
        <v>人力资源管理</v>
      </c>
      <c r="H548" s="7" t="s">
        <v>9</v>
      </c>
    </row>
    <row r="549" spans="1:8" ht="15" customHeight="1">
      <c r="A549" s="5">
        <v>547</v>
      </c>
      <c r="B549" s="6" t="str">
        <f>"傅碧夏"</f>
        <v>傅碧夏</v>
      </c>
      <c r="C549" s="6" t="str">
        <f aca="true" t="shared" si="289" ref="C549:C553">"女"</f>
        <v>女</v>
      </c>
      <c r="D549" s="6" t="str">
        <f>"1994-08-15"</f>
        <v>1994-08-15</v>
      </c>
      <c r="E549" s="6" t="str">
        <f aca="true" t="shared" si="290" ref="E549:E552">"大学本科"</f>
        <v>大学本科</v>
      </c>
      <c r="F549" s="6" t="str">
        <f>"工学学士"</f>
        <v>工学学士</v>
      </c>
      <c r="G549" s="6" t="str">
        <f>"环境工程"</f>
        <v>环境工程</v>
      </c>
      <c r="H549" s="7" t="s">
        <v>9</v>
      </c>
    </row>
    <row r="550" spans="1:8" ht="15" customHeight="1">
      <c r="A550" s="5">
        <v>548</v>
      </c>
      <c r="B550" s="6" t="str">
        <f>"叶子龙"</f>
        <v>叶子龙</v>
      </c>
      <c r="C550" s="6" t="str">
        <f t="shared" si="287"/>
        <v>男</v>
      </c>
      <c r="D550" s="6" t="str">
        <f>"1995-03-07"</f>
        <v>1995-03-07</v>
      </c>
      <c r="E550" s="6" t="str">
        <f t="shared" si="290"/>
        <v>大学本科</v>
      </c>
      <c r="F550" s="6" t="str">
        <f>"中国语言文学学士"</f>
        <v>中国语言文学学士</v>
      </c>
      <c r="G550" s="6" t="str">
        <f>"中国语言文学"</f>
        <v>中国语言文学</v>
      </c>
      <c r="H550" s="7" t="s">
        <v>9</v>
      </c>
    </row>
    <row r="551" spans="1:8" ht="15" customHeight="1">
      <c r="A551" s="5">
        <v>549</v>
      </c>
      <c r="B551" s="6" t="str">
        <f>"苏颖娇"</f>
        <v>苏颖娇</v>
      </c>
      <c r="C551" s="6" t="str">
        <f t="shared" si="289"/>
        <v>女</v>
      </c>
      <c r="D551" s="6" t="str">
        <f>"1989-08-17"</f>
        <v>1989-08-17</v>
      </c>
      <c r="E551" s="6" t="str">
        <f t="shared" si="290"/>
        <v>大学本科</v>
      </c>
      <c r="F551" s="6" t="str">
        <f>"农学学士"</f>
        <v>农学学士</v>
      </c>
      <c r="G551" s="6" t="str">
        <f>"园艺"</f>
        <v>园艺</v>
      </c>
      <c r="H551" s="7" t="s">
        <v>9</v>
      </c>
    </row>
    <row r="552" spans="1:8" ht="15" customHeight="1">
      <c r="A552" s="5">
        <v>550</v>
      </c>
      <c r="B552" s="6" t="str">
        <f>"冯升"</f>
        <v>冯升</v>
      </c>
      <c r="C552" s="6" t="str">
        <f aca="true" t="shared" si="291" ref="C552:C559">"男"</f>
        <v>男</v>
      </c>
      <c r="D552" s="6" t="str">
        <f>"1995-07-06"</f>
        <v>1995-07-06</v>
      </c>
      <c r="E552" s="6" t="str">
        <f t="shared" si="290"/>
        <v>大学本科</v>
      </c>
      <c r="F552" s="6" t="str">
        <f t="shared" si="288"/>
        <v>管理学学士</v>
      </c>
      <c r="G552" s="6" t="str">
        <f>"物流管理"</f>
        <v>物流管理</v>
      </c>
      <c r="H552" s="7" t="s">
        <v>9</v>
      </c>
    </row>
    <row r="553" spans="1:8" ht="15" customHeight="1">
      <c r="A553" s="5">
        <v>551</v>
      </c>
      <c r="B553" s="6" t="str">
        <f>"符奥结"</f>
        <v>符奥结</v>
      </c>
      <c r="C553" s="6" t="str">
        <f t="shared" si="289"/>
        <v>女</v>
      </c>
      <c r="D553" s="6" t="str">
        <f>"2001-07-12"</f>
        <v>2001-07-12</v>
      </c>
      <c r="E553" s="6" t="str">
        <f aca="true" t="shared" si="292" ref="E553:E557">"本科"</f>
        <v>本科</v>
      </c>
      <c r="F553" s="6" t="str">
        <f t="shared" si="288"/>
        <v>管理学学士</v>
      </c>
      <c r="G553" s="6" t="str">
        <f>"人力资源管理"</f>
        <v>人力资源管理</v>
      </c>
      <c r="H553" s="7" t="s">
        <v>9</v>
      </c>
    </row>
    <row r="554" spans="1:8" ht="15" customHeight="1">
      <c r="A554" s="5">
        <v>552</v>
      </c>
      <c r="B554" s="6" t="str">
        <f>"刘硕"</f>
        <v>刘硕</v>
      </c>
      <c r="C554" s="6" t="str">
        <f t="shared" si="291"/>
        <v>男</v>
      </c>
      <c r="D554" s="6" t="str">
        <f>"2002-05-02"</f>
        <v>2002-05-02</v>
      </c>
      <c r="E554" s="6" t="str">
        <f>"大学本科"</f>
        <v>大学本科</v>
      </c>
      <c r="F554" s="6" t="str">
        <f t="shared" si="288"/>
        <v>管理学学士</v>
      </c>
      <c r="G554" s="6" t="str">
        <f>"资产评估"</f>
        <v>资产评估</v>
      </c>
      <c r="H554" s="7" t="s">
        <v>9</v>
      </c>
    </row>
    <row r="555" spans="1:8" ht="15" customHeight="1">
      <c r="A555" s="5">
        <v>553</v>
      </c>
      <c r="B555" s="6" t="str">
        <f>"陈风花"</f>
        <v>陈风花</v>
      </c>
      <c r="C555" s="6" t="str">
        <f aca="true" t="shared" si="293" ref="C555:C560">"女"</f>
        <v>女</v>
      </c>
      <c r="D555" s="6" t="str">
        <f>"1999-04-19"</f>
        <v>1999-04-19</v>
      </c>
      <c r="E555" s="6" t="str">
        <f>"大学本科"</f>
        <v>大学本科</v>
      </c>
      <c r="F555" s="6" t="str">
        <f>"经济学学士"</f>
        <v>经济学学士</v>
      </c>
      <c r="G555" s="6" t="str">
        <f>"金融学"</f>
        <v>金融学</v>
      </c>
      <c r="H555" s="7" t="s">
        <v>9</v>
      </c>
    </row>
    <row r="556" spans="1:8" ht="15" customHeight="1">
      <c r="A556" s="5">
        <v>554</v>
      </c>
      <c r="B556" s="6" t="str">
        <f>"陈佳静"</f>
        <v>陈佳静</v>
      </c>
      <c r="C556" s="6" t="str">
        <f t="shared" si="293"/>
        <v>女</v>
      </c>
      <c r="D556" s="6" t="str">
        <f>"1994-03-31"</f>
        <v>1994-03-31</v>
      </c>
      <c r="E556" s="6" t="str">
        <f t="shared" si="292"/>
        <v>本科</v>
      </c>
      <c r="F556" s="6" t="str">
        <f>"管理学学士"</f>
        <v>管理学学士</v>
      </c>
      <c r="G556" s="6" t="str">
        <f>"信息管理与信息系统"</f>
        <v>信息管理与信息系统</v>
      </c>
      <c r="H556" s="7" t="s">
        <v>9</v>
      </c>
    </row>
    <row r="557" spans="1:8" ht="15" customHeight="1">
      <c r="A557" s="5">
        <v>555</v>
      </c>
      <c r="B557" s="6" t="str">
        <f>"伍荣辉"</f>
        <v>伍荣辉</v>
      </c>
      <c r="C557" s="6" t="str">
        <f t="shared" si="291"/>
        <v>男</v>
      </c>
      <c r="D557" s="6" t="str">
        <f>"1997-02-04"</f>
        <v>1997-02-04</v>
      </c>
      <c r="E557" s="6" t="str">
        <f t="shared" si="292"/>
        <v>本科</v>
      </c>
      <c r="F557" s="6" t="str">
        <f>"农学学士"</f>
        <v>农学学士</v>
      </c>
      <c r="G557" s="6" t="str">
        <f>"植物保护"</f>
        <v>植物保护</v>
      </c>
      <c r="H557" s="7" t="s">
        <v>9</v>
      </c>
    </row>
    <row r="558" spans="1:8" ht="15" customHeight="1">
      <c r="A558" s="5">
        <v>556</v>
      </c>
      <c r="B558" s="6" t="str">
        <f>"陈文河"</f>
        <v>陈文河</v>
      </c>
      <c r="C558" s="6" t="str">
        <f t="shared" si="291"/>
        <v>男</v>
      </c>
      <c r="D558" s="6" t="str">
        <f>"1997-05-10"</f>
        <v>1997-05-10</v>
      </c>
      <c r="E558" s="6" t="str">
        <f>"大学本科学历"</f>
        <v>大学本科学历</v>
      </c>
      <c r="F558" s="6" t="str">
        <f aca="true" t="shared" si="294" ref="F558:F561">"工学学士"</f>
        <v>工学学士</v>
      </c>
      <c r="G558" s="6" t="str">
        <f>"信息安全"</f>
        <v>信息安全</v>
      </c>
      <c r="H558" s="7" t="s">
        <v>9</v>
      </c>
    </row>
    <row r="559" spans="1:8" ht="15" customHeight="1">
      <c r="A559" s="5">
        <v>557</v>
      </c>
      <c r="B559" s="6" t="str">
        <f>"殷彬"</f>
        <v>殷彬</v>
      </c>
      <c r="C559" s="6" t="str">
        <f t="shared" si="291"/>
        <v>男</v>
      </c>
      <c r="D559" s="6" t="str">
        <f>"1994-02-07"</f>
        <v>1994-02-07</v>
      </c>
      <c r="E559" s="6" t="str">
        <f>"大学本科学历"</f>
        <v>大学本科学历</v>
      </c>
      <c r="F559" s="6" t="str">
        <f t="shared" si="294"/>
        <v>工学学士</v>
      </c>
      <c r="G559" s="6" t="str">
        <f>"公路与城市道路工程"</f>
        <v>公路与城市道路工程</v>
      </c>
      <c r="H559" s="7" t="s">
        <v>9</v>
      </c>
    </row>
    <row r="560" spans="1:8" ht="15" customHeight="1">
      <c r="A560" s="5">
        <v>558</v>
      </c>
      <c r="B560" s="6" t="str">
        <f>"王小妹"</f>
        <v>王小妹</v>
      </c>
      <c r="C560" s="6" t="str">
        <f t="shared" si="293"/>
        <v>女</v>
      </c>
      <c r="D560" s="6" t="str">
        <f>"1998-02-15"</f>
        <v>1998-02-15</v>
      </c>
      <c r="E560" s="6" t="str">
        <f aca="true" t="shared" si="295" ref="E560:E563">"本科"</f>
        <v>本科</v>
      </c>
      <c r="F560" s="6" t="str">
        <f aca="true" t="shared" si="296" ref="F560:F565">"管理学学士"</f>
        <v>管理学学士</v>
      </c>
      <c r="G560" s="6" t="str">
        <f>"旅游管理"</f>
        <v>旅游管理</v>
      </c>
      <c r="H560" s="7" t="s">
        <v>9</v>
      </c>
    </row>
    <row r="561" spans="1:8" ht="15" customHeight="1">
      <c r="A561" s="5">
        <v>559</v>
      </c>
      <c r="B561" s="6" t="str">
        <f>"吴文深"</f>
        <v>吴文深</v>
      </c>
      <c r="C561" s="6" t="str">
        <f>"男"</f>
        <v>男</v>
      </c>
      <c r="D561" s="6" t="str">
        <f>"1996-07-27"</f>
        <v>1996-07-27</v>
      </c>
      <c r="E561" s="6" t="str">
        <f t="shared" si="295"/>
        <v>本科</v>
      </c>
      <c r="F561" s="6" t="str">
        <f t="shared" si="294"/>
        <v>工学学士</v>
      </c>
      <c r="G561" s="6" t="str">
        <f>"土木工程"</f>
        <v>土木工程</v>
      </c>
      <c r="H561" s="7" t="s">
        <v>9</v>
      </c>
    </row>
    <row r="562" spans="1:8" ht="15" customHeight="1">
      <c r="A562" s="5">
        <v>560</v>
      </c>
      <c r="B562" s="6" t="str">
        <f>"羊裕祥"</f>
        <v>羊裕祥</v>
      </c>
      <c r="C562" s="6" t="str">
        <f>"男"</f>
        <v>男</v>
      </c>
      <c r="D562" s="6" t="str">
        <f>"1992-08-03"</f>
        <v>1992-08-03</v>
      </c>
      <c r="E562" s="6" t="str">
        <f t="shared" si="295"/>
        <v>本科</v>
      </c>
      <c r="F562" s="6" t="str">
        <f>"理学学士"</f>
        <v>理学学士</v>
      </c>
      <c r="G562" s="6" t="str">
        <f>"环境科学"</f>
        <v>环境科学</v>
      </c>
      <c r="H562" s="7" t="s">
        <v>9</v>
      </c>
    </row>
    <row r="563" spans="1:8" ht="15" customHeight="1">
      <c r="A563" s="5">
        <v>561</v>
      </c>
      <c r="B563" s="6" t="str">
        <f>"卓圆梦"</f>
        <v>卓圆梦</v>
      </c>
      <c r="C563" s="6" t="str">
        <f aca="true" t="shared" si="297" ref="C563:C570">"女"</f>
        <v>女</v>
      </c>
      <c r="D563" s="6" t="str">
        <f>"1996-08-29"</f>
        <v>1996-08-29</v>
      </c>
      <c r="E563" s="6" t="str">
        <f t="shared" si="295"/>
        <v>本科</v>
      </c>
      <c r="F563" s="6" t="str">
        <f t="shared" si="296"/>
        <v>管理学学士</v>
      </c>
      <c r="G563" s="6" t="str">
        <f>"人力资源管理"</f>
        <v>人力资源管理</v>
      </c>
      <c r="H563" s="7" t="s">
        <v>9</v>
      </c>
    </row>
    <row r="564" spans="1:8" ht="15" customHeight="1">
      <c r="A564" s="5">
        <v>562</v>
      </c>
      <c r="B564" s="6" t="str">
        <f>"郑壮丹"</f>
        <v>郑壮丹</v>
      </c>
      <c r="C564" s="6" t="str">
        <f t="shared" si="297"/>
        <v>女</v>
      </c>
      <c r="D564" s="6" t="str">
        <f>"1998-01-07"</f>
        <v>1998-01-07</v>
      </c>
      <c r="E564" s="6" t="str">
        <f aca="true" t="shared" si="298" ref="E564:E568">"大学本科"</f>
        <v>大学本科</v>
      </c>
      <c r="F564" s="6" t="str">
        <f t="shared" si="296"/>
        <v>管理学学士</v>
      </c>
      <c r="G564" s="6" t="str">
        <f>"工商管理"</f>
        <v>工商管理</v>
      </c>
      <c r="H564" s="7" t="s">
        <v>9</v>
      </c>
    </row>
    <row r="565" spans="1:8" ht="15" customHeight="1">
      <c r="A565" s="5">
        <v>563</v>
      </c>
      <c r="B565" s="6" t="str">
        <f>"何也"</f>
        <v>何也</v>
      </c>
      <c r="C565" s="6" t="str">
        <f t="shared" si="297"/>
        <v>女</v>
      </c>
      <c r="D565" s="6" t="str">
        <f>"1996-10-16"</f>
        <v>1996-10-16</v>
      </c>
      <c r="E565" s="6" t="str">
        <f>"大学本科学历"</f>
        <v>大学本科学历</v>
      </c>
      <c r="F565" s="6" t="str">
        <f t="shared" si="296"/>
        <v>管理学学士</v>
      </c>
      <c r="G565" s="6" t="str">
        <f>"旅游管理"</f>
        <v>旅游管理</v>
      </c>
      <c r="H565" s="7" t="s">
        <v>9</v>
      </c>
    </row>
    <row r="566" spans="1:8" ht="15" customHeight="1">
      <c r="A566" s="5">
        <v>564</v>
      </c>
      <c r="B566" s="6" t="str">
        <f>"王内梅"</f>
        <v>王内梅</v>
      </c>
      <c r="C566" s="6" t="str">
        <f t="shared" si="297"/>
        <v>女</v>
      </c>
      <c r="D566" s="6" t="str">
        <f>"1998-08-10"</f>
        <v>1998-08-10</v>
      </c>
      <c r="E566" s="6" t="str">
        <f>"本科"</f>
        <v>本科</v>
      </c>
      <c r="F566" s="6" t="str">
        <f>"文学学士"</f>
        <v>文学学士</v>
      </c>
      <c r="G566" s="6" t="str">
        <f>"秘书学"</f>
        <v>秘书学</v>
      </c>
      <c r="H566" s="7" t="s">
        <v>9</v>
      </c>
    </row>
    <row r="567" spans="1:8" ht="15" customHeight="1">
      <c r="A567" s="5">
        <v>565</v>
      </c>
      <c r="B567" s="6" t="str">
        <f>"王娟"</f>
        <v>王娟</v>
      </c>
      <c r="C567" s="6" t="str">
        <f t="shared" si="297"/>
        <v>女</v>
      </c>
      <c r="D567" s="6" t="str">
        <f>"1990-07-29"</f>
        <v>1990-07-29</v>
      </c>
      <c r="E567" s="6" t="str">
        <f t="shared" si="298"/>
        <v>大学本科</v>
      </c>
      <c r="F567" s="6" t="str">
        <f>"文学学士"</f>
        <v>文学学士</v>
      </c>
      <c r="G567" s="6" t="str">
        <f>"汉语言文学"</f>
        <v>汉语言文学</v>
      </c>
      <c r="H567" s="7" t="s">
        <v>9</v>
      </c>
    </row>
    <row r="568" spans="1:8" ht="15" customHeight="1">
      <c r="A568" s="5">
        <v>566</v>
      </c>
      <c r="B568" s="6" t="str">
        <f>"符小姗"</f>
        <v>符小姗</v>
      </c>
      <c r="C568" s="6" t="str">
        <f t="shared" si="297"/>
        <v>女</v>
      </c>
      <c r="D568" s="6" t="str">
        <f>"1990-01-05"</f>
        <v>1990-01-05</v>
      </c>
      <c r="E568" s="6" t="str">
        <f t="shared" si="298"/>
        <v>大学本科</v>
      </c>
      <c r="F568" s="6" t="str">
        <f>"农学学士"</f>
        <v>农学学士</v>
      </c>
      <c r="G568" s="6" t="str">
        <f>"动物科学"</f>
        <v>动物科学</v>
      </c>
      <c r="H568" s="7" t="s">
        <v>9</v>
      </c>
    </row>
    <row r="569" spans="1:8" ht="15" customHeight="1">
      <c r="A569" s="5">
        <v>567</v>
      </c>
      <c r="B569" s="6" t="str">
        <f>"周丽峰"</f>
        <v>周丽峰</v>
      </c>
      <c r="C569" s="6" t="str">
        <f t="shared" si="297"/>
        <v>女</v>
      </c>
      <c r="D569" s="6" t="str">
        <f>"1998-04-18"</f>
        <v>1998-04-18</v>
      </c>
      <c r="E569" s="6" t="str">
        <f>"大学"</f>
        <v>大学</v>
      </c>
      <c r="F569" s="6" t="str">
        <f>"管理学学士学位"</f>
        <v>管理学学士学位</v>
      </c>
      <c r="G569" s="6" t="str">
        <f>"酒店管理"</f>
        <v>酒店管理</v>
      </c>
      <c r="H569" s="7" t="s">
        <v>9</v>
      </c>
    </row>
    <row r="570" spans="1:8" ht="15" customHeight="1">
      <c r="A570" s="5">
        <v>568</v>
      </c>
      <c r="B570" s="6" t="str">
        <f>"康霞"</f>
        <v>康霞</v>
      </c>
      <c r="C570" s="6" t="str">
        <f t="shared" si="297"/>
        <v>女</v>
      </c>
      <c r="D570" s="6" t="str">
        <f>"1993-05-13"</f>
        <v>1993-05-13</v>
      </c>
      <c r="E570" s="6" t="str">
        <f>"大学本科学历"</f>
        <v>大学本科学历</v>
      </c>
      <c r="F570" s="6" t="str">
        <f>"工学学士"</f>
        <v>工学学士</v>
      </c>
      <c r="G570" s="6" t="str">
        <f>"计算机科学与技术"</f>
        <v>计算机科学与技术</v>
      </c>
      <c r="H570" s="7" t="s">
        <v>9</v>
      </c>
    </row>
    <row r="571" spans="1:8" ht="15" customHeight="1">
      <c r="A571" s="5">
        <v>569</v>
      </c>
      <c r="B571" s="6" t="str">
        <f>"陶磊"</f>
        <v>陶磊</v>
      </c>
      <c r="C571" s="6" t="str">
        <f aca="true" t="shared" si="299" ref="C571:C575">"男"</f>
        <v>男</v>
      </c>
      <c r="D571" s="6" t="str">
        <f>"1995-05-18"</f>
        <v>1995-05-18</v>
      </c>
      <c r="E571" s="6" t="str">
        <f aca="true" t="shared" si="300" ref="E571:E586">"本科"</f>
        <v>本科</v>
      </c>
      <c r="F571" s="6" t="str">
        <f>"管理学学士"</f>
        <v>管理学学士</v>
      </c>
      <c r="G571" s="6" t="str">
        <f>"文化产业管理"</f>
        <v>文化产业管理</v>
      </c>
      <c r="H571" s="7" t="s">
        <v>9</v>
      </c>
    </row>
    <row r="572" spans="1:8" ht="15" customHeight="1">
      <c r="A572" s="5">
        <v>570</v>
      </c>
      <c r="B572" s="6" t="str">
        <f>"王家庚"</f>
        <v>王家庚</v>
      </c>
      <c r="C572" s="6" t="str">
        <f t="shared" si="299"/>
        <v>男</v>
      </c>
      <c r="D572" s="6" t="str">
        <f>"1994-09-06"</f>
        <v>1994-09-06</v>
      </c>
      <c r="E572" s="6" t="str">
        <f>"大学本科"</f>
        <v>大学本科</v>
      </c>
      <c r="F572" s="6" t="str">
        <f>"管理学士"</f>
        <v>管理学士</v>
      </c>
      <c r="G572" s="6" t="str">
        <f>"会计学"</f>
        <v>会计学</v>
      </c>
      <c r="H572" s="7" t="s">
        <v>9</v>
      </c>
    </row>
    <row r="573" spans="1:8" ht="15" customHeight="1">
      <c r="A573" s="5">
        <v>571</v>
      </c>
      <c r="B573" s="6" t="str">
        <f>"符正荣"</f>
        <v>符正荣</v>
      </c>
      <c r="C573" s="6" t="str">
        <f t="shared" si="299"/>
        <v>男</v>
      </c>
      <c r="D573" s="6" t="str">
        <f>"1996-11-10"</f>
        <v>1996-11-10</v>
      </c>
      <c r="E573" s="6" t="str">
        <f t="shared" si="300"/>
        <v>本科</v>
      </c>
      <c r="F573" s="6" t="str">
        <f>"理学学士"</f>
        <v>理学学士</v>
      </c>
      <c r="G573" s="6" t="str">
        <f>"计算机科学与技术"</f>
        <v>计算机科学与技术</v>
      </c>
      <c r="H573" s="7" t="s">
        <v>9</v>
      </c>
    </row>
    <row r="574" spans="1:8" ht="15" customHeight="1">
      <c r="A574" s="5">
        <v>572</v>
      </c>
      <c r="B574" s="6" t="str">
        <f>"李献东"</f>
        <v>李献东</v>
      </c>
      <c r="C574" s="6" t="str">
        <f t="shared" si="299"/>
        <v>男</v>
      </c>
      <c r="D574" s="6" t="str">
        <f>"1994-06-12"</f>
        <v>1994-06-12</v>
      </c>
      <c r="E574" s="6" t="str">
        <f>"大学本科"</f>
        <v>大学本科</v>
      </c>
      <c r="F574" s="6" t="str">
        <f>"工学学士"</f>
        <v>工学学士</v>
      </c>
      <c r="G574" s="6" t="str">
        <f>"土木工程"</f>
        <v>土木工程</v>
      </c>
      <c r="H574" s="7" t="s">
        <v>9</v>
      </c>
    </row>
    <row r="575" spans="1:8" ht="15" customHeight="1">
      <c r="A575" s="5">
        <v>573</v>
      </c>
      <c r="B575" s="6" t="str">
        <f>"邢孟"</f>
        <v>邢孟</v>
      </c>
      <c r="C575" s="6" t="str">
        <f t="shared" si="299"/>
        <v>男</v>
      </c>
      <c r="D575" s="6" t="str">
        <f>"1997-10-23"</f>
        <v>1997-10-23</v>
      </c>
      <c r="E575" s="6" t="str">
        <f t="shared" si="300"/>
        <v>本科</v>
      </c>
      <c r="F575" s="6" t="str">
        <f>"建筑学学士"</f>
        <v>建筑学学士</v>
      </c>
      <c r="G575" s="6" t="str">
        <f>"建筑学"</f>
        <v>建筑学</v>
      </c>
      <c r="H575" s="7" t="s">
        <v>9</v>
      </c>
    </row>
    <row r="576" spans="1:8" ht="15" customHeight="1">
      <c r="A576" s="5">
        <v>574</v>
      </c>
      <c r="B576" s="6" t="str">
        <f>"黄彦颖"</f>
        <v>黄彦颖</v>
      </c>
      <c r="C576" s="6" t="str">
        <f aca="true" t="shared" si="301" ref="C576:C579">"女"</f>
        <v>女</v>
      </c>
      <c r="D576" s="6" t="str">
        <f>"1996-11-08"</f>
        <v>1996-11-08</v>
      </c>
      <c r="E576" s="6" t="str">
        <f t="shared" si="300"/>
        <v>本科</v>
      </c>
      <c r="F576" s="6" t="str">
        <f>"管理学学士"</f>
        <v>管理学学士</v>
      </c>
      <c r="G576" s="6" t="str">
        <f>"财务管理"</f>
        <v>财务管理</v>
      </c>
      <c r="H576" s="7" t="s">
        <v>9</v>
      </c>
    </row>
    <row r="577" spans="1:8" ht="15" customHeight="1">
      <c r="A577" s="5">
        <v>575</v>
      </c>
      <c r="B577" s="6" t="str">
        <f>"郑雨欣"</f>
        <v>郑雨欣</v>
      </c>
      <c r="C577" s="6" t="str">
        <f t="shared" si="301"/>
        <v>女</v>
      </c>
      <c r="D577" s="6" t="str">
        <f>"1994-04-14"</f>
        <v>1994-04-14</v>
      </c>
      <c r="E577" s="6" t="str">
        <f t="shared" si="300"/>
        <v>本科</v>
      </c>
      <c r="F577" s="6" t="str">
        <f>"管理学学士"</f>
        <v>管理学学士</v>
      </c>
      <c r="G577" s="6" t="str">
        <f>"会计学（注册会计师方向）"</f>
        <v>会计学（注册会计师方向）</v>
      </c>
      <c r="H577" s="7" t="s">
        <v>9</v>
      </c>
    </row>
    <row r="578" spans="1:8" ht="15" customHeight="1">
      <c r="A578" s="5">
        <v>576</v>
      </c>
      <c r="B578" s="6" t="str">
        <f>"孙瑶"</f>
        <v>孙瑶</v>
      </c>
      <c r="C578" s="6" t="str">
        <f t="shared" si="301"/>
        <v>女</v>
      </c>
      <c r="D578" s="6" t="str">
        <f>"1992-01-20"</f>
        <v>1992-01-20</v>
      </c>
      <c r="E578" s="6" t="str">
        <f t="shared" si="300"/>
        <v>本科</v>
      </c>
      <c r="F578" s="6" t="str">
        <f>"工学学士"</f>
        <v>工学学士</v>
      </c>
      <c r="G578" s="6" t="str">
        <f>"信息安全"</f>
        <v>信息安全</v>
      </c>
      <c r="H578" s="7" t="s">
        <v>9</v>
      </c>
    </row>
    <row r="579" spans="1:8" ht="15" customHeight="1">
      <c r="A579" s="5">
        <v>577</v>
      </c>
      <c r="B579" s="6" t="str">
        <f>"陈捷"</f>
        <v>陈捷</v>
      </c>
      <c r="C579" s="6" t="str">
        <f t="shared" si="301"/>
        <v>女</v>
      </c>
      <c r="D579" s="6" t="str">
        <f>"1996-03-08"</f>
        <v>1996-03-08</v>
      </c>
      <c r="E579" s="6" t="str">
        <f t="shared" si="300"/>
        <v>本科</v>
      </c>
      <c r="F579" s="6" t="str">
        <f>"文学学士"</f>
        <v>文学学士</v>
      </c>
      <c r="G579" s="6" t="str">
        <f>"新闻学"</f>
        <v>新闻学</v>
      </c>
      <c r="H579" s="7" t="s">
        <v>9</v>
      </c>
    </row>
    <row r="580" spans="1:8" ht="15" customHeight="1">
      <c r="A580" s="5">
        <v>578</v>
      </c>
      <c r="B580" s="6" t="str">
        <f>"符益雄"</f>
        <v>符益雄</v>
      </c>
      <c r="C580" s="6" t="str">
        <f aca="true" t="shared" si="302" ref="C580:C584">"男"</f>
        <v>男</v>
      </c>
      <c r="D580" s="6" t="str">
        <f>"1997-07-30"</f>
        <v>1997-07-30</v>
      </c>
      <c r="E580" s="6" t="str">
        <f t="shared" si="300"/>
        <v>本科</v>
      </c>
      <c r="F580" s="6" t="str">
        <f>"工学学士"</f>
        <v>工学学士</v>
      </c>
      <c r="G580" s="6" t="str">
        <f>"道路桥梁与渡河工程"</f>
        <v>道路桥梁与渡河工程</v>
      </c>
      <c r="H580" s="7" t="s">
        <v>9</v>
      </c>
    </row>
    <row r="581" spans="1:8" ht="15" customHeight="1">
      <c r="A581" s="5">
        <v>579</v>
      </c>
      <c r="B581" s="6" t="str">
        <f>"何慧灵"</f>
        <v>何慧灵</v>
      </c>
      <c r="C581" s="6" t="str">
        <f aca="true" t="shared" si="303" ref="C581:C587">"女"</f>
        <v>女</v>
      </c>
      <c r="D581" s="6" t="str">
        <f>"2001-07-27"</f>
        <v>2001-07-27</v>
      </c>
      <c r="E581" s="6" t="str">
        <f t="shared" si="300"/>
        <v>本科</v>
      </c>
      <c r="F581" s="6" t="str">
        <f>"经济学学士"</f>
        <v>经济学学士</v>
      </c>
      <c r="G581" s="6" t="str">
        <f>"经济学"</f>
        <v>经济学</v>
      </c>
      <c r="H581" s="7" t="s">
        <v>9</v>
      </c>
    </row>
    <row r="582" spans="1:8" ht="15" customHeight="1">
      <c r="A582" s="5">
        <v>580</v>
      </c>
      <c r="B582" s="6" t="str">
        <f>"符坚鹏"</f>
        <v>符坚鹏</v>
      </c>
      <c r="C582" s="6" t="str">
        <f t="shared" si="302"/>
        <v>男</v>
      </c>
      <c r="D582" s="6" t="str">
        <f>"1992-02-04"</f>
        <v>1992-02-04</v>
      </c>
      <c r="E582" s="6" t="str">
        <f t="shared" si="300"/>
        <v>本科</v>
      </c>
      <c r="F582" s="6" t="str">
        <f aca="true" t="shared" si="304" ref="F582:F584">"管理学学士"</f>
        <v>管理学学士</v>
      </c>
      <c r="G582" s="6" t="str">
        <f>"工商管理"</f>
        <v>工商管理</v>
      </c>
      <c r="H582" s="7" t="s">
        <v>9</v>
      </c>
    </row>
    <row r="583" spans="1:8" ht="15" customHeight="1">
      <c r="A583" s="5">
        <v>581</v>
      </c>
      <c r="B583" s="6" t="str">
        <f>"颜丽颜"</f>
        <v>颜丽颜</v>
      </c>
      <c r="C583" s="6" t="str">
        <f t="shared" si="303"/>
        <v>女</v>
      </c>
      <c r="D583" s="6" t="str">
        <f>"1995-10-23"</f>
        <v>1995-10-23</v>
      </c>
      <c r="E583" s="6" t="str">
        <f t="shared" si="300"/>
        <v>本科</v>
      </c>
      <c r="F583" s="6" t="str">
        <f t="shared" si="304"/>
        <v>管理学学士</v>
      </c>
      <c r="G583" s="6" t="str">
        <f>"文化产业管理"</f>
        <v>文化产业管理</v>
      </c>
      <c r="H583" s="7" t="s">
        <v>9</v>
      </c>
    </row>
    <row r="584" spans="1:8" ht="15" customHeight="1">
      <c r="A584" s="5">
        <v>582</v>
      </c>
      <c r="B584" s="6" t="str">
        <f>"吴京奕"</f>
        <v>吴京奕</v>
      </c>
      <c r="C584" s="6" t="str">
        <f t="shared" si="302"/>
        <v>男</v>
      </c>
      <c r="D584" s="6" t="str">
        <f>"1996-04-09"</f>
        <v>1996-04-09</v>
      </c>
      <c r="E584" s="6" t="str">
        <f t="shared" si="300"/>
        <v>本科</v>
      </c>
      <c r="F584" s="6" t="str">
        <f t="shared" si="304"/>
        <v>管理学学士</v>
      </c>
      <c r="G584" s="6" t="str">
        <f>"审计学"</f>
        <v>审计学</v>
      </c>
      <c r="H584" s="7" t="s">
        <v>9</v>
      </c>
    </row>
    <row r="585" spans="1:8" ht="15" customHeight="1">
      <c r="A585" s="5">
        <v>583</v>
      </c>
      <c r="B585" s="6" t="str">
        <f>"洪支娥"</f>
        <v>洪支娥</v>
      </c>
      <c r="C585" s="6" t="str">
        <f t="shared" si="303"/>
        <v>女</v>
      </c>
      <c r="D585" s="6" t="str">
        <f>"1999-12-06"</f>
        <v>1999-12-06</v>
      </c>
      <c r="E585" s="6" t="str">
        <f t="shared" si="300"/>
        <v>本科</v>
      </c>
      <c r="F585" s="6" t="str">
        <f>"经济学学士"</f>
        <v>经济学学士</v>
      </c>
      <c r="G585" s="6" t="str">
        <f>"金融数学"</f>
        <v>金融数学</v>
      </c>
      <c r="H585" s="7" t="s">
        <v>9</v>
      </c>
    </row>
    <row r="586" spans="1:8" ht="15" customHeight="1">
      <c r="A586" s="5">
        <v>584</v>
      </c>
      <c r="B586" s="6" t="str">
        <f>"蒙淑娇"</f>
        <v>蒙淑娇</v>
      </c>
      <c r="C586" s="6" t="str">
        <f t="shared" si="303"/>
        <v>女</v>
      </c>
      <c r="D586" s="6" t="str">
        <f>"1999-05-24"</f>
        <v>1999-05-24</v>
      </c>
      <c r="E586" s="6" t="str">
        <f t="shared" si="300"/>
        <v>本科</v>
      </c>
      <c r="F586" s="6" t="str">
        <f aca="true" t="shared" si="305" ref="F586:F588">"工学学士"</f>
        <v>工学学士</v>
      </c>
      <c r="G586" s="6" t="str">
        <f>"土木工程"</f>
        <v>土木工程</v>
      </c>
      <c r="H586" s="7" t="s">
        <v>9</v>
      </c>
    </row>
    <row r="587" spans="1:8" ht="15" customHeight="1">
      <c r="A587" s="5">
        <v>585</v>
      </c>
      <c r="B587" s="6" t="str">
        <f>"施苗苗"</f>
        <v>施苗苗</v>
      </c>
      <c r="C587" s="6" t="str">
        <f t="shared" si="303"/>
        <v>女</v>
      </c>
      <c r="D587" s="6" t="str">
        <f>"1994-11-23"</f>
        <v>1994-11-23</v>
      </c>
      <c r="E587" s="6" t="str">
        <f>"全日制本科"</f>
        <v>全日制本科</v>
      </c>
      <c r="F587" s="6" t="str">
        <f t="shared" si="305"/>
        <v>工学学士</v>
      </c>
      <c r="G587" s="6" t="str">
        <f>"风景专业"</f>
        <v>风景专业</v>
      </c>
      <c r="H587" s="7" t="s">
        <v>9</v>
      </c>
    </row>
    <row r="588" spans="1:8" ht="15" customHeight="1">
      <c r="A588" s="5">
        <v>586</v>
      </c>
      <c r="B588" s="6" t="str">
        <f>"林奕东"</f>
        <v>林奕东</v>
      </c>
      <c r="C588" s="6" t="str">
        <f aca="true" t="shared" si="306" ref="C588:C594">"男"</f>
        <v>男</v>
      </c>
      <c r="D588" s="6" t="str">
        <f>"1993-02-07"</f>
        <v>1993-02-07</v>
      </c>
      <c r="E588" s="6" t="str">
        <f aca="true" t="shared" si="307" ref="E588:E592">"本科"</f>
        <v>本科</v>
      </c>
      <c r="F588" s="6" t="str">
        <f t="shared" si="305"/>
        <v>工学学士</v>
      </c>
      <c r="G588" s="6" t="str">
        <f>"城市规划"</f>
        <v>城市规划</v>
      </c>
      <c r="H588" s="7" t="s">
        <v>9</v>
      </c>
    </row>
    <row r="589" spans="1:8" ht="15" customHeight="1">
      <c r="A589" s="5">
        <v>587</v>
      </c>
      <c r="B589" s="6" t="str">
        <f>"陈赞博"</f>
        <v>陈赞博</v>
      </c>
      <c r="C589" s="6" t="str">
        <f t="shared" si="306"/>
        <v>男</v>
      </c>
      <c r="D589" s="6" t="str">
        <f>"1994-11-05"</f>
        <v>1994-11-05</v>
      </c>
      <c r="E589" s="6" t="str">
        <f>"大学本科"</f>
        <v>大学本科</v>
      </c>
      <c r="F589" s="6" t="str">
        <f>"管理学学士"</f>
        <v>管理学学士</v>
      </c>
      <c r="G589" s="6" t="str">
        <f>"公共事业管理"</f>
        <v>公共事业管理</v>
      </c>
      <c r="H589" s="7" t="s">
        <v>9</v>
      </c>
    </row>
    <row r="590" spans="1:8" ht="15" customHeight="1">
      <c r="A590" s="5">
        <v>588</v>
      </c>
      <c r="B590" s="6" t="str">
        <f>"李金桃"</f>
        <v>李金桃</v>
      </c>
      <c r="C590" s="6" t="str">
        <f aca="true" t="shared" si="308" ref="C590:C595">"女"</f>
        <v>女</v>
      </c>
      <c r="D590" s="6" t="str">
        <f>"2000-09-06"</f>
        <v>2000-09-06</v>
      </c>
      <c r="E590" s="6" t="str">
        <f t="shared" si="307"/>
        <v>本科</v>
      </c>
      <c r="F590" s="6" t="str">
        <f>"管理学学士"</f>
        <v>管理学学士</v>
      </c>
      <c r="G590" s="6" t="str">
        <f>"旅游管理"</f>
        <v>旅游管理</v>
      </c>
      <c r="H590" s="7" t="s">
        <v>9</v>
      </c>
    </row>
    <row r="591" spans="1:8" ht="15" customHeight="1">
      <c r="A591" s="5">
        <v>589</v>
      </c>
      <c r="B591" s="6" t="str">
        <f>"王萃英"</f>
        <v>王萃英</v>
      </c>
      <c r="C591" s="6" t="str">
        <f t="shared" si="308"/>
        <v>女</v>
      </c>
      <c r="D591" s="6" t="str">
        <f>"2000-01-24"</f>
        <v>2000-01-24</v>
      </c>
      <c r="E591" s="6" t="str">
        <f t="shared" si="307"/>
        <v>本科</v>
      </c>
      <c r="F591" s="6" t="str">
        <f>"文学学士"</f>
        <v>文学学士</v>
      </c>
      <c r="G591" s="6" t="str">
        <f>"汉语言文学"</f>
        <v>汉语言文学</v>
      </c>
      <c r="H591" s="7" t="s">
        <v>9</v>
      </c>
    </row>
    <row r="592" spans="1:8" ht="15" customHeight="1">
      <c r="A592" s="5">
        <v>590</v>
      </c>
      <c r="B592" s="6" t="str">
        <f>"庄圣达"</f>
        <v>庄圣达</v>
      </c>
      <c r="C592" s="6" t="str">
        <f t="shared" si="306"/>
        <v>男</v>
      </c>
      <c r="D592" s="6" t="str">
        <f>"1996-01-23"</f>
        <v>1996-01-23</v>
      </c>
      <c r="E592" s="6" t="str">
        <f t="shared" si="307"/>
        <v>本科</v>
      </c>
      <c r="F592" s="6" t="str">
        <f>"学士"</f>
        <v>学士</v>
      </c>
      <c r="G592" s="6" t="str">
        <f>"财务管理"</f>
        <v>财务管理</v>
      </c>
      <c r="H592" s="7" t="s">
        <v>9</v>
      </c>
    </row>
    <row r="593" spans="1:8" ht="15" customHeight="1">
      <c r="A593" s="5">
        <v>591</v>
      </c>
      <c r="B593" s="6" t="str">
        <f>"吴巨猷"</f>
        <v>吴巨猷</v>
      </c>
      <c r="C593" s="6" t="str">
        <f t="shared" si="306"/>
        <v>男</v>
      </c>
      <c r="D593" s="6" t="str">
        <f>"1993-04-15"</f>
        <v>1993-04-15</v>
      </c>
      <c r="E593" s="6" t="str">
        <f>"大学本科学历"</f>
        <v>大学本科学历</v>
      </c>
      <c r="F593" s="6" t="str">
        <f>"管理学士"</f>
        <v>管理学士</v>
      </c>
      <c r="G593" s="6" t="str">
        <f>"财务管理"</f>
        <v>财务管理</v>
      </c>
      <c r="H593" s="7" t="s">
        <v>9</v>
      </c>
    </row>
    <row r="594" spans="1:8" ht="15" customHeight="1">
      <c r="A594" s="5">
        <v>592</v>
      </c>
      <c r="B594" s="6" t="str">
        <f>"符式军"</f>
        <v>符式军</v>
      </c>
      <c r="C594" s="6" t="str">
        <f t="shared" si="306"/>
        <v>男</v>
      </c>
      <c r="D594" s="6" t="str">
        <f>"1997-07-08"</f>
        <v>1997-07-08</v>
      </c>
      <c r="E594" s="6" t="str">
        <f>"大学本科"</f>
        <v>大学本科</v>
      </c>
      <c r="F594" s="6" t="str">
        <f aca="true" t="shared" si="309" ref="F594:F596">"工学学士"</f>
        <v>工学学士</v>
      </c>
      <c r="G594" s="6" t="str">
        <f>"物联网工程"</f>
        <v>物联网工程</v>
      </c>
      <c r="H594" s="7" t="s">
        <v>9</v>
      </c>
    </row>
    <row r="595" spans="1:8" ht="15" customHeight="1">
      <c r="A595" s="5">
        <v>593</v>
      </c>
      <c r="B595" s="6" t="str">
        <f>"朱紫"</f>
        <v>朱紫</v>
      </c>
      <c r="C595" s="6" t="str">
        <f t="shared" si="308"/>
        <v>女</v>
      </c>
      <c r="D595" s="6" t="str">
        <f>"2000-04-04"</f>
        <v>2000-04-04</v>
      </c>
      <c r="E595" s="6" t="str">
        <f aca="true" t="shared" si="310" ref="E595:E599">"本科"</f>
        <v>本科</v>
      </c>
      <c r="F595" s="6" t="str">
        <f t="shared" si="309"/>
        <v>工学学士</v>
      </c>
      <c r="G595" s="6" t="str">
        <f>"计算机科学与技术"</f>
        <v>计算机科学与技术</v>
      </c>
      <c r="H595" s="7" t="s">
        <v>9</v>
      </c>
    </row>
    <row r="596" spans="1:8" ht="15" customHeight="1">
      <c r="A596" s="5">
        <v>594</v>
      </c>
      <c r="B596" s="6" t="str">
        <f>"尚华"</f>
        <v>尚华</v>
      </c>
      <c r="C596" s="6" t="str">
        <f>"男"</f>
        <v>男</v>
      </c>
      <c r="D596" s="6" t="str">
        <f>"1994-05-02"</f>
        <v>1994-05-02</v>
      </c>
      <c r="E596" s="6" t="str">
        <f t="shared" si="310"/>
        <v>本科</v>
      </c>
      <c r="F596" s="6" t="str">
        <f t="shared" si="309"/>
        <v>工学学士</v>
      </c>
      <c r="G596" s="6" t="str">
        <f>"计算机科学与技术（软件方向）"</f>
        <v>计算机科学与技术（软件方向）</v>
      </c>
      <c r="H596" s="7" t="s">
        <v>9</v>
      </c>
    </row>
    <row r="597" spans="1:8" ht="15" customHeight="1">
      <c r="A597" s="5">
        <v>595</v>
      </c>
      <c r="B597" s="6" t="str">
        <f>"张颖"</f>
        <v>张颖</v>
      </c>
      <c r="C597" s="6" t="str">
        <f aca="true" t="shared" si="311" ref="C597:C601">"女"</f>
        <v>女</v>
      </c>
      <c r="D597" s="6" t="str">
        <f>"1992-11-16"</f>
        <v>1992-11-16</v>
      </c>
      <c r="E597" s="6" t="str">
        <f aca="true" t="shared" si="312" ref="E597:E601">"大学本科学历"</f>
        <v>大学本科学历</v>
      </c>
      <c r="F597" s="6" t="str">
        <f aca="true" t="shared" si="313" ref="F597:F601">"管理学学士"</f>
        <v>管理学学士</v>
      </c>
      <c r="G597" s="6" t="str">
        <f>"工商管理"</f>
        <v>工商管理</v>
      </c>
      <c r="H597" s="7" t="s">
        <v>9</v>
      </c>
    </row>
    <row r="598" spans="1:8" ht="15" customHeight="1">
      <c r="A598" s="5">
        <v>596</v>
      </c>
      <c r="B598" s="6" t="str">
        <f>"甘昌灏"</f>
        <v>甘昌灏</v>
      </c>
      <c r="C598" s="6" t="str">
        <f aca="true" t="shared" si="314" ref="C598:C603">"男"</f>
        <v>男</v>
      </c>
      <c r="D598" s="6" t="str">
        <f>"1996-06-15"</f>
        <v>1996-06-15</v>
      </c>
      <c r="E598" s="6" t="str">
        <f>"大学本科"</f>
        <v>大学本科</v>
      </c>
      <c r="F598" s="6" t="str">
        <f>"管理学学士学位"</f>
        <v>管理学学士学位</v>
      </c>
      <c r="G598" s="6" t="str">
        <f>"审计学"</f>
        <v>审计学</v>
      </c>
      <c r="H598" s="7" t="s">
        <v>9</v>
      </c>
    </row>
    <row r="599" spans="1:8" ht="15" customHeight="1">
      <c r="A599" s="5">
        <v>597</v>
      </c>
      <c r="B599" s="6" t="str">
        <f>"谢爱莲"</f>
        <v>谢爱莲</v>
      </c>
      <c r="C599" s="6" t="str">
        <f t="shared" si="311"/>
        <v>女</v>
      </c>
      <c r="D599" s="6" t="str">
        <f>"1999-08-31"</f>
        <v>1999-08-31</v>
      </c>
      <c r="E599" s="6" t="str">
        <f t="shared" si="310"/>
        <v>本科</v>
      </c>
      <c r="F599" s="6" t="str">
        <f t="shared" si="313"/>
        <v>管理学学士</v>
      </c>
      <c r="G599" s="6" t="str">
        <f>"旅游管理"</f>
        <v>旅游管理</v>
      </c>
      <c r="H599" s="7" t="s">
        <v>9</v>
      </c>
    </row>
    <row r="600" spans="1:8" ht="15" customHeight="1">
      <c r="A600" s="5">
        <v>598</v>
      </c>
      <c r="B600" s="6" t="str">
        <f>"陈春玉"</f>
        <v>陈春玉</v>
      </c>
      <c r="C600" s="6" t="str">
        <f t="shared" si="311"/>
        <v>女</v>
      </c>
      <c r="D600" s="6" t="str">
        <f>"1996-02-26"</f>
        <v>1996-02-26</v>
      </c>
      <c r="E600" s="6" t="str">
        <f t="shared" si="312"/>
        <v>大学本科学历</v>
      </c>
      <c r="F600" s="6" t="str">
        <f>"工学学士"</f>
        <v>工学学士</v>
      </c>
      <c r="G600" s="6" t="str">
        <f>"环境科学与工程"</f>
        <v>环境科学与工程</v>
      </c>
      <c r="H600" s="7" t="s">
        <v>9</v>
      </c>
    </row>
    <row r="601" spans="1:8" ht="15" customHeight="1">
      <c r="A601" s="5">
        <v>599</v>
      </c>
      <c r="B601" s="6" t="str">
        <f>"赵钰涵"</f>
        <v>赵钰涵</v>
      </c>
      <c r="C601" s="6" t="str">
        <f t="shared" si="311"/>
        <v>女</v>
      </c>
      <c r="D601" s="6" t="str">
        <f>"1997-04-23"</f>
        <v>1997-04-23</v>
      </c>
      <c r="E601" s="6" t="str">
        <f t="shared" si="312"/>
        <v>大学本科学历</v>
      </c>
      <c r="F601" s="6" t="str">
        <f t="shared" si="313"/>
        <v>管理学学士</v>
      </c>
      <c r="G601" s="6" t="str">
        <f>"文化产业管理"</f>
        <v>文化产业管理</v>
      </c>
      <c r="H601" s="7" t="s">
        <v>9</v>
      </c>
    </row>
    <row r="602" spans="1:8" ht="15" customHeight="1">
      <c r="A602" s="5">
        <v>600</v>
      </c>
      <c r="B602" s="6" t="str">
        <f>"李杰斌"</f>
        <v>李杰斌</v>
      </c>
      <c r="C602" s="6" t="str">
        <f t="shared" si="314"/>
        <v>男</v>
      </c>
      <c r="D602" s="6" t="str">
        <f>"2000-10-04"</f>
        <v>2000-10-04</v>
      </c>
      <c r="E602" s="6" t="str">
        <f aca="true" t="shared" si="315" ref="E602:E606">"本科"</f>
        <v>本科</v>
      </c>
      <c r="F602" s="6" t="str">
        <f>"工学学士"</f>
        <v>工学学士</v>
      </c>
      <c r="G602" s="6" t="str">
        <f>"给排水科学与工程"</f>
        <v>给排水科学与工程</v>
      </c>
      <c r="H602" s="7" t="s">
        <v>9</v>
      </c>
    </row>
    <row r="603" spans="1:8" ht="15" customHeight="1">
      <c r="A603" s="5">
        <v>601</v>
      </c>
      <c r="B603" s="6" t="str">
        <f>"符江泽"</f>
        <v>符江泽</v>
      </c>
      <c r="C603" s="6" t="str">
        <f t="shared" si="314"/>
        <v>男</v>
      </c>
      <c r="D603" s="6" t="str">
        <f>"1992-06-28"</f>
        <v>1992-06-28</v>
      </c>
      <c r="E603" s="6" t="str">
        <f t="shared" si="315"/>
        <v>本科</v>
      </c>
      <c r="F603" s="6" t="str">
        <f>"管理学位"</f>
        <v>管理学位</v>
      </c>
      <c r="G603" s="6" t="str">
        <f>"信息管理与信息系统"</f>
        <v>信息管理与信息系统</v>
      </c>
      <c r="H603" s="7" t="s">
        <v>9</v>
      </c>
    </row>
    <row r="604" spans="1:8" ht="15" customHeight="1">
      <c r="A604" s="5">
        <v>602</v>
      </c>
      <c r="B604" s="6" t="str">
        <f>"农惠"</f>
        <v>农惠</v>
      </c>
      <c r="C604" s="6" t="str">
        <f aca="true" t="shared" si="316" ref="C604:C610">"女"</f>
        <v>女</v>
      </c>
      <c r="D604" s="6" t="str">
        <f>"1995-08-21"</f>
        <v>1995-08-21</v>
      </c>
      <c r="E604" s="6" t="str">
        <f t="shared" si="315"/>
        <v>本科</v>
      </c>
      <c r="F604" s="6" t="str">
        <f aca="true" t="shared" si="317" ref="F604:F612">"管理学学士"</f>
        <v>管理学学士</v>
      </c>
      <c r="G604" s="6" t="str">
        <f>"旅游管理"</f>
        <v>旅游管理</v>
      </c>
      <c r="H604" s="7" t="s">
        <v>9</v>
      </c>
    </row>
    <row r="605" spans="1:8" ht="15" customHeight="1">
      <c r="A605" s="5">
        <v>603</v>
      </c>
      <c r="B605" s="6" t="str">
        <f>"陈基"</f>
        <v>陈基</v>
      </c>
      <c r="C605" s="6" t="str">
        <f aca="true" t="shared" si="318" ref="C605:C608">"男"</f>
        <v>男</v>
      </c>
      <c r="D605" s="6" t="str">
        <f>"1988-11-08"</f>
        <v>1988-11-08</v>
      </c>
      <c r="E605" s="6" t="str">
        <f t="shared" si="315"/>
        <v>本科</v>
      </c>
      <c r="F605" s="6" t="str">
        <f t="shared" si="317"/>
        <v>管理学学士</v>
      </c>
      <c r="G605" s="6" t="str">
        <f>"工业工程"</f>
        <v>工业工程</v>
      </c>
      <c r="H605" s="7" t="s">
        <v>9</v>
      </c>
    </row>
    <row r="606" spans="1:8" ht="15" customHeight="1">
      <c r="A606" s="5">
        <v>604</v>
      </c>
      <c r="B606" s="6" t="str">
        <f>"黄世雄"</f>
        <v>黄世雄</v>
      </c>
      <c r="C606" s="6" t="str">
        <f t="shared" si="318"/>
        <v>男</v>
      </c>
      <c r="D606" s="6" t="str">
        <f>"1997-10-21"</f>
        <v>1997-10-21</v>
      </c>
      <c r="E606" s="6" t="str">
        <f t="shared" si="315"/>
        <v>本科</v>
      </c>
      <c r="F606" s="6" t="str">
        <f>"农学学士"</f>
        <v>农学学士</v>
      </c>
      <c r="G606" s="6" t="str">
        <f>"水产养殖学"</f>
        <v>水产养殖学</v>
      </c>
      <c r="H606" s="7" t="s">
        <v>9</v>
      </c>
    </row>
    <row r="607" spans="1:8" ht="15" customHeight="1">
      <c r="A607" s="5">
        <v>605</v>
      </c>
      <c r="B607" s="6" t="str">
        <f>"宋晓晓"</f>
        <v>宋晓晓</v>
      </c>
      <c r="C607" s="6" t="str">
        <f t="shared" si="316"/>
        <v>女</v>
      </c>
      <c r="D607" s="6" t="str">
        <f>"2000-05-03"</f>
        <v>2000-05-03</v>
      </c>
      <c r="E607" s="6" t="str">
        <f>"大学本科学历"</f>
        <v>大学本科学历</v>
      </c>
      <c r="F607" s="6" t="str">
        <f>"理学学士"</f>
        <v>理学学士</v>
      </c>
      <c r="G607" s="6" t="str">
        <f>"环境科学"</f>
        <v>环境科学</v>
      </c>
      <c r="H607" s="7" t="s">
        <v>9</v>
      </c>
    </row>
    <row r="608" spans="1:8" ht="15" customHeight="1">
      <c r="A608" s="5">
        <v>606</v>
      </c>
      <c r="B608" s="6" t="str">
        <f>"卢亚伟"</f>
        <v>卢亚伟</v>
      </c>
      <c r="C608" s="6" t="str">
        <f t="shared" si="318"/>
        <v>男</v>
      </c>
      <c r="D608" s="6" t="str">
        <f>"1991-01-05"</f>
        <v>1991-01-05</v>
      </c>
      <c r="E608" s="6" t="str">
        <f aca="true" t="shared" si="319" ref="E608:E610">"本科"</f>
        <v>本科</v>
      </c>
      <c r="F608" s="6" t="str">
        <f>"学士学位"</f>
        <v>学士学位</v>
      </c>
      <c r="G608" s="6" t="str">
        <f>"园艺"</f>
        <v>园艺</v>
      </c>
      <c r="H608" s="7" t="s">
        <v>9</v>
      </c>
    </row>
    <row r="609" spans="1:8" ht="15" customHeight="1">
      <c r="A609" s="5">
        <v>607</v>
      </c>
      <c r="B609" s="6" t="str">
        <f>"陈香"</f>
        <v>陈香</v>
      </c>
      <c r="C609" s="6" t="str">
        <f t="shared" si="316"/>
        <v>女</v>
      </c>
      <c r="D609" s="6" t="str">
        <f>"1997-11-25"</f>
        <v>1997-11-25</v>
      </c>
      <c r="E609" s="6" t="str">
        <f t="shared" si="319"/>
        <v>本科</v>
      </c>
      <c r="F609" s="6" t="str">
        <f t="shared" si="317"/>
        <v>管理学学士</v>
      </c>
      <c r="G609" s="6" t="str">
        <f>"旅游管理"</f>
        <v>旅游管理</v>
      </c>
      <c r="H609" s="7" t="s">
        <v>9</v>
      </c>
    </row>
    <row r="610" spans="1:8" ht="15" customHeight="1">
      <c r="A610" s="5">
        <v>608</v>
      </c>
      <c r="B610" s="6" t="str">
        <f>"冯冬春"</f>
        <v>冯冬春</v>
      </c>
      <c r="C610" s="6" t="str">
        <f t="shared" si="316"/>
        <v>女</v>
      </c>
      <c r="D610" s="6" t="str">
        <f>"1994-09-12"</f>
        <v>1994-09-12</v>
      </c>
      <c r="E610" s="6" t="str">
        <f t="shared" si="319"/>
        <v>本科</v>
      </c>
      <c r="F610" s="6" t="str">
        <f t="shared" si="317"/>
        <v>管理学学士</v>
      </c>
      <c r="G610" s="6" t="str">
        <f>"财务管理"</f>
        <v>财务管理</v>
      </c>
      <c r="H610" s="7" t="s">
        <v>9</v>
      </c>
    </row>
    <row r="611" spans="1:8" ht="15" customHeight="1">
      <c r="A611" s="5">
        <v>609</v>
      </c>
      <c r="B611" s="6" t="str">
        <f>"高飞"</f>
        <v>高飞</v>
      </c>
      <c r="C611" s="6" t="str">
        <f aca="true" t="shared" si="320" ref="C611:C615">"男"</f>
        <v>男</v>
      </c>
      <c r="D611" s="6" t="str">
        <f>"1998-11-16"</f>
        <v>1998-11-16</v>
      </c>
      <c r="E611" s="6" t="str">
        <f aca="true" t="shared" si="321" ref="E611:E616">"大学本科"</f>
        <v>大学本科</v>
      </c>
      <c r="F611" s="6" t="str">
        <f t="shared" si="317"/>
        <v>管理学学士</v>
      </c>
      <c r="G611" s="6" t="str">
        <f>"劳动与社会保障"</f>
        <v>劳动与社会保障</v>
      </c>
      <c r="H611" s="7" t="s">
        <v>9</v>
      </c>
    </row>
    <row r="612" spans="1:8" ht="15" customHeight="1">
      <c r="A612" s="5">
        <v>610</v>
      </c>
      <c r="B612" s="6" t="str">
        <f>"陈雅婷"</f>
        <v>陈雅婷</v>
      </c>
      <c r="C612" s="6" t="str">
        <f aca="true" t="shared" si="322" ref="C612:C616">"女"</f>
        <v>女</v>
      </c>
      <c r="D612" s="6" t="str">
        <f>"1996-10-30"</f>
        <v>1996-10-30</v>
      </c>
      <c r="E612" s="6" t="str">
        <f t="shared" si="321"/>
        <v>大学本科</v>
      </c>
      <c r="F612" s="6" t="str">
        <f t="shared" si="317"/>
        <v>管理学学士</v>
      </c>
      <c r="G612" s="6" t="str">
        <f>"行政管理"</f>
        <v>行政管理</v>
      </c>
      <c r="H612" s="7" t="s">
        <v>9</v>
      </c>
    </row>
    <row r="613" spans="1:8" ht="15" customHeight="1">
      <c r="A613" s="5">
        <v>611</v>
      </c>
      <c r="B613" s="6" t="str">
        <f>"邢柔柔"</f>
        <v>邢柔柔</v>
      </c>
      <c r="C613" s="6" t="str">
        <f t="shared" si="322"/>
        <v>女</v>
      </c>
      <c r="D613" s="6" t="str">
        <f>"2000-06-28"</f>
        <v>2000-06-28</v>
      </c>
      <c r="E613" s="6" t="str">
        <f aca="true" t="shared" si="323" ref="E613:E615">"本科"</f>
        <v>本科</v>
      </c>
      <c r="F613" s="6" t="str">
        <f>"工学学士"</f>
        <v>工学学士</v>
      </c>
      <c r="G613" s="6" t="str">
        <f>"财务管理"</f>
        <v>财务管理</v>
      </c>
      <c r="H613" s="7" t="s">
        <v>9</v>
      </c>
    </row>
    <row r="614" spans="1:8" ht="15" customHeight="1">
      <c r="A614" s="5">
        <v>612</v>
      </c>
      <c r="B614" s="6" t="str">
        <f>"陈运"</f>
        <v>陈运</v>
      </c>
      <c r="C614" s="6" t="str">
        <f t="shared" si="320"/>
        <v>男</v>
      </c>
      <c r="D614" s="6" t="str">
        <f>"1997-07-19"</f>
        <v>1997-07-19</v>
      </c>
      <c r="E614" s="6" t="str">
        <f t="shared" si="323"/>
        <v>本科</v>
      </c>
      <c r="F614" s="6" t="str">
        <f>"文学学士"</f>
        <v>文学学士</v>
      </c>
      <c r="G614" s="6" t="str">
        <f>"新闻学"</f>
        <v>新闻学</v>
      </c>
      <c r="H614" s="7" t="s">
        <v>9</v>
      </c>
    </row>
    <row r="615" spans="1:8" ht="15" customHeight="1">
      <c r="A615" s="5">
        <v>613</v>
      </c>
      <c r="B615" s="6" t="str">
        <f>"王群驹"</f>
        <v>王群驹</v>
      </c>
      <c r="C615" s="6" t="str">
        <f t="shared" si="320"/>
        <v>男</v>
      </c>
      <c r="D615" s="6" t="str">
        <f>"1992-01-22"</f>
        <v>1992-01-22</v>
      </c>
      <c r="E615" s="6" t="str">
        <f t="shared" si="323"/>
        <v>本科</v>
      </c>
      <c r="F615" s="6" t="str">
        <f>"农学学士"</f>
        <v>农学学士</v>
      </c>
      <c r="G615" s="6" t="str">
        <f>"园艺"</f>
        <v>园艺</v>
      </c>
      <c r="H615" s="7" t="s">
        <v>9</v>
      </c>
    </row>
    <row r="616" spans="1:8" ht="15" customHeight="1">
      <c r="A616" s="5">
        <v>614</v>
      </c>
      <c r="B616" s="6" t="str">
        <f>"莫雪妮"</f>
        <v>莫雪妮</v>
      </c>
      <c r="C616" s="6" t="str">
        <f t="shared" si="322"/>
        <v>女</v>
      </c>
      <c r="D616" s="6" t="str">
        <f>"1999-07-12"</f>
        <v>1999-07-12</v>
      </c>
      <c r="E616" s="6" t="str">
        <f t="shared" si="321"/>
        <v>大学本科</v>
      </c>
      <c r="F616" s="6" t="str">
        <f>"经济学学士"</f>
        <v>经济学学士</v>
      </c>
      <c r="G616" s="6" t="str">
        <f>"经济学"</f>
        <v>经济学</v>
      </c>
      <c r="H616" s="7" t="s">
        <v>9</v>
      </c>
    </row>
    <row r="617" spans="1:8" ht="15" customHeight="1">
      <c r="A617" s="5">
        <v>615</v>
      </c>
      <c r="B617" s="6" t="str">
        <f>"蔡仁景"</f>
        <v>蔡仁景</v>
      </c>
      <c r="C617" s="6" t="str">
        <f aca="true" t="shared" si="324" ref="C617:C621">"男"</f>
        <v>男</v>
      </c>
      <c r="D617" s="6" t="str">
        <f>"2000-03-28"</f>
        <v>2000-03-28</v>
      </c>
      <c r="E617" s="6" t="str">
        <f>"大学本科学历"</f>
        <v>大学本科学历</v>
      </c>
      <c r="F617" s="6" t="str">
        <f>"学士学位"</f>
        <v>学士学位</v>
      </c>
      <c r="G617" s="6" t="str">
        <f>"应用统计学"</f>
        <v>应用统计学</v>
      </c>
      <c r="H617" s="7" t="s">
        <v>9</v>
      </c>
    </row>
    <row r="618" spans="1:8" ht="15" customHeight="1">
      <c r="A618" s="5">
        <v>616</v>
      </c>
      <c r="B618" s="6" t="str">
        <f>"姚腾英"</f>
        <v>姚腾英</v>
      </c>
      <c r="C618" s="6" t="str">
        <f t="shared" si="324"/>
        <v>男</v>
      </c>
      <c r="D618" s="6" t="str">
        <f>"1997-03-27"</f>
        <v>1997-03-27</v>
      </c>
      <c r="E618" s="6" t="str">
        <f>"大学本科"</f>
        <v>大学本科</v>
      </c>
      <c r="F618" s="6" t="str">
        <f aca="true" t="shared" si="325" ref="F618:F621">"管理学学士"</f>
        <v>管理学学士</v>
      </c>
      <c r="G618" s="6" t="str">
        <f>"会展经济与管理"</f>
        <v>会展经济与管理</v>
      </c>
      <c r="H618" s="7" t="s">
        <v>9</v>
      </c>
    </row>
    <row r="619" spans="1:8" ht="15" customHeight="1">
      <c r="A619" s="5">
        <v>617</v>
      </c>
      <c r="B619" s="6" t="str">
        <f>"毛冬花"</f>
        <v>毛冬花</v>
      </c>
      <c r="C619" s="6" t="str">
        <f aca="true" t="shared" si="326" ref="C619:C624">"女"</f>
        <v>女</v>
      </c>
      <c r="D619" s="6" t="str">
        <f>"1998-12-12"</f>
        <v>1998-12-12</v>
      </c>
      <c r="E619" s="6" t="str">
        <f aca="true" t="shared" si="327" ref="E619:E621">"本科"</f>
        <v>本科</v>
      </c>
      <c r="F619" s="6" t="str">
        <f>"学士"</f>
        <v>学士</v>
      </c>
      <c r="G619" s="6" t="str">
        <f>"秘书学"</f>
        <v>秘书学</v>
      </c>
      <c r="H619" s="7" t="s">
        <v>9</v>
      </c>
    </row>
    <row r="620" spans="1:8" ht="15" customHeight="1">
      <c r="A620" s="5">
        <v>618</v>
      </c>
      <c r="B620" s="6" t="str">
        <f>"叶长华"</f>
        <v>叶长华</v>
      </c>
      <c r="C620" s="6" t="str">
        <f t="shared" si="324"/>
        <v>男</v>
      </c>
      <c r="D620" s="6" t="str">
        <f>"1989-02-16"</f>
        <v>1989-02-16</v>
      </c>
      <c r="E620" s="6" t="str">
        <f t="shared" si="327"/>
        <v>本科</v>
      </c>
      <c r="F620" s="6" t="str">
        <f t="shared" si="325"/>
        <v>管理学学士</v>
      </c>
      <c r="G620" s="6" t="str">
        <f>"人力资源管理"</f>
        <v>人力资源管理</v>
      </c>
      <c r="H620" s="7" t="s">
        <v>9</v>
      </c>
    </row>
    <row r="621" spans="1:8" ht="15" customHeight="1">
      <c r="A621" s="5">
        <v>619</v>
      </c>
      <c r="B621" s="6" t="str">
        <f>"吴彬"</f>
        <v>吴彬</v>
      </c>
      <c r="C621" s="6" t="str">
        <f t="shared" si="324"/>
        <v>男</v>
      </c>
      <c r="D621" s="6" t="str">
        <f>"1998-06-03"</f>
        <v>1998-06-03</v>
      </c>
      <c r="E621" s="6" t="str">
        <f t="shared" si="327"/>
        <v>本科</v>
      </c>
      <c r="F621" s="6" t="str">
        <f t="shared" si="325"/>
        <v>管理学学士</v>
      </c>
      <c r="G621" s="6" t="str">
        <f>"电子商务"</f>
        <v>电子商务</v>
      </c>
      <c r="H621" s="7" t="s">
        <v>9</v>
      </c>
    </row>
    <row r="622" spans="1:8" ht="15" customHeight="1">
      <c r="A622" s="5">
        <v>620</v>
      </c>
      <c r="B622" s="6" t="str">
        <f>"陈桂兴"</f>
        <v>陈桂兴</v>
      </c>
      <c r="C622" s="6" t="str">
        <f t="shared" si="326"/>
        <v>女</v>
      </c>
      <c r="D622" s="6" t="str">
        <f>"1997-12-02"</f>
        <v>1997-12-02</v>
      </c>
      <c r="E622" s="6" t="str">
        <f>"大学本科"</f>
        <v>大学本科</v>
      </c>
      <c r="F622" s="6" t="str">
        <f>"经济学学位"</f>
        <v>经济学学位</v>
      </c>
      <c r="G622" s="6" t="str">
        <f>"投资学"</f>
        <v>投资学</v>
      </c>
      <c r="H622" s="7" t="s">
        <v>9</v>
      </c>
    </row>
    <row r="623" spans="1:8" ht="15" customHeight="1">
      <c r="A623" s="5">
        <v>621</v>
      </c>
      <c r="B623" s="6" t="str">
        <f>"伍绍益"</f>
        <v>伍绍益</v>
      </c>
      <c r="C623" s="6" t="str">
        <f>"男"</f>
        <v>男</v>
      </c>
      <c r="D623" s="6" t="str">
        <f>"1999-11-11"</f>
        <v>1999-11-11</v>
      </c>
      <c r="E623" s="6" t="str">
        <f aca="true" t="shared" si="328" ref="E623:E625">"本科"</f>
        <v>本科</v>
      </c>
      <c r="F623" s="6" t="str">
        <f>"工学学士"</f>
        <v>工学学士</v>
      </c>
      <c r="G623" s="6" t="str">
        <f>"土木工程"</f>
        <v>土木工程</v>
      </c>
      <c r="H623" s="7" t="s">
        <v>9</v>
      </c>
    </row>
    <row r="624" spans="1:8" ht="15" customHeight="1">
      <c r="A624" s="5">
        <v>622</v>
      </c>
      <c r="B624" s="6" t="str">
        <f>"宁静夏"</f>
        <v>宁静夏</v>
      </c>
      <c r="C624" s="6" t="str">
        <f t="shared" si="326"/>
        <v>女</v>
      </c>
      <c r="D624" s="6" t="str">
        <f>"1997-08-03"</f>
        <v>1997-08-03</v>
      </c>
      <c r="E624" s="6" t="str">
        <f t="shared" si="328"/>
        <v>本科</v>
      </c>
      <c r="F624" s="6" t="str">
        <f>"文学学士"</f>
        <v>文学学士</v>
      </c>
      <c r="G624" s="6" t="str">
        <f>"汉语言文学"</f>
        <v>汉语言文学</v>
      </c>
      <c r="H624" s="7" t="s">
        <v>9</v>
      </c>
    </row>
    <row r="625" spans="1:8" ht="15" customHeight="1">
      <c r="A625" s="5">
        <v>623</v>
      </c>
      <c r="B625" s="6" t="str">
        <f>"陈书柏"</f>
        <v>陈书柏</v>
      </c>
      <c r="C625" s="6" t="str">
        <f>"男"</f>
        <v>男</v>
      </c>
      <c r="D625" s="6" t="str">
        <f>"1998-06-15"</f>
        <v>1998-06-15</v>
      </c>
      <c r="E625" s="6" t="str">
        <f t="shared" si="328"/>
        <v>本科</v>
      </c>
      <c r="F625" s="6" t="str">
        <f>"工学学士"</f>
        <v>工学学士</v>
      </c>
      <c r="G625" s="6" t="str">
        <f>"城乡规划"</f>
        <v>城乡规划</v>
      </c>
      <c r="H625" s="7" t="s">
        <v>9</v>
      </c>
    </row>
    <row r="626" spans="1:8" ht="15" customHeight="1">
      <c r="A626" s="5">
        <v>624</v>
      </c>
      <c r="B626" s="6" t="str">
        <f>"邢佳佳"</f>
        <v>邢佳佳</v>
      </c>
      <c r="C626" s="6" t="str">
        <f aca="true" t="shared" si="329" ref="C626:C635">"女"</f>
        <v>女</v>
      </c>
      <c r="D626" s="6" t="str">
        <f>"1998-10-15"</f>
        <v>1998-10-15</v>
      </c>
      <c r="E626" s="6" t="str">
        <f aca="true" t="shared" si="330" ref="E626:E631">"大学本科学历"</f>
        <v>大学本科学历</v>
      </c>
      <c r="F626" s="6" t="str">
        <f>"管理学学士学位"</f>
        <v>管理学学士学位</v>
      </c>
      <c r="G626" s="6" t="str">
        <f>"旅游管理（国际旅游管理）"</f>
        <v>旅游管理（国际旅游管理）</v>
      </c>
      <c r="H626" s="7" t="s">
        <v>9</v>
      </c>
    </row>
    <row r="627" spans="1:8" ht="15" customHeight="1">
      <c r="A627" s="5">
        <v>625</v>
      </c>
      <c r="B627" s="6" t="str">
        <f>"陈娇"</f>
        <v>陈娇</v>
      </c>
      <c r="C627" s="6" t="str">
        <f t="shared" si="329"/>
        <v>女</v>
      </c>
      <c r="D627" s="6" t="str">
        <f>"1994-12-05"</f>
        <v>1994-12-05</v>
      </c>
      <c r="E627" s="6" t="str">
        <f t="shared" si="330"/>
        <v>大学本科学历</v>
      </c>
      <c r="F627" s="6" t="str">
        <f>"管理学学士"</f>
        <v>管理学学士</v>
      </c>
      <c r="G627" s="6" t="str">
        <f>"旅游管理（旅行社管理方向）"</f>
        <v>旅游管理（旅行社管理方向）</v>
      </c>
      <c r="H627" s="7" t="s">
        <v>9</v>
      </c>
    </row>
    <row r="628" spans="1:8" ht="15" customHeight="1">
      <c r="A628" s="5">
        <v>626</v>
      </c>
      <c r="B628" s="6" t="str">
        <f>"许江丽"</f>
        <v>许江丽</v>
      </c>
      <c r="C628" s="6" t="str">
        <f t="shared" si="329"/>
        <v>女</v>
      </c>
      <c r="D628" s="6" t="str">
        <f>"1997-02-23"</f>
        <v>1997-02-23</v>
      </c>
      <c r="E628" s="6" t="str">
        <f>"大学本科"</f>
        <v>大学本科</v>
      </c>
      <c r="F628" s="6" t="str">
        <f>"经济学学士"</f>
        <v>经济学学士</v>
      </c>
      <c r="G628" s="6" t="str">
        <f>"金融学"</f>
        <v>金融学</v>
      </c>
      <c r="H628" s="7" t="s">
        <v>9</v>
      </c>
    </row>
    <row r="629" spans="1:8" ht="15" customHeight="1">
      <c r="A629" s="5">
        <v>627</v>
      </c>
      <c r="B629" s="6" t="str">
        <f>"习秋玉"</f>
        <v>习秋玉</v>
      </c>
      <c r="C629" s="6" t="str">
        <f t="shared" si="329"/>
        <v>女</v>
      </c>
      <c r="D629" s="6" t="str">
        <f>"1998-06-29"</f>
        <v>1998-06-29</v>
      </c>
      <c r="E629" s="6" t="str">
        <f aca="true" t="shared" si="331" ref="E629:E633">"本科"</f>
        <v>本科</v>
      </c>
      <c r="F629" s="6" t="str">
        <f>"管理学学士学位"</f>
        <v>管理学学士学位</v>
      </c>
      <c r="G629" s="6" t="str">
        <f>"市场营销"</f>
        <v>市场营销</v>
      </c>
      <c r="H629" s="7" t="s">
        <v>9</v>
      </c>
    </row>
    <row r="630" spans="1:8" ht="15" customHeight="1">
      <c r="A630" s="5">
        <v>628</v>
      </c>
      <c r="B630" s="6" t="str">
        <f>"郑楉文"</f>
        <v>郑楉文</v>
      </c>
      <c r="C630" s="6" t="str">
        <f t="shared" si="329"/>
        <v>女</v>
      </c>
      <c r="D630" s="6" t="str">
        <f>"1996-06-05"</f>
        <v>1996-06-05</v>
      </c>
      <c r="E630" s="6" t="str">
        <f>"硕士研究生"</f>
        <v>硕士研究生</v>
      </c>
      <c r="F630" s="6" t="str">
        <f>"建筑学硕士"</f>
        <v>建筑学硕士</v>
      </c>
      <c r="G630" s="6" t="str">
        <f>"建筑学"</f>
        <v>建筑学</v>
      </c>
      <c r="H630" s="7" t="s">
        <v>9</v>
      </c>
    </row>
    <row r="631" spans="1:8" ht="15" customHeight="1">
      <c r="A631" s="5">
        <v>629</v>
      </c>
      <c r="B631" s="6" t="str">
        <f>"李颖"</f>
        <v>李颖</v>
      </c>
      <c r="C631" s="6" t="str">
        <f t="shared" si="329"/>
        <v>女</v>
      </c>
      <c r="D631" s="6" t="str">
        <f>"1995-04-30"</f>
        <v>1995-04-30</v>
      </c>
      <c r="E631" s="6" t="str">
        <f t="shared" si="330"/>
        <v>大学本科学历</v>
      </c>
      <c r="F631" s="6" t="str">
        <f>"文学学士"</f>
        <v>文学学士</v>
      </c>
      <c r="G631" s="6" t="str">
        <f>"秘书学"</f>
        <v>秘书学</v>
      </c>
      <c r="H631" s="7" t="s">
        <v>9</v>
      </c>
    </row>
    <row r="632" spans="1:8" ht="15" customHeight="1">
      <c r="A632" s="5">
        <v>630</v>
      </c>
      <c r="B632" s="6" t="str">
        <f>"陈文燕"</f>
        <v>陈文燕</v>
      </c>
      <c r="C632" s="6" t="str">
        <f t="shared" si="329"/>
        <v>女</v>
      </c>
      <c r="D632" s="6" t="str">
        <f>"2000-11-11"</f>
        <v>2000-11-11</v>
      </c>
      <c r="E632" s="6" t="str">
        <f t="shared" si="331"/>
        <v>本科</v>
      </c>
      <c r="F632" s="6" t="str">
        <f>"工学学士"</f>
        <v>工学学士</v>
      </c>
      <c r="G632" s="6" t="str">
        <f>"环境工程"</f>
        <v>环境工程</v>
      </c>
      <c r="H632" s="7" t="s">
        <v>9</v>
      </c>
    </row>
    <row r="633" spans="1:8" ht="15" customHeight="1">
      <c r="A633" s="5">
        <v>631</v>
      </c>
      <c r="B633" s="6" t="str">
        <f>"符丽婷"</f>
        <v>符丽婷</v>
      </c>
      <c r="C633" s="6" t="str">
        <f t="shared" si="329"/>
        <v>女</v>
      </c>
      <c r="D633" s="6" t="str">
        <f>"1991-04-27"</f>
        <v>1991-04-27</v>
      </c>
      <c r="E633" s="6" t="str">
        <f t="shared" si="331"/>
        <v>本科</v>
      </c>
      <c r="F633" s="6" t="str">
        <f>"文学学士学位"</f>
        <v>文学学士学位</v>
      </c>
      <c r="G633" s="6" t="str">
        <f>"汉语言（对外汉语教学方向）"</f>
        <v>汉语言（对外汉语教学方向）</v>
      </c>
      <c r="H633" s="7" t="s">
        <v>9</v>
      </c>
    </row>
    <row r="634" spans="1:8" ht="15" customHeight="1">
      <c r="A634" s="5">
        <v>632</v>
      </c>
      <c r="B634" s="6" t="str">
        <f>"王家美"</f>
        <v>王家美</v>
      </c>
      <c r="C634" s="6" t="str">
        <f t="shared" si="329"/>
        <v>女</v>
      </c>
      <c r="D634" s="6" t="str">
        <f>"1997-11-11"</f>
        <v>1997-11-11</v>
      </c>
      <c r="E634" s="6" t="str">
        <f>"大学本科学历"</f>
        <v>大学本科学历</v>
      </c>
      <c r="F634" s="6" t="str">
        <f>"管理学学士"</f>
        <v>管理学学士</v>
      </c>
      <c r="G634" s="6" t="str">
        <f>"会计学"</f>
        <v>会计学</v>
      </c>
      <c r="H634" s="7" t="s">
        <v>9</v>
      </c>
    </row>
    <row r="635" spans="1:8" ht="15" customHeight="1">
      <c r="A635" s="5">
        <v>633</v>
      </c>
      <c r="B635" s="6" t="str">
        <f>"王晓晴"</f>
        <v>王晓晴</v>
      </c>
      <c r="C635" s="6" t="str">
        <f t="shared" si="329"/>
        <v>女</v>
      </c>
      <c r="D635" s="6" t="str">
        <f>"1999-10-11"</f>
        <v>1999-10-11</v>
      </c>
      <c r="E635" s="6" t="str">
        <f>"大学本科"</f>
        <v>大学本科</v>
      </c>
      <c r="F635" s="6" t="str">
        <f>"文学学士"</f>
        <v>文学学士</v>
      </c>
      <c r="G635" s="6" t="str">
        <f>"汉语国际教育"</f>
        <v>汉语国际教育</v>
      </c>
      <c r="H635" s="7" t="s">
        <v>9</v>
      </c>
    </row>
    <row r="636" spans="1:8" ht="15" customHeight="1">
      <c r="A636" s="5">
        <v>634</v>
      </c>
      <c r="B636" s="6" t="str">
        <f>"符诒凯"</f>
        <v>符诒凯</v>
      </c>
      <c r="C636" s="6" t="str">
        <f>"男"</f>
        <v>男</v>
      </c>
      <c r="D636" s="6" t="str">
        <f>"1998-09-14"</f>
        <v>1998-09-14</v>
      </c>
      <c r="E636" s="6" t="str">
        <f>"大学本科"</f>
        <v>大学本科</v>
      </c>
      <c r="F636" s="6" t="str">
        <f>"经济学学位"</f>
        <v>经济学学位</v>
      </c>
      <c r="G636" s="6" t="str">
        <f>"投资学"</f>
        <v>投资学</v>
      </c>
      <c r="H636" s="7" t="s">
        <v>9</v>
      </c>
    </row>
    <row r="637" spans="1:8" ht="15" customHeight="1">
      <c r="A637" s="5">
        <v>635</v>
      </c>
      <c r="B637" s="6" t="str">
        <f>"蔡淑妃"</f>
        <v>蔡淑妃</v>
      </c>
      <c r="C637" s="6" t="str">
        <f aca="true" t="shared" si="332" ref="C637:C642">"女"</f>
        <v>女</v>
      </c>
      <c r="D637" s="6" t="str">
        <f>"1999-08-07"</f>
        <v>1999-08-07</v>
      </c>
      <c r="E637" s="6" t="str">
        <f aca="true" t="shared" si="333" ref="E637:E642">"本科"</f>
        <v>本科</v>
      </c>
      <c r="F637" s="6" t="str">
        <f>"管理学学士"</f>
        <v>管理学学士</v>
      </c>
      <c r="G637" s="6" t="str">
        <f>"财务管理"</f>
        <v>财务管理</v>
      </c>
      <c r="H637" s="7" t="s">
        <v>9</v>
      </c>
    </row>
    <row r="638" spans="1:8" ht="15" customHeight="1">
      <c r="A638" s="5">
        <v>636</v>
      </c>
      <c r="B638" s="6" t="str">
        <f>"陈廷博"</f>
        <v>陈廷博</v>
      </c>
      <c r="C638" s="6" t="str">
        <f>"男"</f>
        <v>男</v>
      </c>
      <c r="D638" s="6" t="str">
        <f>"1994-03-09"</f>
        <v>1994-03-09</v>
      </c>
      <c r="E638" s="6" t="str">
        <f t="shared" si="333"/>
        <v>本科</v>
      </c>
      <c r="F638" s="6" t="str">
        <f>"工学学士"</f>
        <v>工学学士</v>
      </c>
      <c r="G638" s="6" t="str">
        <f>"人力资源管理"</f>
        <v>人力资源管理</v>
      </c>
      <c r="H638" s="7" t="s">
        <v>9</v>
      </c>
    </row>
    <row r="639" spans="1:8" ht="15" customHeight="1">
      <c r="A639" s="5">
        <v>637</v>
      </c>
      <c r="B639" s="6" t="str">
        <f>"辜创维"</f>
        <v>辜创维</v>
      </c>
      <c r="C639" s="6" t="str">
        <f t="shared" si="332"/>
        <v>女</v>
      </c>
      <c r="D639" s="6" t="str">
        <f>"1993-12-03"</f>
        <v>1993-12-03</v>
      </c>
      <c r="E639" s="6" t="str">
        <f t="shared" si="333"/>
        <v>本科</v>
      </c>
      <c r="F639" s="6" t="str">
        <f>"学士学位"</f>
        <v>学士学位</v>
      </c>
      <c r="G639" s="6" t="str">
        <f>"园艺（花卉与景观设计）"</f>
        <v>园艺（花卉与景观设计）</v>
      </c>
      <c r="H639" s="7" t="s">
        <v>9</v>
      </c>
    </row>
    <row r="640" spans="1:8" ht="15" customHeight="1">
      <c r="A640" s="5">
        <v>638</v>
      </c>
      <c r="B640" s="6" t="str">
        <f>"许弘姐"</f>
        <v>许弘姐</v>
      </c>
      <c r="C640" s="6" t="str">
        <f t="shared" si="332"/>
        <v>女</v>
      </c>
      <c r="D640" s="6" t="str">
        <f>"1996-06-02"</f>
        <v>1996-06-02</v>
      </c>
      <c r="E640" s="6" t="str">
        <f t="shared" si="333"/>
        <v>本科</v>
      </c>
      <c r="F640" s="6" t="str">
        <f>"理学学士"</f>
        <v>理学学士</v>
      </c>
      <c r="G640" s="6" t="str">
        <f>"计算机科学与技术"</f>
        <v>计算机科学与技术</v>
      </c>
      <c r="H640" s="7" t="s">
        <v>9</v>
      </c>
    </row>
    <row r="641" spans="1:8" ht="15" customHeight="1">
      <c r="A641" s="5">
        <v>639</v>
      </c>
      <c r="B641" s="6" t="str">
        <f>"翁焕春"</f>
        <v>翁焕春</v>
      </c>
      <c r="C641" s="6" t="str">
        <f t="shared" si="332"/>
        <v>女</v>
      </c>
      <c r="D641" s="6" t="str">
        <f>"1997-06-05"</f>
        <v>1997-06-05</v>
      </c>
      <c r="E641" s="6" t="str">
        <f t="shared" si="333"/>
        <v>本科</v>
      </c>
      <c r="F641" s="6" t="str">
        <f>"理学学士"</f>
        <v>理学学士</v>
      </c>
      <c r="G641" s="6" t="str">
        <f>"应用统计学"</f>
        <v>应用统计学</v>
      </c>
      <c r="H641" s="7" t="s">
        <v>9</v>
      </c>
    </row>
    <row r="642" spans="1:8" ht="15" customHeight="1">
      <c r="A642" s="5">
        <v>640</v>
      </c>
      <c r="B642" s="6" t="str">
        <f>"羊玉秋"</f>
        <v>羊玉秋</v>
      </c>
      <c r="C642" s="6" t="str">
        <f t="shared" si="332"/>
        <v>女</v>
      </c>
      <c r="D642" s="6" t="str">
        <f>"1990-09-20"</f>
        <v>1990-09-20</v>
      </c>
      <c r="E642" s="6" t="str">
        <f t="shared" si="333"/>
        <v>本科</v>
      </c>
      <c r="F642" s="6" t="str">
        <f>"工学学士"</f>
        <v>工学学士</v>
      </c>
      <c r="G642" s="6" t="str">
        <f>"交通土建"</f>
        <v>交通土建</v>
      </c>
      <c r="H642" s="7" t="s">
        <v>9</v>
      </c>
    </row>
    <row r="643" spans="1:8" ht="15" customHeight="1">
      <c r="A643" s="5">
        <v>641</v>
      </c>
      <c r="B643" s="6" t="str">
        <f>"薛之峥"</f>
        <v>薛之峥</v>
      </c>
      <c r="C643" s="6" t="str">
        <f>"男"</f>
        <v>男</v>
      </c>
      <c r="D643" s="6" t="str">
        <f>"1998-09-02"</f>
        <v>1998-09-02</v>
      </c>
      <c r="E643" s="6" t="str">
        <f>"全日制本科"</f>
        <v>全日制本科</v>
      </c>
      <c r="F643" s="6" t="str">
        <f>"管理学学士"</f>
        <v>管理学学士</v>
      </c>
      <c r="G643" s="6" t="str">
        <f>"行政管理"</f>
        <v>行政管理</v>
      </c>
      <c r="H643" s="7" t="s">
        <v>9</v>
      </c>
    </row>
    <row r="644" spans="1:8" ht="15" customHeight="1">
      <c r="A644" s="5">
        <v>642</v>
      </c>
      <c r="B644" s="6" t="str">
        <f>"胡良萍"</f>
        <v>胡良萍</v>
      </c>
      <c r="C644" s="6" t="str">
        <f aca="true" t="shared" si="334" ref="C644:C651">"女"</f>
        <v>女</v>
      </c>
      <c r="D644" s="6" t="str">
        <f>"1991-08-21"</f>
        <v>1991-08-21</v>
      </c>
      <c r="E644" s="6" t="str">
        <f aca="true" t="shared" si="335" ref="E644:E647">"大学本科"</f>
        <v>大学本科</v>
      </c>
      <c r="F644" s="6" t="str">
        <f>"文学学士"</f>
        <v>文学学士</v>
      </c>
      <c r="G644" s="6" t="str">
        <f>"对外汉语"</f>
        <v>对外汉语</v>
      </c>
      <c r="H644" s="7" t="s">
        <v>9</v>
      </c>
    </row>
    <row r="645" spans="1:8" ht="15" customHeight="1">
      <c r="A645" s="5">
        <v>643</v>
      </c>
      <c r="B645" s="6" t="str">
        <f>"林昌兴"</f>
        <v>林昌兴</v>
      </c>
      <c r="C645" s="6" t="str">
        <f>"男"</f>
        <v>男</v>
      </c>
      <c r="D645" s="6" t="str">
        <f>"1999-10-10"</f>
        <v>1999-10-10</v>
      </c>
      <c r="E645" s="6" t="str">
        <f>"全日制本科"</f>
        <v>全日制本科</v>
      </c>
      <c r="F645" s="6" t="str">
        <f>"农学学士"</f>
        <v>农学学士</v>
      </c>
      <c r="G645" s="6" t="str">
        <f>"园林"</f>
        <v>园林</v>
      </c>
      <c r="H645" s="7" t="s">
        <v>9</v>
      </c>
    </row>
    <row r="646" spans="1:8" ht="15" customHeight="1">
      <c r="A646" s="5">
        <v>644</v>
      </c>
      <c r="B646" s="6" t="str">
        <f>"张晓虹"</f>
        <v>张晓虹</v>
      </c>
      <c r="C646" s="6" t="str">
        <f t="shared" si="334"/>
        <v>女</v>
      </c>
      <c r="D646" s="6" t="str">
        <f>"1991-03-30"</f>
        <v>1991-03-30</v>
      </c>
      <c r="E646" s="6" t="str">
        <f t="shared" si="335"/>
        <v>大学本科</v>
      </c>
      <c r="F646" s="6" t="str">
        <f>"管理学学士"</f>
        <v>管理学学士</v>
      </c>
      <c r="G646" s="6" t="str">
        <f>"信息管理与信息系统"</f>
        <v>信息管理与信息系统</v>
      </c>
      <c r="H646" s="7" t="s">
        <v>9</v>
      </c>
    </row>
    <row r="647" spans="1:8" ht="15" customHeight="1">
      <c r="A647" s="5">
        <v>645</v>
      </c>
      <c r="B647" s="6" t="str">
        <f>"李发霞"</f>
        <v>李发霞</v>
      </c>
      <c r="C647" s="6" t="str">
        <f t="shared" si="334"/>
        <v>女</v>
      </c>
      <c r="D647" s="6" t="str">
        <f>"1992-10-05"</f>
        <v>1992-10-05</v>
      </c>
      <c r="E647" s="6" t="str">
        <f t="shared" si="335"/>
        <v>大学本科</v>
      </c>
      <c r="F647" s="6" t="str">
        <f>"文学学士"</f>
        <v>文学学士</v>
      </c>
      <c r="G647" s="6" t="str">
        <f>"新闻学（网络与新媒体方向）"</f>
        <v>新闻学（网络与新媒体方向）</v>
      </c>
      <c r="H647" s="7" t="s">
        <v>9</v>
      </c>
    </row>
    <row r="648" spans="1:8" ht="15" customHeight="1">
      <c r="A648" s="5">
        <v>646</v>
      </c>
      <c r="B648" s="6" t="str">
        <f>"黄潇苇"</f>
        <v>黄潇苇</v>
      </c>
      <c r="C648" s="6" t="str">
        <f t="shared" si="334"/>
        <v>女</v>
      </c>
      <c r="D648" s="6" t="str">
        <f>"1994-08-15"</f>
        <v>1994-08-15</v>
      </c>
      <c r="E648" s="6" t="str">
        <f aca="true" t="shared" si="336" ref="E648:E653">"本科"</f>
        <v>本科</v>
      </c>
      <c r="F648" s="6" t="str">
        <f>"工学学士"</f>
        <v>工学学士</v>
      </c>
      <c r="G648" s="6" t="str">
        <f>"风景园林"</f>
        <v>风景园林</v>
      </c>
      <c r="H648" s="7" t="s">
        <v>9</v>
      </c>
    </row>
    <row r="649" spans="1:8" ht="15" customHeight="1">
      <c r="A649" s="5">
        <v>647</v>
      </c>
      <c r="B649" s="6" t="str">
        <f>"黄窗窗"</f>
        <v>黄窗窗</v>
      </c>
      <c r="C649" s="6" t="str">
        <f t="shared" si="334"/>
        <v>女</v>
      </c>
      <c r="D649" s="6" t="str">
        <f>"2000-01-24"</f>
        <v>2000-01-24</v>
      </c>
      <c r="E649" s="6" t="str">
        <f t="shared" si="336"/>
        <v>本科</v>
      </c>
      <c r="F649" s="6" t="str">
        <f>"管理学学位"</f>
        <v>管理学学位</v>
      </c>
      <c r="G649" s="6" t="str">
        <f>"财务管理"</f>
        <v>财务管理</v>
      </c>
      <c r="H649" s="7" t="s">
        <v>9</v>
      </c>
    </row>
    <row r="650" spans="1:8" ht="15" customHeight="1">
      <c r="A650" s="5">
        <v>648</v>
      </c>
      <c r="B650" s="6" t="str">
        <f>"陈文丽"</f>
        <v>陈文丽</v>
      </c>
      <c r="C650" s="6" t="str">
        <f t="shared" si="334"/>
        <v>女</v>
      </c>
      <c r="D650" s="6" t="str">
        <f>"1991-01-08"</f>
        <v>1991-01-08</v>
      </c>
      <c r="E650" s="6" t="str">
        <f>"全日制本科"</f>
        <v>全日制本科</v>
      </c>
      <c r="F650" s="6" t="str">
        <f>"经济学学士"</f>
        <v>经济学学士</v>
      </c>
      <c r="G650" s="6" t="str">
        <f>"经济学"</f>
        <v>经济学</v>
      </c>
      <c r="H650" s="7" t="s">
        <v>9</v>
      </c>
    </row>
    <row r="651" spans="1:8" ht="15" customHeight="1">
      <c r="A651" s="5">
        <v>649</v>
      </c>
      <c r="B651" s="6" t="str">
        <f>"黄莹艳"</f>
        <v>黄莹艳</v>
      </c>
      <c r="C651" s="6" t="str">
        <f t="shared" si="334"/>
        <v>女</v>
      </c>
      <c r="D651" s="6" t="str">
        <f>"1988-03-10"</f>
        <v>1988-03-10</v>
      </c>
      <c r="E651" s="6" t="str">
        <f aca="true" t="shared" si="337" ref="E651:E655">"大学本科"</f>
        <v>大学本科</v>
      </c>
      <c r="F651" s="6" t="str">
        <f aca="true" t="shared" si="338" ref="F651:F655">"管理学学士"</f>
        <v>管理学学士</v>
      </c>
      <c r="G651" s="6" t="str">
        <f>"工商企业管理"</f>
        <v>工商企业管理</v>
      </c>
      <c r="H651" s="7" t="s">
        <v>9</v>
      </c>
    </row>
    <row r="652" spans="1:8" ht="15" customHeight="1">
      <c r="A652" s="5">
        <v>650</v>
      </c>
      <c r="B652" s="6" t="str">
        <f>"黄泽鸿"</f>
        <v>黄泽鸿</v>
      </c>
      <c r="C652" s="6" t="str">
        <f>"男"</f>
        <v>男</v>
      </c>
      <c r="D652" s="6" t="str">
        <f>"1998-09-18"</f>
        <v>1998-09-18</v>
      </c>
      <c r="E652" s="6" t="str">
        <f t="shared" si="336"/>
        <v>本科</v>
      </c>
      <c r="F652" s="6" t="str">
        <f t="shared" si="338"/>
        <v>管理学学士</v>
      </c>
      <c r="G652" s="6" t="str">
        <f>"财务管理"</f>
        <v>财务管理</v>
      </c>
      <c r="H652" s="7" t="s">
        <v>9</v>
      </c>
    </row>
    <row r="653" spans="1:8" ht="15" customHeight="1">
      <c r="A653" s="5">
        <v>651</v>
      </c>
      <c r="B653" s="6" t="str">
        <f>"罗剑"</f>
        <v>罗剑</v>
      </c>
      <c r="C653" s="6" t="str">
        <f>"男"</f>
        <v>男</v>
      </c>
      <c r="D653" s="6" t="str">
        <f>"1991-07-09"</f>
        <v>1991-07-09</v>
      </c>
      <c r="E653" s="6" t="str">
        <f t="shared" si="336"/>
        <v>本科</v>
      </c>
      <c r="F653" s="6" t="str">
        <f>"学士"</f>
        <v>学士</v>
      </c>
      <c r="G653" s="6" t="str">
        <f>"网络工程（物联网方向）"</f>
        <v>网络工程（物联网方向）</v>
      </c>
      <c r="H653" s="7" t="s">
        <v>9</v>
      </c>
    </row>
    <row r="654" spans="1:8" ht="15" customHeight="1">
      <c r="A654" s="5">
        <v>652</v>
      </c>
      <c r="B654" s="6" t="str">
        <f>"蔡梦如"</f>
        <v>蔡梦如</v>
      </c>
      <c r="C654" s="6" t="str">
        <f aca="true" t="shared" si="339" ref="C654:C658">"女"</f>
        <v>女</v>
      </c>
      <c r="D654" s="6" t="str">
        <f>"1995-10-24"</f>
        <v>1995-10-24</v>
      </c>
      <c r="E654" s="6" t="str">
        <f t="shared" si="337"/>
        <v>大学本科</v>
      </c>
      <c r="F654" s="6" t="str">
        <f>"文学学士"</f>
        <v>文学学士</v>
      </c>
      <c r="G654" s="6" t="str">
        <f>"汉语国际教育"</f>
        <v>汉语国际教育</v>
      </c>
      <c r="H654" s="7" t="s">
        <v>9</v>
      </c>
    </row>
    <row r="655" spans="1:8" ht="15" customHeight="1">
      <c r="A655" s="5">
        <v>653</v>
      </c>
      <c r="B655" s="6" t="str">
        <f>"覃慧"</f>
        <v>覃慧</v>
      </c>
      <c r="C655" s="6" t="str">
        <f t="shared" si="339"/>
        <v>女</v>
      </c>
      <c r="D655" s="6" t="str">
        <f>"1993-12-08"</f>
        <v>1993-12-08</v>
      </c>
      <c r="E655" s="6" t="str">
        <f t="shared" si="337"/>
        <v>大学本科</v>
      </c>
      <c r="F655" s="6" t="str">
        <f t="shared" si="338"/>
        <v>管理学学士</v>
      </c>
      <c r="G655" s="6" t="str">
        <f>"公共事业管理"</f>
        <v>公共事业管理</v>
      </c>
      <c r="H655" s="7" t="s">
        <v>9</v>
      </c>
    </row>
    <row r="656" spans="1:8" ht="15" customHeight="1">
      <c r="A656" s="5">
        <v>654</v>
      </c>
      <c r="B656" s="6" t="str">
        <f>"何巧思"</f>
        <v>何巧思</v>
      </c>
      <c r="C656" s="6" t="str">
        <f t="shared" si="339"/>
        <v>女</v>
      </c>
      <c r="D656" s="6" t="str">
        <f>"1992-11-19"</f>
        <v>1992-11-19</v>
      </c>
      <c r="E656" s="6" t="str">
        <f aca="true" t="shared" si="340" ref="E656:E660">"本科"</f>
        <v>本科</v>
      </c>
      <c r="F656" s="6" t="str">
        <f>"学士学位"</f>
        <v>学士学位</v>
      </c>
      <c r="G656" s="6" t="str">
        <f>"经济学（国际金融方向）"</f>
        <v>经济学（国际金融方向）</v>
      </c>
      <c r="H656" s="7" t="s">
        <v>9</v>
      </c>
    </row>
    <row r="657" spans="1:8" ht="15" customHeight="1">
      <c r="A657" s="5">
        <v>655</v>
      </c>
      <c r="B657" s="6" t="str">
        <f>"黎丁菲"</f>
        <v>黎丁菲</v>
      </c>
      <c r="C657" s="6" t="str">
        <f t="shared" si="339"/>
        <v>女</v>
      </c>
      <c r="D657" s="6" t="str">
        <f>"1996-07-20"</f>
        <v>1996-07-20</v>
      </c>
      <c r="E657" s="6" t="str">
        <f>"大学本科"</f>
        <v>大学本科</v>
      </c>
      <c r="F657" s="6" t="str">
        <f aca="true" t="shared" si="341" ref="F657:F661">"管理学学士"</f>
        <v>管理学学士</v>
      </c>
      <c r="G657" s="6" t="str">
        <f>"酒店管理"</f>
        <v>酒店管理</v>
      </c>
      <c r="H657" s="7" t="s">
        <v>9</v>
      </c>
    </row>
    <row r="658" spans="1:8" ht="15" customHeight="1">
      <c r="A658" s="5">
        <v>656</v>
      </c>
      <c r="B658" s="6" t="str">
        <f>"王清景"</f>
        <v>王清景</v>
      </c>
      <c r="C658" s="6" t="str">
        <f t="shared" si="339"/>
        <v>女</v>
      </c>
      <c r="D658" s="6" t="str">
        <f>"1989-07-21"</f>
        <v>1989-07-21</v>
      </c>
      <c r="E658" s="6" t="str">
        <f t="shared" si="340"/>
        <v>本科</v>
      </c>
      <c r="F658" s="6" t="str">
        <f t="shared" si="341"/>
        <v>管理学学士</v>
      </c>
      <c r="G658" s="6" t="str">
        <f>"财务管理"</f>
        <v>财务管理</v>
      </c>
      <c r="H658" s="7" t="s">
        <v>9</v>
      </c>
    </row>
    <row r="659" spans="1:8" ht="15" customHeight="1">
      <c r="A659" s="5">
        <v>657</v>
      </c>
      <c r="B659" s="6" t="str">
        <f>"冯行亮"</f>
        <v>冯行亮</v>
      </c>
      <c r="C659" s="6" t="str">
        <f aca="true" t="shared" si="342" ref="C659:C666">"男"</f>
        <v>男</v>
      </c>
      <c r="D659" s="6" t="str">
        <f>"1998-12-10"</f>
        <v>1998-12-10</v>
      </c>
      <c r="E659" s="6" t="str">
        <f t="shared" si="340"/>
        <v>本科</v>
      </c>
      <c r="F659" s="6" t="str">
        <f>"工学学士"</f>
        <v>工学学士</v>
      </c>
      <c r="G659" s="6" t="str">
        <f>"环境工程"</f>
        <v>环境工程</v>
      </c>
      <c r="H659" s="7" t="s">
        <v>9</v>
      </c>
    </row>
    <row r="660" spans="1:8" ht="15" customHeight="1">
      <c r="A660" s="5">
        <v>658</v>
      </c>
      <c r="B660" s="6" t="str">
        <f>"吴珠伟"</f>
        <v>吴珠伟</v>
      </c>
      <c r="C660" s="6" t="str">
        <f t="shared" si="342"/>
        <v>男</v>
      </c>
      <c r="D660" s="6" t="str">
        <f>"1995-05-17"</f>
        <v>1995-05-17</v>
      </c>
      <c r="E660" s="6" t="str">
        <f t="shared" si="340"/>
        <v>本科</v>
      </c>
      <c r="F660" s="6" t="str">
        <f>"工学学士"</f>
        <v>工学学士</v>
      </c>
      <c r="G660" s="6" t="str">
        <f>"计算机科学与技术"</f>
        <v>计算机科学与技术</v>
      </c>
      <c r="H660" s="7" t="s">
        <v>9</v>
      </c>
    </row>
    <row r="661" spans="1:8" ht="15" customHeight="1">
      <c r="A661" s="5">
        <v>659</v>
      </c>
      <c r="B661" s="6" t="str">
        <f>"符亚霞"</f>
        <v>符亚霞</v>
      </c>
      <c r="C661" s="6" t="str">
        <f>"女"</f>
        <v>女</v>
      </c>
      <c r="D661" s="6" t="str">
        <f>"1998-05-23"</f>
        <v>1998-05-23</v>
      </c>
      <c r="E661" s="6" t="str">
        <f>"本科学士学位"</f>
        <v>本科学士学位</v>
      </c>
      <c r="F661" s="6" t="str">
        <f t="shared" si="341"/>
        <v>管理学学士</v>
      </c>
      <c r="G661" s="6" t="str">
        <f>"旅游管理"</f>
        <v>旅游管理</v>
      </c>
      <c r="H661" s="7" t="s">
        <v>9</v>
      </c>
    </row>
    <row r="662" spans="1:8" ht="15" customHeight="1">
      <c r="A662" s="5">
        <v>660</v>
      </c>
      <c r="B662" s="6" t="str">
        <f>"梁如竟"</f>
        <v>梁如竟</v>
      </c>
      <c r="C662" s="6" t="str">
        <f>"女"</f>
        <v>女</v>
      </c>
      <c r="D662" s="6" t="str">
        <f>"1996-05-23"</f>
        <v>1996-05-23</v>
      </c>
      <c r="E662" s="6" t="str">
        <f aca="true" t="shared" si="343" ref="E662:E665">"本科"</f>
        <v>本科</v>
      </c>
      <c r="F662" s="6" t="str">
        <f>"农学学士"</f>
        <v>农学学士</v>
      </c>
      <c r="G662" s="6" t="str">
        <f>"园艺"</f>
        <v>园艺</v>
      </c>
      <c r="H662" s="7" t="s">
        <v>9</v>
      </c>
    </row>
    <row r="663" spans="1:8" ht="15" customHeight="1">
      <c r="A663" s="5">
        <v>661</v>
      </c>
      <c r="B663" s="6" t="str">
        <f>"黄昌华"</f>
        <v>黄昌华</v>
      </c>
      <c r="C663" s="6" t="str">
        <f t="shared" si="342"/>
        <v>男</v>
      </c>
      <c r="D663" s="6" t="str">
        <f>"1990-12-06"</f>
        <v>1990-12-06</v>
      </c>
      <c r="E663" s="6" t="str">
        <f t="shared" si="343"/>
        <v>本科</v>
      </c>
      <c r="F663" s="6" t="str">
        <f aca="true" t="shared" si="344" ref="F663:F666">"管理学学士"</f>
        <v>管理学学士</v>
      </c>
      <c r="G663" s="6" t="str">
        <f>"旅游管理"</f>
        <v>旅游管理</v>
      </c>
      <c r="H663" s="7" t="s">
        <v>9</v>
      </c>
    </row>
    <row r="664" spans="1:8" ht="15" customHeight="1">
      <c r="A664" s="5">
        <v>662</v>
      </c>
      <c r="B664" s="6" t="str">
        <f>"唐情山"</f>
        <v>唐情山</v>
      </c>
      <c r="C664" s="6" t="str">
        <f t="shared" si="342"/>
        <v>男</v>
      </c>
      <c r="D664" s="6" t="str">
        <f>"1995-06-20"</f>
        <v>1995-06-20</v>
      </c>
      <c r="E664" s="6" t="str">
        <f t="shared" si="343"/>
        <v>本科</v>
      </c>
      <c r="F664" s="6" t="str">
        <f t="shared" si="344"/>
        <v>管理学学士</v>
      </c>
      <c r="G664" s="6" t="str">
        <f>"财务管理"</f>
        <v>财务管理</v>
      </c>
      <c r="H664" s="7" t="s">
        <v>9</v>
      </c>
    </row>
    <row r="665" spans="1:8" ht="15" customHeight="1">
      <c r="A665" s="5">
        <v>663</v>
      </c>
      <c r="B665" s="6" t="str">
        <f>"林承灿"</f>
        <v>林承灿</v>
      </c>
      <c r="C665" s="6" t="str">
        <f t="shared" si="342"/>
        <v>男</v>
      </c>
      <c r="D665" s="6" t="str">
        <f>"1999-01-08"</f>
        <v>1999-01-08</v>
      </c>
      <c r="E665" s="6" t="str">
        <f t="shared" si="343"/>
        <v>本科</v>
      </c>
      <c r="F665" s="6" t="str">
        <f t="shared" si="344"/>
        <v>管理学学士</v>
      </c>
      <c r="G665" s="6" t="str">
        <f>"工商管理"</f>
        <v>工商管理</v>
      </c>
      <c r="H665" s="7" t="s">
        <v>9</v>
      </c>
    </row>
    <row r="666" spans="1:8" ht="15" customHeight="1">
      <c r="A666" s="5">
        <v>664</v>
      </c>
      <c r="B666" s="6" t="str">
        <f>"韩俊光"</f>
        <v>韩俊光</v>
      </c>
      <c r="C666" s="6" t="str">
        <f t="shared" si="342"/>
        <v>男</v>
      </c>
      <c r="D666" s="6" t="str">
        <f>"1994-06-11"</f>
        <v>1994-06-11</v>
      </c>
      <c r="E666" s="6" t="str">
        <f>"大学本科"</f>
        <v>大学本科</v>
      </c>
      <c r="F666" s="6" t="str">
        <f t="shared" si="344"/>
        <v>管理学学士</v>
      </c>
      <c r="G666" s="6" t="str">
        <f>"工程管理"</f>
        <v>工程管理</v>
      </c>
      <c r="H666" s="7" t="s">
        <v>9</v>
      </c>
    </row>
    <row r="667" spans="1:8" ht="15" customHeight="1">
      <c r="A667" s="5">
        <v>665</v>
      </c>
      <c r="B667" s="6" t="str">
        <f>"苏利珍"</f>
        <v>苏利珍</v>
      </c>
      <c r="C667" s="6" t="str">
        <f aca="true" t="shared" si="345" ref="C667:C671">"女"</f>
        <v>女</v>
      </c>
      <c r="D667" s="6" t="str">
        <f>"1999-02-14"</f>
        <v>1999-02-14</v>
      </c>
      <c r="E667" s="6" t="str">
        <f>"本科"</f>
        <v>本科</v>
      </c>
      <c r="F667" s="6" t="str">
        <f>"文学学士"</f>
        <v>文学学士</v>
      </c>
      <c r="G667" s="6" t="str">
        <f>"秘书学"</f>
        <v>秘书学</v>
      </c>
      <c r="H667" s="7" t="s">
        <v>9</v>
      </c>
    </row>
    <row r="668" spans="1:8" ht="15" customHeight="1">
      <c r="A668" s="5">
        <v>666</v>
      </c>
      <c r="B668" s="6" t="str">
        <f>"朱小蕾"</f>
        <v>朱小蕾</v>
      </c>
      <c r="C668" s="6" t="str">
        <f t="shared" si="345"/>
        <v>女</v>
      </c>
      <c r="D668" s="6" t="str">
        <f>"1998-03-21"</f>
        <v>1998-03-21</v>
      </c>
      <c r="E668" s="6" t="str">
        <f>"本科"</f>
        <v>本科</v>
      </c>
      <c r="F668" s="6" t="str">
        <f aca="true" t="shared" si="346" ref="F668:F672">"管理学学士"</f>
        <v>管理学学士</v>
      </c>
      <c r="G668" s="6" t="str">
        <f>"会计学"</f>
        <v>会计学</v>
      </c>
      <c r="H668" s="7" t="s">
        <v>9</v>
      </c>
    </row>
    <row r="669" spans="1:8" ht="15" customHeight="1">
      <c r="A669" s="5">
        <v>667</v>
      </c>
      <c r="B669" s="6" t="str">
        <f>"唐萍"</f>
        <v>唐萍</v>
      </c>
      <c r="C669" s="6" t="str">
        <f t="shared" si="345"/>
        <v>女</v>
      </c>
      <c r="D669" s="6" t="str">
        <f>"1991-04-10"</f>
        <v>1991-04-10</v>
      </c>
      <c r="E669" s="6" t="str">
        <f>"大学本科学历"</f>
        <v>大学本科学历</v>
      </c>
      <c r="F669" s="6" t="str">
        <f t="shared" si="346"/>
        <v>管理学学士</v>
      </c>
      <c r="G669" s="6" t="str">
        <f>"财务管理"</f>
        <v>财务管理</v>
      </c>
      <c r="H669" s="7" t="s">
        <v>9</v>
      </c>
    </row>
    <row r="670" spans="1:8" ht="15" customHeight="1">
      <c r="A670" s="5">
        <v>668</v>
      </c>
      <c r="B670" s="6" t="str">
        <f>"何颖"</f>
        <v>何颖</v>
      </c>
      <c r="C670" s="6" t="str">
        <f t="shared" si="345"/>
        <v>女</v>
      </c>
      <c r="D670" s="6" t="str">
        <f>"1999-12-15"</f>
        <v>1999-12-15</v>
      </c>
      <c r="E670" s="6" t="str">
        <f>"大学本科"</f>
        <v>大学本科</v>
      </c>
      <c r="F670" s="6" t="str">
        <f>"学士学位"</f>
        <v>学士学位</v>
      </c>
      <c r="G670" s="6" t="str">
        <f>"电子商务"</f>
        <v>电子商务</v>
      </c>
      <c r="H670" s="7" t="s">
        <v>9</v>
      </c>
    </row>
    <row r="671" spans="1:8" ht="15" customHeight="1">
      <c r="A671" s="5">
        <v>669</v>
      </c>
      <c r="B671" s="6" t="str">
        <f>"邢胜彬"</f>
        <v>邢胜彬</v>
      </c>
      <c r="C671" s="6" t="str">
        <f t="shared" si="345"/>
        <v>女</v>
      </c>
      <c r="D671" s="6" t="str">
        <f>"1998-07-01"</f>
        <v>1998-07-01</v>
      </c>
      <c r="E671" s="6" t="str">
        <f>"大学本科学历"</f>
        <v>大学本科学历</v>
      </c>
      <c r="F671" s="6" t="str">
        <f t="shared" si="346"/>
        <v>管理学学士</v>
      </c>
      <c r="G671" s="6" t="str">
        <f>"财务管理专业"</f>
        <v>财务管理专业</v>
      </c>
      <c r="H671" s="7" t="s">
        <v>9</v>
      </c>
    </row>
    <row r="672" spans="1:8" ht="15" customHeight="1">
      <c r="A672" s="5">
        <v>670</v>
      </c>
      <c r="B672" s="6" t="str">
        <f>"曾焕璧"</f>
        <v>曾焕璧</v>
      </c>
      <c r="C672" s="6" t="str">
        <f aca="true" t="shared" si="347" ref="C672:C680">"男"</f>
        <v>男</v>
      </c>
      <c r="D672" s="6" t="str">
        <f>"1993-04-16"</f>
        <v>1993-04-16</v>
      </c>
      <c r="E672" s="6" t="str">
        <f>"全日制本科"</f>
        <v>全日制本科</v>
      </c>
      <c r="F672" s="6" t="str">
        <f t="shared" si="346"/>
        <v>管理学学士</v>
      </c>
      <c r="G672" s="6" t="str">
        <f>"工商管理"</f>
        <v>工商管理</v>
      </c>
      <c r="H672" s="7" t="s">
        <v>9</v>
      </c>
    </row>
    <row r="673" spans="1:8" ht="15" customHeight="1">
      <c r="A673" s="5">
        <v>671</v>
      </c>
      <c r="B673" s="6" t="str">
        <f>"梁遗优"</f>
        <v>梁遗优</v>
      </c>
      <c r="C673" s="6" t="str">
        <f t="shared" si="347"/>
        <v>男</v>
      </c>
      <c r="D673" s="6" t="str">
        <f>"1996-08-01"</f>
        <v>1996-08-01</v>
      </c>
      <c r="E673" s="6" t="str">
        <f>"大学本科"</f>
        <v>大学本科</v>
      </c>
      <c r="F673" s="6" t="str">
        <f>"理学学士"</f>
        <v>理学学士</v>
      </c>
      <c r="G673" s="6" t="str">
        <f>"生态学"</f>
        <v>生态学</v>
      </c>
      <c r="H673" s="7" t="s">
        <v>9</v>
      </c>
    </row>
    <row r="674" spans="1:8" ht="15" customHeight="1">
      <c r="A674" s="5">
        <v>672</v>
      </c>
      <c r="B674" s="6" t="str">
        <f>"李慧"</f>
        <v>李慧</v>
      </c>
      <c r="C674" s="6" t="str">
        <f aca="true" t="shared" si="348" ref="C674:C676">"女"</f>
        <v>女</v>
      </c>
      <c r="D674" s="6" t="str">
        <f>"1998-05-18"</f>
        <v>1998-05-18</v>
      </c>
      <c r="E674" s="6" t="str">
        <f aca="true" t="shared" si="349" ref="E674:E677">"本科"</f>
        <v>本科</v>
      </c>
      <c r="F674" s="6" t="str">
        <f aca="true" t="shared" si="350" ref="F674:F676">"管理学学士"</f>
        <v>管理学学士</v>
      </c>
      <c r="G674" s="6" t="str">
        <f>"公共事业管理"</f>
        <v>公共事业管理</v>
      </c>
      <c r="H674" s="7" t="s">
        <v>9</v>
      </c>
    </row>
    <row r="675" spans="1:8" ht="15" customHeight="1">
      <c r="A675" s="5">
        <v>673</v>
      </c>
      <c r="B675" s="6" t="str">
        <f>"王慧"</f>
        <v>王慧</v>
      </c>
      <c r="C675" s="6" t="str">
        <f t="shared" si="348"/>
        <v>女</v>
      </c>
      <c r="D675" s="6" t="str">
        <f>"1995-02-06"</f>
        <v>1995-02-06</v>
      </c>
      <c r="E675" s="6" t="str">
        <f>"大学本科学历"</f>
        <v>大学本科学历</v>
      </c>
      <c r="F675" s="6" t="str">
        <f t="shared" si="350"/>
        <v>管理学学士</v>
      </c>
      <c r="G675" s="6" t="str">
        <f>"市场营销"</f>
        <v>市场营销</v>
      </c>
      <c r="H675" s="7" t="s">
        <v>9</v>
      </c>
    </row>
    <row r="676" spans="1:8" ht="15" customHeight="1">
      <c r="A676" s="5">
        <v>674</v>
      </c>
      <c r="B676" s="6" t="str">
        <f>"王龄媛"</f>
        <v>王龄媛</v>
      </c>
      <c r="C676" s="6" t="str">
        <f t="shared" si="348"/>
        <v>女</v>
      </c>
      <c r="D676" s="6" t="str">
        <f>"2001-08-12"</f>
        <v>2001-08-12</v>
      </c>
      <c r="E676" s="6" t="str">
        <f t="shared" si="349"/>
        <v>本科</v>
      </c>
      <c r="F676" s="6" t="str">
        <f t="shared" si="350"/>
        <v>管理学学士</v>
      </c>
      <c r="G676" s="6" t="str">
        <f>"市场营销"</f>
        <v>市场营销</v>
      </c>
      <c r="H676" s="7" t="s">
        <v>9</v>
      </c>
    </row>
    <row r="677" spans="1:8" ht="15" customHeight="1">
      <c r="A677" s="5">
        <v>675</v>
      </c>
      <c r="B677" s="6" t="str">
        <f>"符晓坚"</f>
        <v>符晓坚</v>
      </c>
      <c r="C677" s="6" t="str">
        <f t="shared" si="347"/>
        <v>男</v>
      </c>
      <c r="D677" s="6" t="str">
        <f>"1991-02-08"</f>
        <v>1991-02-08</v>
      </c>
      <c r="E677" s="6" t="str">
        <f t="shared" si="349"/>
        <v>本科</v>
      </c>
      <c r="F677" s="6" t="str">
        <f aca="true" t="shared" si="351" ref="F677:F680">"工学学士"</f>
        <v>工学学士</v>
      </c>
      <c r="G677" s="6" t="str">
        <f>"土木工程"</f>
        <v>土木工程</v>
      </c>
      <c r="H677" s="7" t="s">
        <v>9</v>
      </c>
    </row>
    <row r="678" spans="1:8" ht="15" customHeight="1">
      <c r="A678" s="5">
        <v>676</v>
      </c>
      <c r="B678" s="6" t="str">
        <f>"胡宽义"</f>
        <v>胡宽义</v>
      </c>
      <c r="C678" s="6" t="str">
        <f t="shared" si="347"/>
        <v>男</v>
      </c>
      <c r="D678" s="6" t="str">
        <f>"1997-10-27"</f>
        <v>1997-10-27</v>
      </c>
      <c r="E678" s="6" t="str">
        <f aca="true" t="shared" si="352" ref="E678:E683">"大学本科"</f>
        <v>大学本科</v>
      </c>
      <c r="F678" s="6" t="str">
        <f>"管理学学士"</f>
        <v>管理学学士</v>
      </c>
      <c r="G678" s="6" t="str">
        <f>"农林经济管理"</f>
        <v>农林经济管理</v>
      </c>
      <c r="H678" s="7" t="s">
        <v>9</v>
      </c>
    </row>
    <row r="679" spans="1:8" ht="15" customHeight="1">
      <c r="A679" s="5">
        <v>677</v>
      </c>
      <c r="B679" s="6" t="str">
        <f>"刘盛雁"</f>
        <v>刘盛雁</v>
      </c>
      <c r="C679" s="6" t="str">
        <f t="shared" si="347"/>
        <v>男</v>
      </c>
      <c r="D679" s="6" t="str">
        <f>"1997-02-16"</f>
        <v>1997-02-16</v>
      </c>
      <c r="E679" s="6" t="str">
        <f t="shared" si="352"/>
        <v>大学本科</v>
      </c>
      <c r="F679" s="6" t="str">
        <f t="shared" si="351"/>
        <v>工学学士</v>
      </c>
      <c r="G679" s="6" t="str">
        <f>"风景园林（工程技术方向）"</f>
        <v>风景园林（工程技术方向）</v>
      </c>
      <c r="H679" s="7" t="s">
        <v>9</v>
      </c>
    </row>
    <row r="680" spans="1:8" ht="15" customHeight="1">
      <c r="A680" s="5">
        <v>678</v>
      </c>
      <c r="B680" s="6" t="str">
        <f>"胥林帅"</f>
        <v>胥林帅</v>
      </c>
      <c r="C680" s="6" t="str">
        <f t="shared" si="347"/>
        <v>男</v>
      </c>
      <c r="D680" s="6" t="str">
        <f>"1998-10-17"</f>
        <v>1998-10-17</v>
      </c>
      <c r="E680" s="6" t="str">
        <f>"本科学历"</f>
        <v>本科学历</v>
      </c>
      <c r="F680" s="6" t="str">
        <f t="shared" si="351"/>
        <v>工学学士</v>
      </c>
      <c r="G680" s="6" t="str">
        <f>"土木工程"</f>
        <v>土木工程</v>
      </c>
      <c r="H680" s="7" t="s">
        <v>9</v>
      </c>
    </row>
    <row r="681" spans="1:8" ht="15" customHeight="1">
      <c r="A681" s="5">
        <v>679</v>
      </c>
      <c r="B681" s="6" t="str">
        <f>"郭美带"</f>
        <v>郭美带</v>
      </c>
      <c r="C681" s="6" t="str">
        <f aca="true" t="shared" si="353" ref="C681:C684">"女"</f>
        <v>女</v>
      </c>
      <c r="D681" s="6" t="str">
        <f>"1995-09-12"</f>
        <v>1995-09-12</v>
      </c>
      <c r="E681" s="6" t="str">
        <f>"大学本科学历"</f>
        <v>大学本科学历</v>
      </c>
      <c r="F681" s="6" t="str">
        <f>"经济学学士"</f>
        <v>经济学学士</v>
      </c>
      <c r="G681" s="6" t="str">
        <f>"国际经济与贸易"</f>
        <v>国际经济与贸易</v>
      </c>
      <c r="H681" s="7" t="s">
        <v>9</v>
      </c>
    </row>
    <row r="682" spans="1:8" ht="15" customHeight="1">
      <c r="A682" s="5">
        <v>680</v>
      </c>
      <c r="B682" s="6" t="str">
        <f>"符海丽"</f>
        <v>符海丽</v>
      </c>
      <c r="C682" s="6" t="str">
        <f t="shared" si="353"/>
        <v>女</v>
      </c>
      <c r="D682" s="6" t="str">
        <f>"1994-10-01"</f>
        <v>1994-10-01</v>
      </c>
      <c r="E682" s="6" t="str">
        <f t="shared" si="352"/>
        <v>大学本科</v>
      </c>
      <c r="F682" s="6" t="str">
        <f>"工学学士"</f>
        <v>工学学士</v>
      </c>
      <c r="G682" s="6" t="str">
        <f>"计算机科学与技术"</f>
        <v>计算机科学与技术</v>
      </c>
      <c r="H682" s="7" t="s">
        <v>9</v>
      </c>
    </row>
    <row r="683" spans="1:8" ht="15" customHeight="1">
      <c r="A683" s="5">
        <v>681</v>
      </c>
      <c r="B683" s="6" t="str">
        <f>"王柳婷"</f>
        <v>王柳婷</v>
      </c>
      <c r="C683" s="6" t="str">
        <f t="shared" si="353"/>
        <v>女</v>
      </c>
      <c r="D683" s="6" t="str">
        <f>"1995-01-06"</f>
        <v>1995-01-06</v>
      </c>
      <c r="E683" s="6" t="str">
        <f t="shared" si="352"/>
        <v>大学本科</v>
      </c>
      <c r="F683" s="6" t="str">
        <f>"学士学位"</f>
        <v>学士学位</v>
      </c>
      <c r="G683" s="6" t="str">
        <f>"市场营销"</f>
        <v>市场营销</v>
      </c>
      <c r="H683" s="7" t="s">
        <v>9</v>
      </c>
    </row>
    <row r="684" spans="1:8" ht="15" customHeight="1">
      <c r="A684" s="5">
        <v>682</v>
      </c>
      <c r="B684" s="6" t="str">
        <f>"宋诗慧"</f>
        <v>宋诗慧</v>
      </c>
      <c r="C684" s="6" t="str">
        <f t="shared" si="353"/>
        <v>女</v>
      </c>
      <c r="D684" s="6" t="str">
        <f>"1998-10-14"</f>
        <v>1998-10-14</v>
      </c>
      <c r="E684" s="6" t="str">
        <f aca="true" t="shared" si="354" ref="E684:E687">"本科"</f>
        <v>本科</v>
      </c>
      <c r="F684" s="6" t="str">
        <f>"管理学学士"</f>
        <v>管理学学士</v>
      </c>
      <c r="G684" s="6" t="str">
        <f>"会展经济与管理"</f>
        <v>会展经济与管理</v>
      </c>
      <c r="H684" s="7" t="s">
        <v>9</v>
      </c>
    </row>
    <row r="685" spans="1:8" ht="15" customHeight="1">
      <c r="A685" s="5">
        <v>683</v>
      </c>
      <c r="B685" s="6" t="str">
        <f>"王升杰"</f>
        <v>王升杰</v>
      </c>
      <c r="C685" s="6" t="str">
        <f aca="true" t="shared" si="355" ref="C685:C692">"男"</f>
        <v>男</v>
      </c>
      <c r="D685" s="6" t="str">
        <f>"1995-01-25"</f>
        <v>1995-01-25</v>
      </c>
      <c r="E685" s="6" t="str">
        <f>"大学本科"</f>
        <v>大学本科</v>
      </c>
      <c r="F685" s="6" t="str">
        <f>"文学学士"</f>
        <v>文学学士</v>
      </c>
      <c r="G685" s="6" t="str">
        <f>"秘书学"</f>
        <v>秘书学</v>
      </c>
      <c r="H685" s="7" t="s">
        <v>9</v>
      </c>
    </row>
    <row r="686" spans="1:8" ht="15" customHeight="1">
      <c r="A686" s="5">
        <v>684</v>
      </c>
      <c r="B686" s="6" t="str">
        <f>"王敏"</f>
        <v>王敏</v>
      </c>
      <c r="C686" s="6" t="str">
        <f>"女"</f>
        <v>女</v>
      </c>
      <c r="D686" s="6" t="str">
        <f>"1994-10-26"</f>
        <v>1994-10-26</v>
      </c>
      <c r="E686" s="6" t="str">
        <f t="shared" si="354"/>
        <v>本科</v>
      </c>
      <c r="F686" s="6" t="str">
        <f>"管理学学士学位"</f>
        <v>管理学学士学位</v>
      </c>
      <c r="G686" s="6" t="str">
        <f>"财务管理"</f>
        <v>财务管理</v>
      </c>
      <c r="H686" s="7" t="s">
        <v>9</v>
      </c>
    </row>
    <row r="687" spans="1:8" ht="15" customHeight="1">
      <c r="A687" s="5">
        <v>685</v>
      </c>
      <c r="B687" s="6" t="str">
        <f>"董光秋"</f>
        <v>董光秋</v>
      </c>
      <c r="C687" s="6" t="str">
        <f t="shared" si="355"/>
        <v>男</v>
      </c>
      <c r="D687" s="6" t="str">
        <f>"1999-06-29"</f>
        <v>1999-06-29</v>
      </c>
      <c r="E687" s="6" t="str">
        <f t="shared" si="354"/>
        <v>本科</v>
      </c>
      <c r="F687" s="6" t="str">
        <f>"文学学士"</f>
        <v>文学学士</v>
      </c>
      <c r="G687" s="6" t="str">
        <f>"汉语国际教育"</f>
        <v>汉语国际教育</v>
      </c>
      <c r="H687" s="7" t="s">
        <v>9</v>
      </c>
    </row>
    <row r="688" spans="1:8" ht="15" customHeight="1">
      <c r="A688" s="5">
        <v>686</v>
      </c>
      <c r="B688" s="6" t="str">
        <f>"符海珑"</f>
        <v>符海珑</v>
      </c>
      <c r="C688" s="6" t="str">
        <f>"女"</f>
        <v>女</v>
      </c>
      <c r="D688" s="6" t="str">
        <f>"1995-06-09"</f>
        <v>1995-06-09</v>
      </c>
      <c r="E688" s="6" t="str">
        <f>"大学本科学历"</f>
        <v>大学本科学历</v>
      </c>
      <c r="F688" s="6" t="str">
        <f aca="true" t="shared" si="356" ref="F688:F691">"管理学学士"</f>
        <v>管理学学士</v>
      </c>
      <c r="G688" s="6" t="str">
        <f aca="true" t="shared" si="357" ref="G688:G692">"工商管理"</f>
        <v>工商管理</v>
      </c>
      <c r="H688" s="7" t="s">
        <v>9</v>
      </c>
    </row>
    <row r="689" spans="1:8" ht="15" customHeight="1">
      <c r="A689" s="5">
        <v>687</v>
      </c>
      <c r="B689" s="6" t="str">
        <f>"符庆欢"</f>
        <v>符庆欢</v>
      </c>
      <c r="C689" s="6" t="str">
        <f t="shared" si="355"/>
        <v>男</v>
      </c>
      <c r="D689" s="6" t="str">
        <f>"1998-12-20"</f>
        <v>1998-12-20</v>
      </c>
      <c r="E689" s="6" t="str">
        <f aca="true" t="shared" si="358" ref="E689:E695">"本科"</f>
        <v>本科</v>
      </c>
      <c r="F689" s="6" t="str">
        <f>"工学学士"</f>
        <v>工学学士</v>
      </c>
      <c r="G689" s="6" t="str">
        <f>"土木工程"</f>
        <v>土木工程</v>
      </c>
      <c r="H689" s="7" t="s">
        <v>9</v>
      </c>
    </row>
    <row r="690" spans="1:8" ht="15" customHeight="1">
      <c r="A690" s="5">
        <v>688</v>
      </c>
      <c r="B690" s="6" t="str">
        <f>"许梅林"</f>
        <v>许梅林</v>
      </c>
      <c r="C690" s="6" t="str">
        <f t="shared" si="355"/>
        <v>男</v>
      </c>
      <c r="D690" s="6" t="str">
        <f>"1998-08-06"</f>
        <v>1998-08-06</v>
      </c>
      <c r="E690" s="6" t="str">
        <f t="shared" si="358"/>
        <v>本科</v>
      </c>
      <c r="F690" s="6" t="str">
        <f t="shared" si="356"/>
        <v>管理学学士</v>
      </c>
      <c r="G690" s="6" t="str">
        <f>"健康服务与管理"</f>
        <v>健康服务与管理</v>
      </c>
      <c r="H690" s="7" t="s">
        <v>9</v>
      </c>
    </row>
    <row r="691" spans="1:8" ht="15" customHeight="1">
      <c r="A691" s="5">
        <v>689</v>
      </c>
      <c r="B691" s="6" t="str">
        <f>"刘教善"</f>
        <v>刘教善</v>
      </c>
      <c r="C691" s="6" t="str">
        <f t="shared" si="355"/>
        <v>男</v>
      </c>
      <c r="D691" s="6" t="str">
        <f>"1992-09-09"</f>
        <v>1992-09-09</v>
      </c>
      <c r="E691" s="6" t="str">
        <f>"大学本科"</f>
        <v>大学本科</v>
      </c>
      <c r="F691" s="6" t="str">
        <f t="shared" si="356"/>
        <v>管理学学士</v>
      </c>
      <c r="G691" s="6" t="str">
        <f t="shared" si="357"/>
        <v>工商管理</v>
      </c>
      <c r="H691" s="7" t="s">
        <v>9</v>
      </c>
    </row>
    <row r="692" spans="1:8" ht="15" customHeight="1">
      <c r="A692" s="5">
        <v>690</v>
      </c>
      <c r="B692" s="6" t="str">
        <f>"吴振威"</f>
        <v>吴振威</v>
      </c>
      <c r="C692" s="6" t="str">
        <f t="shared" si="355"/>
        <v>男</v>
      </c>
      <c r="D692" s="6" t="str">
        <f>"1997-11-13"</f>
        <v>1997-11-13</v>
      </c>
      <c r="E692" s="6" t="str">
        <f t="shared" si="358"/>
        <v>本科</v>
      </c>
      <c r="F692" s="6" t="str">
        <f>"学士"</f>
        <v>学士</v>
      </c>
      <c r="G692" s="6" t="str">
        <f t="shared" si="357"/>
        <v>工商管理</v>
      </c>
      <c r="H692" s="7" t="s">
        <v>9</v>
      </c>
    </row>
    <row r="693" spans="1:8" ht="15" customHeight="1">
      <c r="A693" s="5">
        <v>691</v>
      </c>
      <c r="B693" s="6" t="str">
        <f>"陈莹莹"</f>
        <v>陈莹莹</v>
      </c>
      <c r="C693" s="6" t="str">
        <f aca="true" t="shared" si="359" ref="C693:C695">"女"</f>
        <v>女</v>
      </c>
      <c r="D693" s="6" t="str">
        <f>"1996-10-03"</f>
        <v>1996-10-03</v>
      </c>
      <c r="E693" s="6" t="str">
        <f t="shared" si="358"/>
        <v>本科</v>
      </c>
      <c r="F693" s="6" t="str">
        <f aca="true" t="shared" si="360" ref="F693:F696">"管理学学士"</f>
        <v>管理学学士</v>
      </c>
      <c r="G693" s="6" t="str">
        <f>"物流管理"</f>
        <v>物流管理</v>
      </c>
      <c r="H693" s="7" t="s">
        <v>9</v>
      </c>
    </row>
    <row r="694" spans="1:8" ht="15" customHeight="1">
      <c r="A694" s="5">
        <v>692</v>
      </c>
      <c r="B694" s="6" t="str">
        <f>"陈佳敏"</f>
        <v>陈佳敏</v>
      </c>
      <c r="C694" s="6" t="str">
        <f t="shared" si="359"/>
        <v>女</v>
      </c>
      <c r="D694" s="6" t="str">
        <f>"1992-12-30"</f>
        <v>1992-12-30</v>
      </c>
      <c r="E694" s="6" t="str">
        <f t="shared" si="358"/>
        <v>本科</v>
      </c>
      <c r="F694" s="6" t="str">
        <f>"管理学学士学位"</f>
        <v>管理学学士学位</v>
      </c>
      <c r="G694" s="6" t="str">
        <f>"会计学"</f>
        <v>会计学</v>
      </c>
      <c r="H694" s="7" t="s">
        <v>9</v>
      </c>
    </row>
    <row r="695" spans="1:8" ht="15" customHeight="1">
      <c r="A695" s="5">
        <v>693</v>
      </c>
      <c r="B695" s="6" t="str">
        <f>"李菁"</f>
        <v>李菁</v>
      </c>
      <c r="C695" s="6" t="str">
        <f t="shared" si="359"/>
        <v>女</v>
      </c>
      <c r="D695" s="6" t="str">
        <f>"1994-04-17"</f>
        <v>1994-04-17</v>
      </c>
      <c r="E695" s="6" t="str">
        <f t="shared" si="358"/>
        <v>本科</v>
      </c>
      <c r="F695" s="6" t="str">
        <f t="shared" si="360"/>
        <v>管理学学士</v>
      </c>
      <c r="G695" s="6" t="str">
        <f>"会计学（注册会计）"</f>
        <v>会计学（注册会计）</v>
      </c>
      <c r="H695" s="7" t="s">
        <v>9</v>
      </c>
    </row>
    <row r="696" spans="1:8" ht="15" customHeight="1">
      <c r="A696" s="5">
        <v>694</v>
      </c>
      <c r="B696" s="6" t="str">
        <f>"韩万强"</f>
        <v>韩万强</v>
      </c>
      <c r="C696" s="6" t="str">
        <f aca="true" t="shared" si="361" ref="C696:C699">"男"</f>
        <v>男</v>
      </c>
      <c r="D696" s="6" t="str">
        <f>"1999-03-17"</f>
        <v>1999-03-17</v>
      </c>
      <c r="E696" s="6" t="str">
        <f>"大学本科"</f>
        <v>大学本科</v>
      </c>
      <c r="F696" s="6" t="str">
        <f t="shared" si="360"/>
        <v>管理学学士</v>
      </c>
      <c r="G696" s="6" t="str">
        <f>"财务管理"</f>
        <v>财务管理</v>
      </c>
      <c r="H696" s="7" t="s">
        <v>9</v>
      </c>
    </row>
    <row r="697" spans="1:8" ht="15" customHeight="1">
      <c r="A697" s="5">
        <v>695</v>
      </c>
      <c r="B697" s="6" t="str">
        <f>"唐传婷"</f>
        <v>唐传婷</v>
      </c>
      <c r="C697" s="6" t="str">
        <f aca="true" t="shared" si="362" ref="C697:C701">"女"</f>
        <v>女</v>
      </c>
      <c r="D697" s="6" t="str">
        <f>"1993-08-05"</f>
        <v>1993-08-05</v>
      </c>
      <c r="E697" s="6" t="str">
        <f aca="true" t="shared" si="363" ref="E697:E701">"本科"</f>
        <v>本科</v>
      </c>
      <c r="F697" s="6" t="str">
        <f>"文学学士"</f>
        <v>文学学士</v>
      </c>
      <c r="G697" s="6" t="str">
        <f>"汉语言文学"</f>
        <v>汉语言文学</v>
      </c>
      <c r="H697" s="7" t="s">
        <v>9</v>
      </c>
    </row>
    <row r="698" spans="1:8" ht="15" customHeight="1">
      <c r="A698" s="5">
        <v>696</v>
      </c>
      <c r="B698" s="6" t="str">
        <f>"肖寒"</f>
        <v>肖寒</v>
      </c>
      <c r="C698" s="6" t="str">
        <f t="shared" si="361"/>
        <v>男</v>
      </c>
      <c r="D698" s="6" t="str">
        <f>"1995-12-02"</f>
        <v>1995-12-02</v>
      </c>
      <c r="E698" s="6" t="str">
        <f t="shared" si="363"/>
        <v>本科</v>
      </c>
      <c r="F698" s="6" t="str">
        <f>"工学学士"</f>
        <v>工学学士</v>
      </c>
      <c r="G698" s="6" t="str">
        <f>"网络工程"</f>
        <v>网络工程</v>
      </c>
      <c r="H698" s="7" t="s">
        <v>9</v>
      </c>
    </row>
    <row r="699" spans="1:8" ht="15" customHeight="1">
      <c r="A699" s="5">
        <v>697</v>
      </c>
      <c r="B699" s="6" t="str">
        <f>"冯征"</f>
        <v>冯征</v>
      </c>
      <c r="C699" s="6" t="str">
        <f t="shared" si="361"/>
        <v>男</v>
      </c>
      <c r="D699" s="6" t="str">
        <f>"1996-07-27"</f>
        <v>1996-07-27</v>
      </c>
      <c r="E699" s="6" t="str">
        <f t="shared" si="363"/>
        <v>本科</v>
      </c>
      <c r="F699" s="6" t="str">
        <f>"农学学士"</f>
        <v>农学学士</v>
      </c>
      <c r="G699" s="6" t="str">
        <f>"园艺"</f>
        <v>园艺</v>
      </c>
      <c r="H699" s="7" t="s">
        <v>9</v>
      </c>
    </row>
    <row r="700" spans="1:8" ht="15" customHeight="1">
      <c r="A700" s="5">
        <v>698</v>
      </c>
      <c r="B700" s="6" t="str">
        <f>"曾联妹"</f>
        <v>曾联妹</v>
      </c>
      <c r="C700" s="6" t="str">
        <f t="shared" si="362"/>
        <v>女</v>
      </c>
      <c r="D700" s="6" t="str">
        <f>"1994-04-04"</f>
        <v>1994-04-04</v>
      </c>
      <c r="E700" s="6" t="str">
        <f t="shared" si="363"/>
        <v>本科</v>
      </c>
      <c r="F700" s="6" t="str">
        <f>"学士"</f>
        <v>学士</v>
      </c>
      <c r="G700" s="6" t="str">
        <f>"环境工程"</f>
        <v>环境工程</v>
      </c>
      <c r="H700" s="7" t="s">
        <v>9</v>
      </c>
    </row>
    <row r="701" spans="1:8" ht="15" customHeight="1">
      <c r="A701" s="5">
        <v>699</v>
      </c>
      <c r="B701" s="6" t="str">
        <f>"吴海云"</f>
        <v>吴海云</v>
      </c>
      <c r="C701" s="6" t="str">
        <f t="shared" si="362"/>
        <v>女</v>
      </c>
      <c r="D701" s="6" t="str">
        <f>"1988-04-07"</f>
        <v>1988-04-07</v>
      </c>
      <c r="E701" s="6" t="str">
        <f t="shared" si="363"/>
        <v>本科</v>
      </c>
      <c r="F701" s="6" t="str">
        <f>"学士学位"</f>
        <v>学士学位</v>
      </c>
      <c r="G701" s="6" t="str">
        <f>"环境科学"</f>
        <v>环境科学</v>
      </c>
      <c r="H701" s="7" t="s">
        <v>9</v>
      </c>
    </row>
    <row r="702" spans="1:8" ht="15" customHeight="1">
      <c r="A702" s="5">
        <v>700</v>
      </c>
      <c r="B702" s="6" t="str">
        <f>"曾维成"</f>
        <v>曾维成</v>
      </c>
      <c r="C702" s="6" t="str">
        <f aca="true" t="shared" si="364" ref="C702:C704">"男"</f>
        <v>男</v>
      </c>
      <c r="D702" s="6" t="str">
        <f>"1990-12-20"</f>
        <v>1990-12-20</v>
      </c>
      <c r="E702" s="6" t="str">
        <f>"大学本科学历"</f>
        <v>大学本科学历</v>
      </c>
      <c r="F702" s="6" t="str">
        <f aca="true" t="shared" si="365" ref="F702:F708">"管理学学士"</f>
        <v>管理学学士</v>
      </c>
      <c r="G702" s="6" t="str">
        <f>"财务管理"</f>
        <v>财务管理</v>
      </c>
      <c r="H702" s="7" t="s">
        <v>9</v>
      </c>
    </row>
    <row r="703" spans="1:8" ht="15" customHeight="1">
      <c r="A703" s="5">
        <v>701</v>
      </c>
      <c r="B703" s="6" t="str">
        <f>"梁可"</f>
        <v>梁可</v>
      </c>
      <c r="C703" s="6" t="str">
        <f t="shared" si="364"/>
        <v>男</v>
      </c>
      <c r="D703" s="6" t="str">
        <f>"1998-11-28"</f>
        <v>1998-11-28</v>
      </c>
      <c r="E703" s="6" t="str">
        <f aca="true" t="shared" si="366" ref="E703:E708">"本科"</f>
        <v>本科</v>
      </c>
      <c r="F703" s="6" t="str">
        <f>"工学学士/管理学学士"</f>
        <v>工学学士/管理学学士</v>
      </c>
      <c r="G703" s="6" t="str">
        <f>"汽车服务工程/工程造价"</f>
        <v>汽车服务工程/工程造价</v>
      </c>
      <c r="H703" s="7" t="s">
        <v>9</v>
      </c>
    </row>
    <row r="704" spans="1:8" ht="15" customHeight="1">
      <c r="A704" s="5">
        <v>702</v>
      </c>
      <c r="B704" s="6" t="str">
        <f>"唐雄儒"</f>
        <v>唐雄儒</v>
      </c>
      <c r="C704" s="6" t="str">
        <f t="shared" si="364"/>
        <v>男</v>
      </c>
      <c r="D704" s="6" t="str">
        <f>"1997-11-25"</f>
        <v>1997-11-25</v>
      </c>
      <c r="E704" s="6" t="str">
        <f aca="true" t="shared" si="367" ref="E704:E709">"大学本科"</f>
        <v>大学本科</v>
      </c>
      <c r="F704" s="6" t="str">
        <f>"工学学士"</f>
        <v>工学学士</v>
      </c>
      <c r="G704" s="6" t="str">
        <f>"工业工程"</f>
        <v>工业工程</v>
      </c>
      <c r="H704" s="7" t="s">
        <v>9</v>
      </c>
    </row>
    <row r="705" spans="1:8" ht="15" customHeight="1">
      <c r="A705" s="5">
        <v>703</v>
      </c>
      <c r="B705" s="6" t="str">
        <f>"李娇惠"</f>
        <v>李娇惠</v>
      </c>
      <c r="C705" s="6" t="str">
        <f aca="true" t="shared" si="368" ref="C705:C710">"女"</f>
        <v>女</v>
      </c>
      <c r="D705" s="6" t="str">
        <f>"1992-07-12"</f>
        <v>1992-07-12</v>
      </c>
      <c r="E705" s="6" t="str">
        <f t="shared" si="367"/>
        <v>大学本科</v>
      </c>
      <c r="F705" s="6" t="str">
        <f>"文学学士"</f>
        <v>文学学士</v>
      </c>
      <c r="G705" s="6" t="str">
        <f>"汉语言文学"</f>
        <v>汉语言文学</v>
      </c>
      <c r="H705" s="7" t="s">
        <v>9</v>
      </c>
    </row>
    <row r="706" spans="1:8" ht="15" customHeight="1">
      <c r="A706" s="5">
        <v>704</v>
      </c>
      <c r="B706" s="6" t="str">
        <f>"蔡於顿"</f>
        <v>蔡於顿</v>
      </c>
      <c r="C706" s="6" t="str">
        <f aca="true" t="shared" si="369" ref="C706:C711">"男"</f>
        <v>男</v>
      </c>
      <c r="D706" s="6" t="str">
        <f>"1998-11-18"</f>
        <v>1998-11-18</v>
      </c>
      <c r="E706" s="6" t="str">
        <f t="shared" si="366"/>
        <v>本科</v>
      </c>
      <c r="F706" s="6" t="str">
        <f t="shared" si="365"/>
        <v>管理学学士</v>
      </c>
      <c r="G706" s="6" t="str">
        <f>"会计学"</f>
        <v>会计学</v>
      </c>
      <c r="H706" s="7" t="s">
        <v>9</v>
      </c>
    </row>
    <row r="707" spans="1:8" ht="15" customHeight="1">
      <c r="A707" s="5">
        <v>705</v>
      </c>
      <c r="B707" s="6" t="str">
        <f>"王海英"</f>
        <v>王海英</v>
      </c>
      <c r="C707" s="6" t="str">
        <f t="shared" si="368"/>
        <v>女</v>
      </c>
      <c r="D707" s="6" t="str">
        <f>"1993-05-25"</f>
        <v>1993-05-25</v>
      </c>
      <c r="E707" s="6" t="str">
        <f t="shared" si="366"/>
        <v>本科</v>
      </c>
      <c r="F707" s="6" t="str">
        <f t="shared" si="365"/>
        <v>管理学学士</v>
      </c>
      <c r="G707" s="6" t="str">
        <f>"旅游管理（酒店管理）"</f>
        <v>旅游管理（酒店管理）</v>
      </c>
      <c r="H707" s="7" t="s">
        <v>9</v>
      </c>
    </row>
    <row r="708" spans="1:8" ht="15" customHeight="1">
      <c r="A708" s="5">
        <v>706</v>
      </c>
      <c r="B708" s="6" t="str">
        <f>"林正轩"</f>
        <v>林正轩</v>
      </c>
      <c r="C708" s="6" t="str">
        <f t="shared" si="369"/>
        <v>男</v>
      </c>
      <c r="D708" s="6" t="str">
        <f>"1996-03-24"</f>
        <v>1996-03-24</v>
      </c>
      <c r="E708" s="6" t="str">
        <f t="shared" si="366"/>
        <v>本科</v>
      </c>
      <c r="F708" s="6" t="str">
        <f t="shared" si="365"/>
        <v>管理学学士</v>
      </c>
      <c r="G708" s="6" t="str">
        <f>"财务管理"</f>
        <v>财务管理</v>
      </c>
      <c r="H708" s="7" t="s">
        <v>9</v>
      </c>
    </row>
    <row r="709" spans="1:8" ht="15" customHeight="1">
      <c r="A709" s="5">
        <v>707</v>
      </c>
      <c r="B709" s="6" t="str">
        <f>"陈晓芸"</f>
        <v>陈晓芸</v>
      </c>
      <c r="C709" s="6" t="str">
        <f t="shared" si="368"/>
        <v>女</v>
      </c>
      <c r="D709" s="6" t="str">
        <f>"1998-01-07"</f>
        <v>1998-01-07</v>
      </c>
      <c r="E709" s="6" t="str">
        <f t="shared" si="367"/>
        <v>大学本科</v>
      </c>
      <c r="F709" s="6" t="str">
        <f>"农学学士"</f>
        <v>农学学士</v>
      </c>
      <c r="G709" s="6" t="str">
        <f>"植物保护"</f>
        <v>植物保护</v>
      </c>
      <c r="H709" s="7" t="s">
        <v>9</v>
      </c>
    </row>
    <row r="710" spans="1:8" ht="15" customHeight="1">
      <c r="A710" s="5">
        <v>708</v>
      </c>
      <c r="B710" s="6" t="str">
        <f>"陈明岑"</f>
        <v>陈明岑</v>
      </c>
      <c r="C710" s="6" t="str">
        <f t="shared" si="368"/>
        <v>女</v>
      </c>
      <c r="D710" s="6" t="str">
        <f>"1998-12-07"</f>
        <v>1998-12-07</v>
      </c>
      <c r="E710" s="6" t="str">
        <f aca="true" t="shared" si="370" ref="E710:E715">"本科"</f>
        <v>本科</v>
      </c>
      <c r="F710" s="6" t="str">
        <f aca="true" t="shared" si="371" ref="F710:F714">"管理学学士"</f>
        <v>管理学学士</v>
      </c>
      <c r="G710" s="6" t="str">
        <f>"会计学"</f>
        <v>会计学</v>
      </c>
      <c r="H710" s="7" t="s">
        <v>9</v>
      </c>
    </row>
    <row r="711" spans="1:8" ht="15" customHeight="1">
      <c r="A711" s="5">
        <v>709</v>
      </c>
      <c r="B711" s="6" t="str">
        <f>"刘基"</f>
        <v>刘基</v>
      </c>
      <c r="C711" s="6" t="str">
        <f t="shared" si="369"/>
        <v>男</v>
      </c>
      <c r="D711" s="6" t="str">
        <f>"1989-11-19"</f>
        <v>1989-11-19</v>
      </c>
      <c r="E711" s="6" t="str">
        <f aca="true" t="shared" si="372" ref="E711:E713">"大学本科"</f>
        <v>大学本科</v>
      </c>
      <c r="F711" s="6" t="str">
        <f>"工学学士"</f>
        <v>工学学士</v>
      </c>
      <c r="G711" s="6" t="str">
        <f>"建筑环境与设备工程"</f>
        <v>建筑环境与设备工程</v>
      </c>
      <c r="H711" s="7" t="s">
        <v>9</v>
      </c>
    </row>
    <row r="712" spans="1:8" ht="15" customHeight="1">
      <c r="A712" s="5">
        <v>710</v>
      </c>
      <c r="B712" s="6" t="str">
        <f>"黄子倩"</f>
        <v>黄子倩</v>
      </c>
      <c r="C712" s="6" t="str">
        <f aca="true" t="shared" si="373" ref="C712:C718">"女"</f>
        <v>女</v>
      </c>
      <c r="D712" s="6" t="str">
        <f>"1997-03-07"</f>
        <v>1997-03-07</v>
      </c>
      <c r="E712" s="6" t="str">
        <f t="shared" si="372"/>
        <v>大学本科</v>
      </c>
      <c r="F712" s="6" t="str">
        <f t="shared" si="371"/>
        <v>管理学学士</v>
      </c>
      <c r="G712" s="6" t="str">
        <f>"会计学"</f>
        <v>会计学</v>
      </c>
      <c r="H712" s="7" t="s">
        <v>9</v>
      </c>
    </row>
    <row r="713" spans="1:8" ht="15" customHeight="1">
      <c r="A713" s="5">
        <v>711</v>
      </c>
      <c r="B713" s="6" t="str">
        <f>"王其"</f>
        <v>王其</v>
      </c>
      <c r="C713" s="6" t="str">
        <f aca="true" t="shared" si="374" ref="C713:C716">"男"</f>
        <v>男</v>
      </c>
      <c r="D713" s="6" t="str">
        <f>"1997-08-11"</f>
        <v>1997-08-11</v>
      </c>
      <c r="E713" s="6" t="str">
        <f t="shared" si="372"/>
        <v>大学本科</v>
      </c>
      <c r="F713" s="6" t="str">
        <f t="shared" si="371"/>
        <v>管理学学士</v>
      </c>
      <c r="G713" s="6" t="str">
        <f>"市场营销"</f>
        <v>市场营销</v>
      </c>
      <c r="H713" s="7" t="s">
        <v>9</v>
      </c>
    </row>
    <row r="714" spans="1:8" ht="15" customHeight="1">
      <c r="A714" s="5">
        <v>712</v>
      </c>
      <c r="B714" s="6" t="str">
        <f>"李所喜"</f>
        <v>李所喜</v>
      </c>
      <c r="C714" s="6" t="str">
        <f t="shared" si="373"/>
        <v>女</v>
      </c>
      <c r="D714" s="6" t="str">
        <f>"1997-12-09"</f>
        <v>1997-12-09</v>
      </c>
      <c r="E714" s="6" t="str">
        <f t="shared" si="370"/>
        <v>本科</v>
      </c>
      <c r="F714" s="6" t="str">
        <f t="shared" si="371"/>
        <v>管理学学士</v>
      </c>
      <c r="G714" s="6" t="str">
        <f>"信息管理与信息系统"</f>
        <v>信息管理与信息系统</v>
      </c>
      <c r="H714" s="7" t="s">
        <v>9</v>
      </c>
    </row>
    <row r="715" spans="1:8" ht="15" customHeight="1">
      <c r="A715" s="5">
        <v>713</v>
      </c>
      <c r="B715" s="6" t="str">
        <f>"黎志明"</f>
        <v>黎志明</v>
      </c>
      <c r="C715" s="6" t="str">
        <f t="shared" si="374"/>
        <v>男</v>
      </c>
      <c r="D715" s="6" t="str">
        <f>"2001-01-18"</f>
        <v>2001-01-18</v>
      </c>
      <c r="E715" s="6" t="str">
        <f t="shared" si="370"/>
        <v>本科</v>
      </c>
      <c r="F715" s="6" t="str">
        <f>"经济学学士"</f>
        <v>经济学学士</v>
      </c>
      <c r="G715" s="6" t="str">
        <f>"经济学"</f>
        <v>经济学</v>
      </c>
      <c r="H715" s="7" t="s">
        <v>9</v>
      </c>
    </row>
    <row r="716" spans="1:8" ht="15" customHeight="1">
      <c r="A716" s="5">
        <v>714</v>
      </c>
      <c r="B716" s="6" t="str">
        <f>"彭旭"</f>
        <v>彭旭</v>
      </c>
      <c r="C716" s="6" t="str">
        <f t="shared" si="374"/>
        <v>男</v>
      </c>
      <c r="D716" s="6" t="str">
        <f>"1999-10-28"</f>
        <v>1999-10-28</v>
      </c>
      <c r="E716" s="6" t="str">
        <f aca="true" t="shared" si="375" ref="E716:E719">"大学本科学历"</f>
        <v>大学本科学历</v>
      </c>
      <c r="F716" s="6" t="str">
        <f>"工学学士"</f>
        <v>工学学士</v>
      </c>
      <c r="G716" s="6" t="str">
        <f>"环境工程"</f>
        <v>环境工程</v>
      </c>
      <c r="H716" s="7" t="s">
        <v>9</v>
      </c>
    </row>
    <row r="717" spans="1:8" ht="15" customHeight="1">
      <c r="A717" s="5">
        <v>715</v>
      </c>
      <c r="B717" s="6" t="str">
        <f>"符达基"</f>
        <v>符达基</v>
      </c>
      <c r="C717" s="6" t="str">
        <f t="shared" si="373"/>
        <v>女</v>
      </c>
      <c r="D717" s="6" t="str">
        <f>"1996-05-10"</f>
        <v>1996-05-10</v>
      </c>
      <c r="E717" s="6" t="str">
        <f aca="true" t="shared" si="376" ref="E717:E722">"本科"</f>
        <v>本科</v>
      </c>
      <c r="F717" s="6" t="str">
        <f>"学士"</f>
        <v>学士</v>
      </c>
      <c r="G717" s="6" t="str">
        <f>"财务管理"</f>
        <v>财务管理</v>
      </c>
      <c r="H717" s="7" t="s">
        <v>9</v>
      </c>
    </row>
    <row r="718" spans="1:8" ht="15" customHeight="1">
      <c r="A718" s="5">
        <v>716</v>
      </c>
      <c r="B718" s="6" t="str">
        <f>"刘峥"</f>
        <v>刘峥</v>
      </c>
      <c r="C718" s="6" t="str">
        <f t="shared" si="373"/>
        <v>女</v>
      </c>
      <c r="D718" s="6" t="str">
        <f>"1999-01-24"</f>
        <v>1999-01-24</v>
      </c>
      <c r="E718" s="6" t="str">
        <f t="shared" si="375"/>
        <v>大学本科学历</v>
      </c>
      <c r="F718" s="6" t="str">
        <f aca="true" t="shared" si="377" ref="F718:F720">"管理学学士"</f>
        <v>管理学学士</v>
      </c>
      <c r="G718" s="6" t="str">
        <f>"会计学"</f>
        <v>会计学</v>
      </c>
      <c r="H718" s="7" t="s">
        <v>9</v>
      </c>
    </row>
    <row r="719" spans="1:8" ht="15" customHeight="1">
      <c r="A719" s="5">
        <v>717</v>
      </c>
      <c r="B719" s="6" t="str">
        <f>"刘道桔"</f>
        <v>刘道桔</v>
      </c>
      <c r="C719" s="6" t="str">
        <f>"男"</f>
        <v>男</v>
      </c>
      <c r="D719" s="6" t="str">
        <f>"1993-01-12"</f>
        <v>1993-01-12</v>
      </c>
      <c r="E719" s="6" t="str">
        <f t="shared" si="375"/>
        <v>大学本科学历</v>
      </c>
      <c r="F719" s="6" t="str">
        <f t="shared" si="377"/>
        <v>管理学学士</v>
      </c>
      <c r="G719" s="6" t="str">
        <f>"会计学（注册会计师方向）"</f>
        <v>会计学（注册会计师方向）</v>
      </c>
      <c r="H719" s="7" t="s">
        <v>9</v>
      </c>
    </row>
    <row r="720" spans="1:8" ht="15" customHeight="1">
      <c r="A720" s="5">
        <v>718</v>
      </c>
      <c r="B720" s="6" t="str">
        <f>"冯山娇"</f>
        <v>冯山娇</v>
      </c>
      <c r="C720" s="6" t="str">
        <f aca="true" t="shared" si="378" ref="C720:C722">"女"</f>
        <v>女</v>
      </c>
      <c r="D720" s="6" t="str">
        <f>"1999-01-04"</f>
        <v>1999-01-04</v>
      </c>
      <c r="E720" s="6" t="str">
        <f t="shared" si="376"/>
        <v>本科</v>
      </c>
      <c r="F720" s="6" t="str">
        <f t="shared" si="377"/>
        <v>管理学学士</v>
      </c>
      <c r="G720" s="6" t="str">
        <f>"物流管理"</f>
        <v>物流管理</v>
      </c>
      <c r="H720" s="7" t="s">
        <v>9</v>
      </c>
    </row>
    <row r="721" spans="1:8" ht="15" customHeight="1">
      <c r="A721" s="5">
        <v>719</v>
      </c>
      <c r="B721" s="6" t="str">
        <f>"谢秋池"</f>
        <v>谢秋池</v>
      </c>
      <c r="C721" s="6" t="str">
        <f t="shared" si="378"/>
        <v>女</v>
      </c>
      <c r="D721" s="6" t="str">
        <f>"1997-09-20"</f>
        <v>1997-09-20</v>
      </c>
      <c r="E721" s="6" t="str">
        <f t="shared" si="376"/>
        <v>本科</v>
      </c>
      <c r="F721" s="6" t="str">
        <f>"学士学位"</f>
        <v>学士学位</v>
      </c>
      <c r="G721" s="6" t="str">
        <f>"会计学"</f>
        <v>会计学</v>
      </c>
      <c r="H721" s="7" t="s">
        <v>9</v>
      </c>
    </row>
    <row r="722" spans="1:8" ht="15" customHeight="1">
      <c r="A722" s="5">
        <v>720</v>
      </c>
      <c r="B722" s="6" t="str">
        <f>"查苏娜"</f>
        <v>查苏娜</v>
      </c>
      <c r="C722" s="6" t="str">
        <f t="shared" si="378"/>
        <v>女</v>
      </c>
      <c r="D722" s="6" t="str">
        <f>"1995-09-24"</f>
        <v>1995-09-24</v>
      </c>
      <c r="E722" s="6" t="str">
        <f t="shared" si="376"/>
        <v>本科</v>
      </c>
      <c r="F722" s="6" t="str">
        <f aca="true" t="shared" si="379" ref="F722:F725">"管理学学士"</f>
        <v>管理学学士</v>
      </c>
      <c r="G722" s="6" t="str">
        <f>"人力资源管理"</f>
        <v>人力资源管理</v>
      </c>
      <c r="H722" s="7" t="s">
        <v>9</v>
      </c>
    </row>
    <row r="723" spans="1:8" ht="15" customHeight="1">
      <c r="A723" s="5">
        <v>721</v>
      </c>
      <c r="B723" s="6" t="str">
        <f>"黄耀东"</f>
        <v>黄耀东</v>
      </c>
      <c r="C723" s="6" t="str">
        <f aca="true" t="shared" si="380" ref="C723:C727">"男"</f>
        <v>男</v>
      </c>
      <c r="D723" s="6" t="str">
        <f>"1990-02-28"</f>
        <v>1990-02-28</v>
      </c>
      <c r="E723" s="6" t="str">
        <f>"研究生"</f>
        <v>研究生</v>
      </c>
      <c r="F723" s="6" t="str">
        <f>"理学硕士"</f>
        <v>理学硕士</v>
      </c>
      <c r="G723" s="6" t="str">
        <f>"环境科学"</f>
        <v>环境科学</v>
      </c>
      <c r="H723" s="7" t="s">
        <v>9</v>
      </c>
    </row>
    <row r="724" spans="1:8" ht="15" customHeight="1">
      <c r="A724" s="5">
        <v>722</v>
      </c>
      <c r="B724" s="6" t="str">
        <f>"吴玉莲"</f>
        <v>吴玉莲</v>
      </c>
      <c r="C724" s="6" t="str">
        <f aca="true" t="shared" si="381" ref="C724:C728">"女"</f>
        <v>女</v>
      </c>
      <c r="D724" s="6" t="str">
        <f>"1997-09-08"</f>
        <v>1997-09-08</v>
      </c>
      <c r="E724" s="6" t="str">
        <f aca="true" t="shared" si="382" ref="E724:E727">"本科"</f>
        <v>本科</v>
      </c>
      <c r="F724" s="6" t="str">
        <f t="shared" si="379"/>
        <v>管理学学士</v>
      </c>
      <c r="G724" s="6" t="str">
        <f>"信息管理与信息系统"</f>
        <v>信息管理与信息系统</v>
      </c>
      <c r="H724" s="7" t="s">
        <v>9</v>
      </c>
    </row>
    <row r="725" spans="1:8" ht="15" customHeight="1">
      <c r="A725" s="5">
        <v>723</v>
      </c>
      <c r="B725" s="6" t="str">
        <f>"许苗苗"</f>
        <v>许苗苗</v>
      </c>
      <c r="C725" s="6" t="str">
        <f t="shared" si="381"/>
        <v>女</v>
      </c>
      <c r="D725" s="6" t="str">
        <f>"1993-02-16"</f>
        <v>1993-02-16</v>
      </c>
      <c r="E725" s="6" t="str">
        <f t="shared" si="382"/>
        <v>本科</v>
      </c>
      <c r="F725" s="6" t="str">
        <f t="shared" si="379"/>
        <v>管理学学士</v>
      </c>
      <c r="G725" s="6" t="str">
        <f>"人力资源管理"</f>
        <v>人力资源管理</v>
      </c>
      <c r="H725" s="7" t="s">
        <v>9</v>
      </c>
    </row>
    <row r="726" spans="1:8" ht="15" customHeight="1">
      <c r="A726" s="5">
        <v>724</v>
      </c>
      <c r="B726" s="6" t="str">
        <f>"曾员钧"</f>
        <v>曾员钧</v>
      </c>
      <c r="C726" s="6" t="str">
        <f t="shared" si="380"/>
        <v>男</v>
      </c>
      <c r="D726" s="6" t="str">
        <f>"1994-03-31"</f>
        <v>1994-03-31</v>
      </c>
      <c r="E726" s="6" t="str">
        <f t="shared" si="382"/>
        <v>本科</v>
      </c>
      <c r="F726" s="6" t="str">
        <f aca="true" t="shared" si="383" ref="F726:F730">"工学学士"</f>
        <v>工学学士</v>
      </c>
      <c r="G726" s="6" t="str">
        <f>"土木工程"</f>
        <v>土木工程</v>
      </c>
      <c r="H726" s="7" t="s">
        <v>9</v>
      </c>
    </row>
    <row r="727" spans="1:8" ht="15" customHeight="1">
      <c r="A727" s="5">
        <v>725</v>
      </c>
      <c r="B727" s="6" t="str">
        <f>"翁良乙"</f>
        <v>翁良乙</v>
      </c>
      <c r="C727" s="6" t="str">
        <f t="shared" si="380"/>
        <v>男</v>
      </c>
      <c r="D727" s="6" t="str">
        <f>"1997-04-29"</f>
        <v>1997-04-29</v>
      </c>
      <c r="E727" s="6" t="str">
        <f t="shared" si="382"/>
        <v>本科</v>
      </c>
      <c r="F727" s="6" t="str">
        <f>"管理学学士"</f>
        <v>管理学学士</v>
      </c>
      <c r="G727" s="6" t="str">
        <f>"财务管理"</f>
        <v>财务管理</v>
      </c>
      <c r="H727" s="7" t="s">
        <v>9</v>
      </c>
    </row>
    <row r="728" spans="1:8" ht="15" customHeight="1">
      <c r="A728" s="5">
        <v>726</v>
      </c>
      <c r="B728" s="6" t="str">
        <f>"陈寒冰"</f>
        <v>陈寒冰</v>
      </c>
      <c r="C728" s="6" t="str">
        <f t="shared" si="381"/>
        <v>女</v>
      </c>
      <c r="D728" s="6" t="str">
        <f>"1997-06-08"</f>
        <v>1997-06-08</v>
      </c>
      <c r="E728" s="6" t="str">
        <f>"大学本科"</f>
        <v>大学本科</v>
      </c>
      <c r="F728" s="6" t="str">
        <f t="shared" si="383"/>
        <v>工学学士</v>
      </c>
      <c r="G728" s="6" t="str">
        <f>"工程管理"</f>
        <v>工程管理</v>
      </c>
      <c r="H728" s="7" t="s">
        <v>9</v>
      </c>
    </row>
    <row r="729" spans="1:8" ht="15" customHeight="1">
      <c r="A729" s="5">
        <v>727</v>
      </c>
      <c r="B729" s="6" t="str">
        <f>"梁亮齐"</f>
        <v>梁亮齐</v>
      </c>
      <c r="C729" s="6" t="str">
        <f aca="true" t="shared" si="384" ref="C729:C732">"男"</f>
        <v>男</v>
      </c>
      <c r="D729" s="6" t="str">
        <f>"1999-07-10"</f>
        <v>1999-07-10</v>
      </c>
      <c r="E729" s="6" t="str">
        <f aca="true" t="shared" si="385" ref="E729:E733">"本科"</f>
        <v>本科</v>
      </c>
      <c r="F729" s="6" t="str">
        <f t="shared" si="383"/>
        <v>工学学士</v>
      </c>
      <c r="G729" s="6" t="str">
        <f>"环境工程"</f>
        <v>环境工程</v>
      </c>
      <c r="H729" s="7" t="s">
        <v>9</v>
      </c>
    </row>
    <row r="730" spans="1:8" ht="15" customHeight="1">
      <c r="A730" s="5">
        <v>728</v>
      </c>
      <c r="B730" s="6" t="str">
        <f>"王泽唐"</f>
        <v>王泽唐</v>
      </c>
      <c r="C730" s="6" t="str">
        <f t="shared" si="384"/>
        <v>男</v>
      </c>
      <c r="D730" s="6" t="str">
        <f>"1996-05-27"</f>
        <v>1996-05-27</v>
      </c>
      <c r="E730" s="6" t="str">
        <f t="shared" si="385"/>
        <v>本科</v>
      </c>
      <c r="F730" s="6" t="str">
        <f t="shared" si="383"/>
        <v>工学学士</v>
      </c>
      <c r="G730" s="6" t="str">
        <f>"计算机科学与技术"</f>
        <v>计算机科学与技术</v>
      </c>
      <c r="H730" s="7" t="s">
        <v>9</v>
      </c>
    </row>
    <row r="731" spans="1:8" ht="15" customHeight="1">
      <c r="A731" s="5">
        <v>729</v>
      </c>
      <c r="B731" s="6" t="str">
        <f>"莫德学"</f>
        <v>莫德学</v>
      </c>
      <c r="C731" s="6" t="str">
        <f t="shared" si="384"/>
        <v>男</v>
      </c>
      <c r="D731" s="6" t="str">
        <f>"1995-03-18"</f>
        <v>1995-03-18</v>
      </c>
      <c r="E731" s="6" t="str">
        <f t="shared" si="385"/>
        <v>本科</v>
      </c>
      <c r="F731" s="6" t="str">
        <f>"经济学学士"</f>
        <v>经济学学士</v>
      </c>
      <c r="G731" s="6" t="str">
        <f>"经济学"</f>
        <v>经济学</v>
      </c>
      <c r="H731" s="7" t="s">
        <v>9</v>
      </c>
    </row>
    <row r="732" spans="1:8" ht="15" customHeight="1">
      <c r="A732" s="5">
        <v>730</v>
      </c>
      <c r="B732" s="6" t="str">
        <f>"林师谕"</f>
        <v>林师谕</v>
      </c>
      <c r="C732" s="6" t="str">
        <f t="shared" si="384"/>
        <v>男</v>
      </c>
      <c r="D732" s="6" t="str">
        <f>"1996-09-17"</f>
        <v>1996-09-17</v>
      </c>
      <c r="E732" s="6" t="str">
        <f t="shared" si="385"/>
        <v>本科</v>
      </c>
      <c r="F732" s="6" t="str">
        <f>"管理学学士"</f>
        <v>管理学学士</v>
      </c>
      <c r="G732" s="6" t="str">
        <f>"会计学"</f>
        <v>会计学</v>
      </c>
      <c r="H732" s="7" t="s">
        <v>9</v>
      </c>
    </row>
    <row r="733" spans="1:8" ht="15" customHeight="1">
      <c r="A733" s="5">
        <v>731</v>
      </c>
      <c r="B733" s="6" t="str">
        <f>"孙露露"</f>
        <v>孙露露</v>
      </c>
      <c r="C733" s="6" t="str">
        <f>"女"</f>
        <v>女</v>
      </c>
      <c r="D733" s="6" t="str">
        <f>"1997-05-02"</f>
        <v>1997-05-02</v>
      </c>
      <c r="E733" s="6" t="str">
        <f t="shared" si="385"/>
        <v>本科</v>
      </c>
      <c r="F733" s="6" t="str">
        <f>"管理学士"</f>
        <v>管理学士</v>
      </c>
      <c r="G733" s="6" t="str">
        <f>"财务管理"</f>
        <v>财务管理</v>
      </c>
      <c r="H733" s="7" t="s">
        <v>9</v>
      </c>
    </row>
    <row r="734" spans="1:8" ht="15" customHeight="1">
      <c r="A734" s="5">
        <v>732</v>
      </c>
      <c r="B734" s="6" t="str">
        <f>"陈筱"</f>
        <v>陈筱</v>
      </c>
      <c r="C734" s="6" t="str">
        <f>"女"</f>
        <v>女</v>
      </c>
      <c r="D734" s="6" t="str">
        <f>"1999-03-02"</f>
        <v>1999-03-02</v>
      </c>
      <c r="E734" s="6" t="str">
        <f>"大学本科"</f>
        <v>大学本科</v>
      </c>
      <c r="F734" s="6" t="str">
        <f aca="true" t="shared" si="386" ref="F734:F740">"工学学士"</f>
        <v>工学学士</v>
      </c>
      <c r="G734" s="6" t="str">
        <f>"环境科学与工程专业"</f>
        <v>环境科学与工程专业</v>
      </c>
      <c r="H734" s="7" t="s">
        <v>9</v>
      </c>
    </row>
    <row r="735" spans="1:8" ht="15" customHeight="1">
      <c r="A735" s="5">
        <v>733</v>
      </c>
      <c r="B735" s="6" t="str">
        <f>"何俊蔚"</f>
        <v>何俊蔚</v>
      </c>
      <c r="C735" s="6" t="str">
        <f aca="true" t="shared" si="387" ref="C735:C739">"男"</f>
        <v>男</v>
      </c>
      <c r="D735" s="6" t="str">
        <f>"1996-04-20"</f>
        <v>1996-04-20</v>
      </c>
      <c r="E735" s="6" t="str">
        <f aca="true" t="shared" si="388" ref="E735:E738">"大学本科学历"</f>
        <v>大学本科学历</v>
      </c>
      <c r="F735" s="6" t="str">
        <f>"管理学学士学位"</f>
        <v>管理学学士学位</v>
      </c>
      <c r="G735" s="6" t="str">
        <f>"工程管理"</f>
        <v>工程管理</v>
      </c>
      <c r="H735" s="7" t="s">
        <v>9</v>
      </c>
    </row>
    <row r="736" spans="1:8" ht="15" customHeight="1">
      <c r="A736" s="5">
        <v>734</v>
      </c>
      <c r="B736" s="6" t="str">
        <f>"陈键"</f>
        <v>陈键</v>
      </c>
      <c r="C736" s="6" t="str">
        <f t="shared" si="387"/>
        <v>男</v>
      </c>
      <c r="D736" s="6" t="str">
        <f>"1998-03-01"</f>
        <v>1998-03-01</v>
      </c>
      <c r="E736" s="6" t="str">
        <f t="shared" si="388"/>
        <v>大学本科学历</v>
      </c>
      <c r="F736" s="6" t="str">
        <f>"管理学学士"</f>
        <v>管理学学士</v>
      </c>
      <c r="G736" s="6" t="str">
        <f>"会计学"</f>
        <v>会计学</v>
      </c>
      <c r="H736" s="7" t="s">
        <v>9</v>
      </c>
    </row>
    <row r="737" spans="1:8" ht="15" customHeight="1">
      <c r="A737" s="5">
        <v>735</v>
      </c>
      <c r="B737" s="6" t="str">
        <f>"符含浓"</f>
        <v>符含浓</v>
      </c>
      <c r="C737" s="6" t="str">
        <f t="shared" si="387"/>
        <v>男</v>
      </c>
      <c r="D737" s="6" t="str">
        <f>"1993-08-18"</f>
        <v>1993-08-18</v>
      </c>
      <c r="E737" s="6" t="str">
        <f aca="true" t="shared" si="389" ref="E737:E747">"本科"</f>
        <v>本科</v>
      </c>
      <c r="F737" s="6" t="str">
        <f t="shared" si="386"/>
        <v>工学学士</v>
      </c>
      <c r="G737" s="6" t="str">
        <f>"建筑学"</f>
        <v>建筑学</v>
      </c>
      <c r="H737" s="7" t="s">
        <v>9</v>
      </c>
    </row>
    <row r="738" spans="1:8" ht="15" customHeight="1">
      <c r="A738" s="5">
        <v>736</v>
      </c>
      <c r="B738" s="6" t="str">
        <f>"邓广斌"</f>
        <v>邓广斌</v>
      </c>
      <c r="C738" s="6" t="str">
        <f t="shared" si="387"/>
        <v>男</v>
      </c>
      <c r="D738" s="6" t="str">
        <f>"1996-04-27"</f>
        <v>1996-04-27</v>
      </c>
      <c r="E738" s="6" t="str">
        <f t="shared" si="388"/>
        <v>大学本科学历</v>
      </c>
      <c r="F738" s="6" t="str">
        <f t="shared" si="386"/>
        <v>工学学士</v>
      </c>
      <c r="G738" s="6" t="str">
        <f>"给排水科学与工程"</f>
        <v>给排水科学与工程</v>
      </c>
      <c r="H738" s="7" t="s">
        <v>9</v>
      </c>
    </row>
    <row r="739" spans="1:8" ht="15" customHeight="1">
      <c r="A739" s="5">
        <v>737</v>
      </c>
      <c r="B739" s="6" t="str">
        <f>"杜生壮"</f>
        <v>杜生壮</v>
      </c>
      <c r="C739" s="6" t="str">
        <f t="shared" si="387"/>
        <v>男</v>
      </c>
      <c r="D739" s="6" t="str">
        <f>"1995-08-28"</f>
        <v>1995-08-28</v>
      </c>
      <c r="E739" s="6" t="str">
        <f t="shared" si="389"/>
        <v>本科</v>
      </c>
      <c r="F739" s="6" t="str">
        <f t="shared" si="386"/>
        <v>工学学士</v>
      </c>
      <c r="G739" s="6" t="str">
        <f>"土木工程"</f>
        <v>土木工程</v>
      </c>
      <c r="H739" s="7" t="s">
        <v>9</v>
      </c>
    </row>
    <row r="740" spans="1:8" ht="15" customHeight="1">
      <c r="A740" s="5">
        <v>738</v>
      </c>
      <c r="B740" s="6" t="str">
        <f>"张琼丹"</f>
        <v>张琼丹</v>
      </c>
      <c r="C740" s="6" t="str">
        <f aca="true" t="shared" si="390" ref="C740:C748">"女"</f>
        <v>女</v>
      </c>
      <c r="D740" s="6" t="str">
        <f>"1994-04-11"</f>
        <v>1994-04-11</v>
      </c>
      <c r="E740" s="6" t="str">
        <f>"大学本科"</f>
        <v>大学本科</v>
      </c>
      <c r="F740" s="6" t="str">
        <f t="shared" si="386"/>
        <v>工学学士</v>
      </c>
      <c r="G740" s="6" t="str">
        <f>"电子商务"</f>
        <v>电子商务</v>
      </c>
      <c r="H740" s="7" t="s">
        <v>9</v>
      </c>
    </row>
    <row r="741" spans="1:8" ht="15" customHeight="1">
      <c r="A741" s="5">
        <v>739</v>
      </c>
      <c r="B741" s="6" t="str">
        <f>"吴燕凛"</f>
        <v>吴燕凛</v>
      </c>
      <c r="C741" s="6" t="str">
        <f aca="true" t="shared" si="391" ref="C741:C744">"男"</f>
        <v>男</v>
      </c>
      <c r="D741" s="6" t="str">
        <f>"1997-12-28"</f>
        <v>1997-12-28</v>
      </c>
      <c r="E741" s="6" t="str">
        <f t="shared" si="389"/>
        <v>本科</v>
      </c>
      <c r="F741" s="6" t="str">
        <f>"管理学学士"</f>
        <v>管理学学士</v>
      </c>
      <c r="G741" s="6" t="str">
        <f>"工程管理"</f>
        <v>工程管理</v>
      </c>
      <c r="H741" s="7" t="s">
        <v>9</v>
      </c>
    </row>
    <row r="742" spans="1:8" ht="15" customHeight="1">
      <c r="A742" s="5">
        <v>740</v>
      </c>
      <c r="B742" s="6" t="str">
        <f>"陈星云"</f>
        <v>陈星云</v>
      </c>
      <c r="C742" s="6" t="str">
        <f t="shared" si="390"/>
        <v>女</v>
      </c>
      <c r="D742" s="6" t="str">
        <f>"1997-02-12"</f>
        <v>1997-02-12</v>
      </c>
      <c r="E742" s="6" t="str">
        <f t="shared" si="389"/>
        <v>本科</v>
      </c>
      <c r="F742" s="6" t="str">
        <f>"理学学士"</f>
        <v>理学学士</v>
      </c>
      <c r="G742" s="6" t="str">
        <f>"环境科学"</f>
        <v>环境科学</v>
      </c>
      <c r="H742" s="7" t="s">
        <v>9</v>
      </c>
    </row>
    <row r="743" spans="1:8" ht="15" customHeight="1">
      <c r="A743" s="5">
        <v>741</v>
      </c>
      <c r="B743" s="6" t="str">
        <f>"严凌峰"</f>
        <v>严凌峰</v>
      </c>
      <c r="C743" s="6" t="str">
        <f t="shared" si="391"/>
        <v>男</v>
      </c>
      <c r="D743" s="6" t="str">
        <f>"1995-05-28"</f>
        <v>1995-05-28</v>
      </c>
      <c r="E743" s="6" t="str">
        <f t="shared" si="389"/>
        <v>本科</v>
      </c>
      <c r="F743" s="6" t="str">
        <f>"工学学士"</f>
        <v>工学学士</v>
      </c>
      <c r="G743" s="6" t="str">
        <f>"环境工程"</f>
        <v>环境工程</v>
      </c>
      <c r="H743" s="7" t="s">
        <v>9</v>
      </c>
    </row>
    <row r="744" spans="1:8" ht="15" customHeight="1">
      <c r="A744" s="5">
        <v>742</v>
      </c>
      <c r="B744" s="6" t="str">
        <f>"王启鹏"</f>
        <v>王启鹏</v>
      </c>
      <c r="C744" s="6" t="str">
        <f t="shared" si="391"/>
        <v>男</v>
      </c>
      <c r="D744" s="6" t="str">
        <f>"1997-11-17"</f>
        <v>1997-11-17</v>
      </c>
      <c r="E744" s="6" t="str">
        <f t="shared" si="389"/>
        <v>本科</v>
      </c>
      <c r="F744" s="6" t="str">
        <f>"管理学学士学位"</f>
        <v>管理学学士学位</v>
      </c>
      <c r="G744" s="6" t="str">
        <f>"工商管理"</f>
        <v>工商管理</v>
      </c>
      <c r="H744" s="7" t="s">
        <v>9</v>
      </c>
    </row>
    <row r="745" spans="1:8" ht="15" customHeight="1">
      <c r="A745" s="5">
        <v>743</v>
      </c>
      <c r="B745" s="6" t="str">
        <f>"李秀尾"</f>
        <v>李秀尾</v>
      </c>
      <c r="C745" s="6" t="str">
        <f t="shared" si="390"/>
        <v>女</v>
      </c>
      <c r="D745" s="6" t="str">
        <f>"1998-09-22"</f>
        <v>1998-09-22</v>
      </c>
      <c r="E745" s="6" t="str">
        <f t="shared" si="389"/>
        <v>本科</v>
      </c>
      <c r="F745" s="6" t="str">
        <f>"农学学位"</f>
        <v>农学学位</v>
      </c>
      <c r="G745" s="6" t="str">
        <f>"动物医学"</f>
        <v>动物医学</v>
      </c>
      <c r="H745" s="7" t="s">
        <v>9</v>
      </c>
    </row>
    <row r="746" spans="1:8" ht="15" customHeight="1">
      <c r="A746" s="5">
        <v>744</v>
      </c>
      <c r="B746" s="6" t="str">
        <f>"许玲梅"</f>
        <v>许玲梅</v>
      </c>
      <c r="C746" s="6" t="str">
        <f t="shared" si="390"/>
        <v>女</v>
      </c>
      <c r="D746" s="6" t="str">
        <f>"1997-12-20"</f>
        <v>1997-12-20</v>
      </c>
      <c r="E746" s="6" t="str">
        <f t="shared" si="389"/>
        <v>本科</v>
      </c>
      <c r="F746" s="6" t="str">
        <f>"管理学学士"</f>
        <v>管理学学士</v>
      </c>
      <c r="G746" s="6" t="str">
        <f>"行政管理"</f>
        <v>行政管理</v>
      </c>
      <c r="H746" s="7" t="s">
        <v>9</v>
      </c>
    </row>
    <row r="747" spans="1:8" ht="15" customHeight="1">
      <c r="A747" s="5">
        <v>745</v>
      </c>
      <c r="B747" s="6" t="str">
        <f>"郑惠玲"</f>
        <v>郑惠玲</v>
      </c>
      <c r="C747" s="6" t="str">
        <f t="shared" si="390"/>
        <v>女</v>
      </c>
      <c r="D747" s="6" t="str">
        <f>"1994-02-21"</f>
        <v>1994-02-21</v>
      </c>
      <c r="E747" s="6" t="str">
        <f t="shared" si="389"/>
        <v>本科</v>
      </c>
      <c r="F747" s="6" t="str">
        <f>"管理学学士"</f>
        <v>管理学学士</v>
      </c>
      <c r="G747" s="6" t="str">
        <f>"人力资源管理"</f>
        <v>人力资源管理</v>
      </c>
      <c r="H747" s="7" t="s">
        <v>9</v>
      </c>
    </row>
    <row r="748" spans="1:8" ht="15" customHeight="1">
      <c r="A748" s="5">
        <v>746</v>
      </c>
      <c r="B748" s="6" t="str">
        <f>"郭融"</f>
        <v>郭融</v>
      </c>
      <c r="C748" s="6" t="str">
        <f t="shared" si="390"/>
        <v>女</v>
      </c>
      <c r="D748" s="6" t="str">
        <f>"1992-08-07"</f>
        <v>1992-08-07</v>
      </c>
      <c r="E748" s="6" t="str">
        <f>"大学本科"</f>
        <v>大学本科</v>
      </c>
      <c r="F748" s="6" t="str">
        <f>"文学学士"</f>
        <v>文学学士</v>
      </c>
      <c r="G748" s="6" t="str">
        <f>"汉语言文学"</f>
        <v>汉语言文学</v>
      </c>
      <c r="H748" s="7" t="s">
        <v>9</v>
      </c>
    </row>
    <row r="749" spans="1:8" ht="15" customHeight="1">
      <c r="A749" s="5">
        <v>747</v>
      </c>
      <c r="B749" s="6" t="str">
        <f>"陈敏"</f>
        <v>陈敏</v>
      </c>
      <c r="C749" s="6" t="str">
        <f aca="true" t="shared" si="392" ref="C749:C756">"男"</f>
        <v>男</v>
      </c>
      <c r="D749" s="6" t="str">
        <f>"1998-04-01"</f>
        <v>1998-04-01</v>
      </c>
      <c r="E749" s="6" t="str">
        <f>"大学本科"</f>
        <v>大学本科</v>
      </c>
      <c r="F749" s="6" t="str">
        <f>"理学学士"</f>
        <v>理学学士</v>
      </c>
      <c r="G749" s="6" t="str">
        <f>"环境科学"</f>
        <v>环境科学</v>
      </c>
      <c r="H749" s="7" t="s">
        <v>9</v>
      </c>
    </row>
    <row r="750" spans="1:8" ht="15" customHeight="1">
      <c r="A750" s="5">
        <v>748</v>
      </c>
      <c r="B750" s="6" t="str">
        <f>"蓝晓静"</f>
        <v>蓝晓静</v>
      </c>
      <c r="C750" s="6" t="str">
        <f aca="true" t="shared" si="393" ref="C750:C752">"女"</f>
        <v>女</v>
      </c>
      <c r="D750" s="6" t="str">
        <f>"1989-11-11"</f>
        <v>1989-11-11</v>
      </c>
      <c r="E750" s="6" t="str">
        <f aca="true" t="shared" si="394" ref="E750:E754">"本科"</f>
        <v>本科</v>
      </c>
      <c r="F750" s="6" t="str">
        <f>"学士学位"</f>
        <v>学士学位</v>
      </c>
      <c r="G750" s="6" t="str">
        <f>"旅游管理"</f>
        <v>旅游管理</v>
      </c>
      <c r="H750" s="7" t="s">
        <v>9</v>
      </c>
    </row>
    <row r="751" spans="1:8" ht="15" customHeight="1">
      <c r="A751" s="5">
        <v>749</v>
      </c>
      <c r="B751" s="6" t="str">
        <f>"万志雪"</f>
        <v>万志雪</v>
      </c>
      <c r="C751" s="6" t="str">
        <f t="shared" si="393"/>
        <v>女</v>
      </c>
      <c r="D751" s="6" t="str">
        <f>"1988-06-28"</f>
        <v>1988-06-28</v>
      </c>
      <c r="E751" s="6" t="str">
        <f t="shared" si="394"/>
        <v>本科</v>
      </c>
      <c r="F751" s="6" t="str">
        <f>"文学学士"</f>
        <v>文学学士</v>
      </c>
      <c r="G751" s="6" t="str">
        <f>"新闻学"</f>
        <v>新闻学</v>
      </c>
      <c r="H751" s="7" t="s">
        <v>9</v>
      </c>
    </row>
    <row r="752" spans="1:8" ht="15" customHeight="1">
      <c r="A752" s="5">
        <v>750</v>
      </c>
      <c r="B752" s="6" t="str">
        <f>"王洁"</f>
        <v>王洁</v>
      </c>
      <c r="C752" s="6" t="str">
        <f t="shared" si="393"/>
        <v>女</v>
      </c>
      <c r="D752" s="6" t="str">
        <f>"1995-09-20"</f>
        <v>1995-09-20</v>
      </c>
      <c r="E752" s="6" t="str">
        <f t="shared" si="394"/>
        <v>本科</v>
      </c>
      <c r="F752" s="6" t="str">
        <f>"管理学学士"</f>
        <v>管理学学士</v>
      </c>
      <c r="G752" s="6" t="str">
        <f>"旅游管理"</f>
        <v>旅游管理</v>
      </c>
      <c r="H752" s="7" t="s">
        <v>9</v>
      </c>
    </row>
    <row r="753" spans="1:8" ht="15" customHeight="1">
      <c r="A753" s="5">
        <v>751</v>
      </c>
      <c r="B753" s="6" t="str">
        <f>"谢廷孝"</f>
        <v>谢廷孝</v>
      </c>
      <c r="C753" s="6" t="str">
        <f t="shared" si="392"/>
        <v>男</v>
      </c>
      <c r="D753" s="6" t="str">
        <f>"1988-04-28"</f>
        <v>1988-04-28</v>
      </c>
      <c r="E753" s="6" t="str">
        <f t="shared" si="394"/>
        <v>本科</v>
      </c>
      <c r="F753" s="6" t="str">
        <f>"工学学士"</f>
        <v>工学学士</v>
      </c>
      <c r="G753" s="6" t="str">
        <f>"环境工程"</f>
        <v>环境工程</v>
      </c>
      <c r="H753" s="7" t="s">
        <v>9</v>
      </c>
    </row>
    <row r="754" spans="1:8" ht="15" customHeight="1">
      <c r="A754" s="5">
        <v>752</v>
      </c>
      <c r="B754" s="6" t="str">
        <f>"梁安铭"</f>
        <v>梁安铭</v>
      </c>
      <c r="C754" s="6" t="str">
        <f t="shared" si="392"/>
        <v>男</v>
      </c>
      <c r="D754" s="6" t="str">
        <f>"1998-08-05"</f>
        <v>1998-08-05</v>
      </c>
      <c r="E754" s="6" t="str">
        <f t="shared" si="394"/>
        <v>本科</v>
      </c>
      <c r="F754" s="6" t="str">
        <f aca="true" t="shared" si="395" ref="F754:F760">"管理学学士"</f>
        <v>管理学学士</v>
      </c>
      <c r="G754" s="6" t="str">
        <f>"工程管理（土木工程管理）"</f>
        <v>工程管理（土木工程管理）</v>
      </c>
      <c r="H754" s="7" t="s">
        <v>9</v>
      </c>
    </row>
    <row r="755" spans="1:8" ht="15" customHeight="1">
      <c r="A755" s="5">
        <v>753</v>
      </c>
      <c r="B755" s="6" t="str">
        <f>"吴育大"</f>
        <v>吴育大</v>
      </c>
      <c r="C755" s="6" t="str">
        <f t="shared" si="392"/>
        <v>男</v>
      </c>
      <c r="D755" s="6" t="str">
        <f>"1987-07-27"</f>
        <v>1987-07-27</v>
      </c>
      <c r="E755" s="6" t="str">
        <f aca="true" t="shared" si="396" ref="E755:E761">"大学本科"</f>
        <v>大学本科</v>
      </c>
      <c r="F755" s="6" t="str">
        <f>"管理学学士学位"</f>
        <v>管理学学士学位</v>
      </c>
      <c r="G755" s="6" t="str">
        <f>"工程管理（造价管理）"</f>
        <v>工程管理（造价管理）</v>
      </c>
      <c r="H755" s="7" t="s">
        <v>9</v>
      </c>
    </row>
    <row r="756" spans="1:8" ht="15" customHeight="1">
      <c r="A756" s="5">
        <v>754</v>
      </c>
      <c r="B756" s="6" t="str">
        <f>"李志瑞"</f>
        <v>李志瑞</v>
      </c>
      <c r="C756" s="6" t="str">
        <f t="shared" si="392"/>
        <v>男</v>
      </c>
      <c r="D756" s="6" t="str">
        <f>"1993-02-07"</f>
        <v>1993-02-07</v>
      </c>
      <c r="E756" s="6" t="str">
        <f aca="true" t="shared" si="397" ref="E756:E758">"本科"</f>
        <v>本科</v>
      </c>
      <c r="F756" s="6" t="str">
        <f>"学士学位"</f>
        <v>学士学位</v>
      </c>
      <c r="G756" s="6" t="str">
        <f>"会计学"</f>
        <v>会计学</v>
      </c>
      <c r="H756" s="7" t="s">
        <v>9</v>
      </c>
    </row>
    <row r="757" spans="1:8" ht="15" customHeight="1">
      <c r="A757" s="5">
        <v>755</v>
      </c>
      <c r="B757" s="6" t="str">
        <f>"文影影"</f>
        <v>文影影</v>
      </c>
      <c r="C757" s="6" t="str">
        <f aca="true" t="shared" si="398" ref="C757:C760">"女"</f>
        <v>女</v>
      </c>
      <c r="D757" s="6" t="str">
        <f>"1993-05-16"</f>
        <v>1993-05-16</v>
      </c>
      <c r="E757" s="6" t="str">
        <f t="shared" si="397"/>
        <v>本科</v>
      </c>
      <c r="F757" s="6" t="str">
        <f>"管理学位"</f>
        <v>管理学位</v>
      </c>
      <c r="G757" s="6" t="str">
        <f>"财务管理（企业财务方向）"</f>
        <v>财务管理（企业财务方向）</v>
      </c>
      <c r="H757" s="7" t="s">
        <v>9</v>
      </c>
    </row>
    <row r="758" spans="1:8" ht="15" customHeight="1">
      <c r="A758" s="5">
        <v>756</v>
      </c>
      <c r="B758" s="6" t="str">
        <f>"王冰"</f>
        <v>王冰</v>
      </c>
      <c r="C758" s="6" t="str">
        <f t="shared" si="398"/>
        <v>女</v>
      </c>
      <c r="D758" s="6" t="str">
        <f>"1997-04-04"</f>
        <v>1997-04-04</v>
      </c>
      <c r="E758" s="6" t="str">
        <f t="shared" si="397"/>
        <v>本科</v>
      </c>
      <c r="F758" s="6" t="str">
        <f t="shared" si="395"/>
        <v>管理学学士</v>
      </c>
      <c r="G758" s="6" t="str">
        <f>"审计学"</f>
        <v>审计学</v>
      </c>
      <c r="H758" s="7" t="s">
        <v>9</v>
      </c>
    </row>
    <row r="759" spans="1:8" ht="15" customHeight="1">
      <c r="A759" s="5">
        <v>757</v>
      </c>
      <c r="B759" s="6" t="str">
        <f>"张玲"</f>
        <v>张玲</v>
      </c>
      <c r="C759" s="6" t="str">
        <f t="shared" si="398"/>
        <v>女</v>
      </c>
      <c r="D759" s="6" t="str">
        <f>"1996-11-21"</f>
        <v>1996-11-21</v>
      </c>
      <c r="E759" s="6" t="str">
        <f t="shared" si="396"/>
        <v>大学本科</v>
      </c>
      <c r="F759" s="6" t="str">
        <f t="shared" si="395"/>
        <v>管理学学士</v>
      </c>
      <c r="G759" s="6" t="str">
        <f>"人力资源管理"</f>
        <v>人力资源管理</v>
      </c>
      <c r="H759" s="7" t="s">
        <v>9</v>
      </c>
    </row>
    <row r="760" spans="1:8" ht="15" customHeight="1">
      <c r="A760" s="5">
        <v>758</v>
      </c>
      <c r="B760" s="6" t="str">
        <f>"谢小妹"</f>
        <v>谢小妹</v>
      </c>
      <c r="C760" s="6" t="str">
        <f t="shared" si="398"/>
        <v>女</v>
      </c>
      <c r="D760" s="6" t="str">
        <f>"1998-11-13"</f>
        <v>1998-11-13</v>
      </c>
      <c r="E760" s="6" t="str">
        <f t="shared" si="396"/>
        <v>大学本科</v>
      </c>
      <c r="F760" s="6" t="str">
        <f t="shared" si="395"/>
        <v>管理学学士</v>
      </c>
      <c r="G760" s="6" t="str">
        <f>"财务管理"</f>
        <v>财务管理</v>
      </c>
      <c r="H760" s="7" t="s">
        <v>9</v>
      </c>
    </row>
    <row r="761" spans="1:8" ht="15" customHeight="1">
      <c r="A761" s="5">
        <v>759</v>
      </c>
      <c r="B761" s="6" t="str">
        <f>"占达逵"</f>
        <v>占达逵</v>
      </c>
      <c r="C761" s="6" t="str">
        <f aca="true" t="shared" si="399" ref="C761:C764">"男"</f>
        <v>男</v>
      </c>
      <c r="D761" s="6" t="str">
        <f>"1991-12-31"</f>
        <v>1991-12-31</v>
      </c>
      <c r="E761" s="6" t="str">
        <f t="shared" si="396"/>
        <v>大学本科</v>
      </c>
      <c r="F761" s="6" t="str">
        <f>"学士学位"</f>
        <v>学士学位</v>
      </c>
      <c r="G761" s="6" t="str">
        <f>"计算机科学与技术"</f>
        <v>计算机科学与技术</v>
      </c>
      <c r="H761" s="7" t="s">
        <v>9</v>
      </c>
    </row>
    <row r="762" spans="1:8" ht="15" customHeight="1">
      <c r="A762" s="5">
        <v>760</v>
      </c>
      <c r="B762" s="6" t="str">
        <f>"林培培"</f>
        <v>林培培</v>
      </c>
      <c r="C762" s="6" t="str">
        <f aca="true" t="shared" si="400" ref="C762:C766">"女"</f>
        <v>女</v>
      </c>
      <c r="D762" s="6" t="str">
        <f>"1997-01-10"</f>
        <v>1997-01-10</v>
      </c>
      <c r="E762" s="6" t="str">
        <f aca="true" t="shared" si="401" ref="E762:E764">"本科"</f>
        <v>本科</v>
      </c>
      <c r="F762" s="6" t="str">
        <f>"管理学学士"</f>
        <v>管理学学士</v>
      </c>
      <c r="G762" s="6" t="str">
        <f>"财务管理"</f>
        <v>财务管理</v>
      </c>
      <c r="H762" s="7" t="s">
        <v>9</v>
      </c>
    </row>
    <row r="763" spans="1:8" ht="15" customHeight="1">
      <c r="A763" s="5">
        <v>761</v>
      </c>
      <c r="B763" s="6" t="str">
        <f>"符升"</f>
        <v>符升</v>
      </c>
      <c r="C763" s="6" t="str">
        <f t="shared" si="399"/>
        <v>男</v>
      </c>
      <c r="D763" s="6" t="str">
        <f>"1995-03-15"</f>
        <v>1995-03-15</v>
      </c>
      <c r="E763" s="6" t="str">
        <f t="shared" si="401"/>
        <v>本科</v>
      </c>
      <c r="F763" s="6" t="str">
        <f>"农学学士"</f>
        <v>农学学士</v>
      </c>
      <c r="G763" s="6" t="str">
        <f>"水产养殖学"</f>
        <v>水产养殖学</v>
      </c>
      <c r="H763" s="7" t="s">
        <v>9</v>
      </c>
    </row>
    <row r="764" spans="1:8" ht="15" customHeight="1">
      <c r="A764" s="5">
        <v>762</v>
      </c>
      <c r="B764" s="6" t="str">
        <f>"吴运尊"</f>
        <v>吴运尊</v>
      </c>
      <c r="C764" s="6" t="str">
        <f t="shared" si="399"/>
        <v>男</v>
      </c>
      <c r="D764" s="6" t="str">
        <f>"1994-07-08"</f>
        <v>1994-07-08</v>
      </c>
      <c r="E764" s="6" t="str">
        <f t="shared" si="401"/>
        <v>本科</v>
      </c>
      <c r="F764" s="6" t="str">
        <f>"农学学士"</f>
        <v>农学学士</v>
      </c>
      <c r="G764" s="6" t="str">
        <f>"水产养殖学"</f>
        <v>水产养殖学</v>
      </c>
      <c r="H764" s="7" t="s">
        <v>9</v>
      </c>
    </row>
    <row r="765" spans="1:8" ht="15" customHeight="1">
      <c r="A765" s="5">
        <v>763</v>
      </c>
      <c r="B765" s="6" t="str">
        <f>"王雪娟"</f>
        <v>王雪娟</v>
      </c>
      <c r="C765" s="6" t="str">
        <f t="shared" si="400"/>
        <v>女</v>
      </c>
      <c r="D765" s="6" t="str">
        <f>"1992-10-12"</f>
        <v>1992-10-12</v>
      </c>
      <c r="E765" s="6" t="str">
        <f aca="true" t="shared" si="402" ref="E765:E767">"大学本科"</f>
        <v>大学本科</v>
      </c>
      <c r="F765" s="6" t="str">
        <f>"管理学学士学位"</f>
        <v>管理学学士学位</v>
      </c>
      <c r="G765" s="6" t="str">
        <f>"物流管理"</f>
        <v>物流管理</v>
      </c>
      <c r="H765" s="7" t="s">
        <v>9</v>
      </c>
    </row>
    <row r="766" spans="1:8" ht="15" customHeight="1">
      <c r="A766" s="5">
        <v>764</v>
      </c>
      <c r="B766" s="6" t="str">
        <f>"谭馨"</f>
        <v>谭馨</v>
      </c>
      <c r="C766" s="6" t="str">
        <f t="shared" si="400"/>
        <v>女</v>
      </c>
      <c r="D766" s="6" t="str">
        <f>"2000-02-24"</f>
        <v>2000-02-24</v>
      </c>
      <c r="E766" s="6" t="str">
        <f t="shared" si="402"/>
        <v>大学本科</v>
      </c>
      <c r="F766" s="6" t="str">
        <f>"汉语言文学学士"</f>
        <v>汉语言文学学士</v>
      </c>
      <c r="G766" s="6" t="str">
        <f>"汉语言文学"</f>
        <v>汉语言文学</v>
      </c>
      <c r="H766" s="7" t="s">
        <v>9</v>
      </c>
    </row>
    <row r="767" spans="1:8" ht="15" customHeight="1">
      <c r="A767" s="5">
        <v>765</v>
      </c>
      <c r="B767" s="6" t="str">
        <f>"林志泽"</f>
        <v>林志泽</v>
      </c>
      <c r="C767" s="6" t="str">
        <f aca="true" t="shared" si="403" ref="C767:C771">"男"</f>
        <v>男</v>
      </c>
      <c r="D767" s="6" t="str">
        <f>"1989-07-12"</f>
        <v>1989-07-12</v>
      </c>
      <c r="E767" s="6" t="str">
        <f t="shared" si="402"/>
        <v>大学本科</v>
      </c>
      <c r="F767" s="6" t="str">
        <f>"会计学士"</f>
        <v>会计学士</v>
      </c>
      <c r="G767" s="6" t="str">
        <f>"会计管理学"</f>
        <v>会计管理学</v>
      </c>
      <c r="H767" s="7" t="s">
        <v>9</v>
      </c>
    </row>
    <row r="768" spans="1:8" ht="15" customHeight="1">
      <c r="A768" s="5">
        <v>766</v>
      </c>
      <c r="B768" s="6" t="str">
        <f>"廖大"</f>
        <v>廖大</v>
      </c>
      <c r="C768" s="6" t="str">
        <f t="shared" si="403"/>
        <v>男</v>
      </c>
      <c r="D768" s="6" t="str">
        <f>"1991-12-12"</f>
        <v>1991-12-12</v>
      </c>
      <c r="E768" s="6" t="str">
        <f>"全日制本科"</f>
        <v>全日制本科</v>
      </c>
      <c r="F768" s="6" t="str">
        <f aca="true" t="shared" si="404" ref="F768:F774">"管理学学士"</f>
        <v>管理学学士</v>
      </c>
      <c r="G768" s="6" t="str">
        <f>"工商管理类-市场营销"</f>
        <v>工商管理类-市场营销</v>
      </c>
      <c r="H768" s="7" t="s">
        <v>9</v>
      </c>
    </row>
    <row r="769" spans="1:8" ht="15" customHeight="1">
      <c r="A769" s="5">
        <v>767</v>
      </c>
      <c r="B769" s="6" t="str">
        <f>"孟开将"</f>
        <v>孟开将</v>
      </c>
      <c r="C769" s="6" t="str">
        <f t="shared" si="403"/>
        <v>男</v>
      </c>
      <c r="D769" s="6" t="str">
        <f>"1998-02-16"</f>
        <v>1998-02-16</v>
      </c>
      <c r="E769" s="6" t="str">
        <f aca="true" t="shared" si="405" ref="E769:E773">"本科"</f>
        <v>本科</v>
      </c>
      <c r="F769" s="6" t="str">
        <f>"工学学士"</f>
        <v>工学学士</v>
      </c>
      <c r="G769" s="6" t="str">
        <f>"给排水科学与工程"</f>
        <v>给排水科学与工程</v>
      </c>
      <c r="H769" s="7" t="s">
        <v>9</v>
      </c>
    </row>
    <row r="770" spans="1:8" ht="15" customHeight="1">
      <c r="A770" s="5">
        <v>768</v>
      </c>
      <c r="B770" s="6" t="str">
        <f>"黎海辉"</f>
        <v>黎海辉</v>
      </c>
      <c r="C770" s="6" t="str">
        <f t="shared" si="403"/>
        <v>男</v>
      </c>
      <c r="D770" s="6" t="str">
        <f>"1995-08-22"</f>
        <v>1995-08-22</v>
      </c>
      <c r="E770" s="6" t="str">
        <f t="shared" si="405"/>
        <v>本科</v>
      </c>
      <c r="F770" s="6" t="str">
        <f>"工学学士"</f>
        <v>工学学士</v>
      </c>
      <c r="G770" s="6" t="str">
        <f>"土木工程"</f>
        <v>土木工程</v>
      </c>
      <c r="H770" s="7" t="s">
        <v>9</v>
      </c>
    </row>
    <row r="771" spans="1:8" ht="15" customHeight="1">
      <c r="A771" s="5">
        <v>769</v>
      </c>
      <c r="B771" s="6" t="str">
        <f>"许海涛"</f>
        <v>许海涛</v>
      </c>
      <c r="C771" s="6" t="str">
        <f t="shared" si="403"/>
        <v>男</v>
      </c>
      <c r="D771" s="6" t="str">
        <f>"1999-05-27"</f>
        <v>1999-05-27</v>
      </c>
      <c r="E771" s="6" t="str">
        <f>"大学本科学历"</f>
        <v>大学本科学历</v>
      </c>
      <c r="F771" s="6" t="str">
        <f>"经济学学士"</f>
        <v>经济学学士</v>
      </c>
      <c r="G771" s="6" t="str">
        <f>"金融学"</f>
        <v>金融学</v>
      </c>
      <c r="H771" s="7" t="s">
        <v>9</v>
      </c>
    </row>
    <row r="772" spans="1:8" ht="15" customHeight="1">
      <c r="A772" s="5">
        <v>770</v>
      </c>
      <c r="B772" s="6" t="str">
        <f>"王世妹"</f>
        <v>王世妹</v>
      </c>
      <c r="C772" s="6" t="str">
        <f aca="true" t="shared" si="406" ref="C772:C776">"女"</f>
        <v>女</v>
      </c>
      <c r="D772" s="6" t="str">
        <f>"1997-06-25"</f>
        <v>1997-06-25</v>
      </c>
      <c r="E772" s="6" t="str">
        <f t="shared" si="405"/>
        <v>本科</v>
      </c>
      <c r="F772" s="6" t="str">
        <f t="shared" si="404"/>
        <v>管理学学士</v>
      </c>
      <c r="G772" s="6" t="str">
        <f>"会计学"</f>
        <v>会计学</v>
      </c>
      <c r="H772" s="7" t="s">
        <v>9</v>
      </c>
    </row>
    <row r="773" spans="1:8" ht="15" customHeight="1">
      <c r="A773" s="5">
        <v>771</v>
      </c>
      <c r="B773" s="6" t="str">
        <f>"杨文君"</f>
        <v>杨文君</v>
      </c>
      <c r="C773" s="6" t="str">
        <f aca="true" t="shared" si="407" ref="C773:C777">"男"</f>
        <v>男</v>
      </c>
      <c r="D773" s="6" t="str">
        <f>"1999-10-24"</f>
        <v>1999-10-24</v>
      </c>
      <c r="E773" s="6" t="str">
        <f t="shared" si="405"/>
        <v>本科</v>
      </c>
      <c r="F773" s="6" t="str">
        <f t="shared" si="404"/>
        <v>管理学学士</v>
      </c>
      <c r="G773" s="6" t="str">
        <f>"会计学"</f>
        <v>会计学</v>
      </c>
      <c r="H773" s="7" t="s">
        <v>9</v>
      </c>
    </row>
    <row r="774" spans="1:8" ht="15" customHeight="1">
      <c r="A774" s="5">
        <v>772</v>
      </c>
      <c r="B774" s="6" t="str">
        <f>"黄春椰"</f>
        <v>黄春椰</v>
      </c>
      <c r="C774" s="6" t="str">
        <f t="shared" si="406"/>
        <v>女</v>
      </c>
      <c r="D774" s="6" t="str">
        <f>"1993-09-01"</f>
        <v>1993-09-01</v>
      </c>
      <c r="E774" s="6" t="str">
        <f aca="true" t="shared" si="408" ref="E774:E779">"大学本科"</f>
        <v>大学本科</v>
      </c>
      <c r="F774" s="6" t="str">
        <f t="shared" si="404"/>
        <v>管理学学士</v>
      </c>
      <c r="G774" s="6" t="str">
        <f>"审计学"</f>
        <v>审计学</v>
      </c>
      <c r="H774" s="7" t="s">
        <v>9</v>
      </c>
    </row>
    <row r="775" spans="1:8" ht="15" customHeight="1">
      <c r="A775" s="5">
        <v>773</v>
      </c>
      <c r="B775" s="6" t="str">
        <f>"潘中凯"</f>
        <v>潘中凯</v>
      </c>
      <c r="C775" s="6" t="str">
        <f t="shared" si="407"/>
        <v>男</v>
      </c>
      <c r="D775" s="6" t="str">
        <f>"1997-10-02"</f>
        <v>1997-10-02</v>
      </c>
      <c r="E775" s="6" t="str">
        <f aca="true" t="shared" si="409" ref="E775:E780">"本科"</f>
        <v>本科</v>
      </c>
      <c r="F775" s="6" t="str">
        <f>"经济学学士"</f>
        <v>经济学学士</v>
      </c>
      <c r="G775" s="6" t="str">
        <f>"金融学"</f>
        <v>金融学</v>
      </c>
      <c r="H775" s="7" t="s">
        <v>9</v>
      </c>
    </row>
    <row r="776" spans="1:8" ht="15" customHeight="1">
      <c r="A776" s="5">
        <v>774</v>
      </c>
      <c r="B776" s="6" t="str">
        <f>"刘海慧"</f>
        <v>刘海慧</v>
      </c>
      <c r="C776" s="6" t="str">
        <f t="shared" si="406"/>
        <v>女</v>
      </c>
      <c r="D776" s="6" t="str">
        <f>"2000-03-29"</f>
        <v>2000-03-29</v>
      </c>
      <c r="E776" s="6" t="str">
        <f>"全日制本科"</f>
        <v>全日制本科</v>
      </c>
      <c r="F776" s="6" t="str">
        <f>"管理学学士"</f>
        <v>管理学学士</v>
      </c>
      <c r="G776" s="6" t="str">
        <f>"市场营销"</f>
        <v>市场营销</v>
      </c>
      <c r="H776" s="7" t="s">
        <v>9</v>
      </c>
    </row>
    <row r="777" spans="1:8" ht="15" customHeight="1">
      <c r="A777" s="5">
        <v>775</v>
      </c>
      <c r="B777" s="6" t="str">
        <f>"王霆"</f>
        <v>王霆</v>
      </c>
      <c r="C777" s="6" t="str">
        <f t="shared" si="407"/>
        <v>男</v>
      </c>
      <c r="D777" s="6" t="str">
        <f>"2000-02-20"</f>
        <v>2000-02-20</v>
      </c>
      <c r="E777" s="6" t="str">
        <f t="shared" si="408"/>
        <v>大学本科</v>
      </c>
      <c r="F777" s="6" t="str">
        <f>"工学学士"</f>
        <v>工学学士</v>
      </c>
      <c r="G777" s="6" t="str">
        <f>"环境生态工程"</f>
        <v>环境生态工程</v>
      </c>
      <c r="H777" s="7" t="s">
        <v>9</v>
      </c>
    </row>
    <row r="778" spans="1:8" ht="15" customHeight="1">
      <c r="A778" s="5">
        <v>776</v>
      </c>
      <c r="B778" s="6" t="str">
        <f>"李二女"</f>
        <v>李二女</v>
      </c>
      <c r="C778" s="6" t="str">
        <f aca="true" t="shared" si="410" ref="C778:C781">"女"</f>
        <v>女</v>
      </c>
      <c r="D778" s="6" t="str">
        <f>"1997-10-27"</f>
        <v>1997-10-27</v>
      </c>
      <c r="E778" s="6" t="str">
        <f t="shared" si="409"/>
        <v>本科</v>
      </c>
      <c r="F778" s="6" t="str">
        <f>"管理学学士学位"</f>
        <v>管理学学士学位</v>
      </c>
      <c r="G778" s="6" t="str">
        <f>"财务管理"</f>
        <v>财务管理</v>
      </c>
      <c r="H778" s="7" t="s">
        <v>9</v>
      </c>
    </row>
    <row r="779" spans="1:8" ht="15" customHeight="1">
      <c r="A779" s="5">
        <v>777</v>
      </c>
      <c r="B779" s="6" t="str">
        <f>"黎诗娜"</f>
        <v>黎诗娜</v>
      </c>
      <c r="C779" s="6" t="str">
        <f t="shared" si="410"/>
        <v>女</v>
      </c>
      <c r="D779" s="6" t="str">
        <f>"1992-08-23"</f>
        <v>1992-08-23</v>
      </c>
      <c r="E779" s="6" t="str">
        <f t="shared" si="408"/>
        <v>大学本科</v>
      </c>
      <c r="F779" s="6" t="str">
        <f>"管理学学士"</f>
        <v>管理学学士</v>
      </c>
      <c r="G779" s="6" t="str">
        <f>"劳动与社会保障"</f>
        <v>劳动与社会保障</v>
      </c>
      <c r="H779" s="7" t="s">
        <v>9</v>
      </c>
    </row>
    <row r="780" spans="1:8" ht="15" customHeight="1">
      <c r="A780" s="5">
        <v>778</v>
      </c>
      <c r="B780" s="6" t="str">
        <f>"许森森"</f>
        <v>许森森</v>
      </c>
      <c r="C780" s="6" t="str">
        <f t="shared" si="410"/>
        <v>女</v>
      </c>
      <c r="D780" s="6" t="str">
        <f>"1999-01-28"</f>
        <v>1999-01-28</v>
      </c>
      <c r="E780" s="6" t="str">
        <f t="shared" si="409"/>
        <v>本科</v>
      </c>
      <c r="F780" s="6" t="str">
        <f>"工学学士学位"</f>
        <v>工学学士学位</v>
      </c>
      <c r="G780" s="6" t="str">
        <f>"环境工程"</f>
        <v>环境工程</v>
      </c>
      <c r="H780" s="7" t="s">
        <v>9</v>
      </c>
    </row>
    <row r="781" spans="1:8" ht="15" customHeight="1">
      <c r="A781" s="5">
        <v>779</v>
      </c>
      <c r="B781" s="6" t="str">
        <f>"邱钰涵"</f>
        <v>邱钰涵</v>
      </c>
      <c r="C781" s="6" t="str">
        <f t="shared" si="410"/>
        <v>女</v>
      </c>
      <c r="D781" s="6" t="str">
        <f>"1999-01-21"</f>
        <v>1999-01-21</v>
      </c>
      <c r="E781" s="6" t="str">
        <f>"大学本科学历"</f>
        <v>大学本科学历</v>
      </c>
      <c r="F781" s="6" t="str">
        <f>"管理学学士学位"</f>
        <v>管理学学士学位</v>
      </c>
      <c r="G781" s="6" t="str">
        <f>"行政管理"</f>
        <v>行政管理</v>
      </c>
      <c r="H781" s="7" t="s">
        <v>9</v>
      </c>
    </row>
    <row r="782" spans="1:8" ht="15" customHeight="1">
      <c r="A782" s="5">
        <v>780</v>
      </c>
      <c r="B782" s="6" t="str">
        <f>"周湛人"</f>
        <v>周湛人</v>
      </c>
      <c r="C782" s="6" t="str">
        <f aca="true" t="shared" si="411" ref="C782:C786">"男"</f>
        <v>男</v>
      </c>
      <c r="D782" s="6" t="str">
        <f>"1998-08-04"</f>
        <v>1998-08-04</v>
      </c>
      <c r="E782" s="6" t="str">
        <f>"大学本科"</f>
        <v>大学本科</v>
      </c>
      <c r="F782" s="6" t="str">
        <f aca="true" t="shared" si="412" ref="F782:F786">"工学学士"</f>
        <v>工学学士</v>
      </c>
      <c r="G782" s="6" t="str">
        <f>"计算机科学与技术"</f>
        <v>计算机科学与技术</v>
      </c>
      <c r="H782" s="7" t="s">
        <v>9</v>
      </c>
    </row>
    <row r="783" spans="1:8" ht="15" customHeight="1">
      <c r="A783" s="5">
        <v>781</v>
      </c>
      <c r="B783" s="6" t="str">
        <f>"文珍"</f>
        <v>文珍</v>
      </c>
      <c r="C783" s="6" t="str">
        <f aca="true" t="shared" si="413" ref="C783:C787">"女"</f>
        <v>女</v>
      </c>
      <c r="D783" s="6" t="str">
        <f>"1987-08-22"</f>
        <v>1987-08-22</v>
      </c>
      <c r="E783" s="6" t="str">
        <f aca="true" t="shared" si="414" ref="E783:E787">"本科"</f>
        <v>本科</v>
      </c>
      <c r="F783" s="6" t="str">
        <f>"农学学士"</f>
        <v>农学学士</v>
      </c>
      <c r="G783" s="6" t="str">
        <f>"水产养殖学、人力资源管理"</f>
        <v>水产养殖学、人力资源管理</v>
      </c>
      <c r="H783" s="7" t="s">
        <v>9</v>
      </c>
    </row>
    <row r="784" spans="1:8" ht="15" customHeight="1">
      <c r="A784" s="5">
        <v>782</v>
      </c>
      <c r="B784" s="6" t="str">
        <f>"彭禄时"</f>
        <v>彭禄时</v>
      </c>
      <c r="C784" s="6" t="str">
        <f t="shared" si="411"/>
        <v>男</v>
      </c>
      <c r="D784" s="6" t="str">
        <f>"1994-03-06"</f>
        <v>1994-03-06</v>
      </c>
      <c r="E784" s="6" t="str">
        <f>"大学本科"</f>
        <v>大学本科</v>
      </c>
      <c r="F784" s="6" t="str">
        <f>"管理学学士"</f>
        <v>管理学学士</v>
      </c>
      <c r="G784" s="6" t="str">
        <f>"工商管理"</f>
        <v>工商管理</v>
      </c>
      <c r="H784" s="7" t="s">
        <v>9</v>
      </c>
    </row>
    <row r="785" spans="1:8" ht="15" customHeight="1">
      <c r="A785" s="5">
        <v>783</v>
      </c>
      <c r="B785" s="6" t="str">
        <f>" 陈文霞"</f>
        <v> 陈文霞</v>
      </c>
      <c r="C785" s="6" t="str">
        <f t="shared" si="413"/>
        <v>女</v>
      </c>
      <c r="D785" s="6" t="str">
        <f>"1996-01-26"</f>
        <v>1996-01-26</v>
      </c>
      <c r="E785" s="6" t="str">
        <f t="shared" si="414"/>
        <v>本科</v>
      </c>
      <c r="F785" s="6" t="str">
        <f t="shared" si="412"/>
        <v>工学学士</v>
      </c>
      <c r="G785" s="6" t="str">
        <f>"物联网工程"</f>
        <v>物联网工程</v>
      </c>
      <c r="H785" s="7" t="s">
        <v>9</v>
      </c>
    </row>
    <row r="786" spans="1:8" ht="15" customHeight="1">
      <c r="A786" s="5">
        <v>784</v>
      </c>
      <c r="B786" s="6" t="str">
        <f>"王斌"</f>
        <v>王斌</v>
      </c>
      <c r="C786" s="6" t="str">
        <f t="shared" si="411"/>
        <v>男</v>
      </c>
      <c r="D786" s="6" t="str">
        <f>"1993-09-08"</f>
        <v>1993-09-08</v>
      </c>
      <c r="E786" s="6" t="str">
        <f>"全日制大学本科"</f>
        <v>全日制大学本科</v>
      </c>
      <c r="F786" s="6" t="str">
        <f t="shared" si="412"/>
        <v>工学学士</v>
      </c>
      <c r="G786" s="6" t="str">
        <f>"信息安全"</f>
        <v>信息安全</v>
      </c>
      <c r="H786" s="7" t="s">
        <v>9</v>
      </c>
    </row>
    <row r="787" spans="1:8" ht="15" customHeight="1">
      <c r="A787" s="5">
        <v>785</v>
      </c>
      <c r="B787" s="6" t="str">
        <f>"廖洵"</f>
        <v>廖洵</v>
      </c>
      <c r="C787" s="6" t="str">
        <f t="shared" si="413"/>
        <v>女</v>
      </c>
      <c r="D787" s="6" t="str">
        <f>"1995-09-26"</f>
        <v>1995-09-26</v>
      </c>
      <c r="E787" s="6" t="str">
        <f t="shared" si="414"/>
        <v>本科</v>
      </c>
      <c r="F787" s="6" t="str">
        <f>"管理学学士"</f>
        <v>管理学学士</v>
      </c>
      <c r="G787" s="6" t="str">
        <f>"财务管理"</f>
        <v>财务管理</v>
      </c>
      <c r="H787" s="7" t="s">
        <v>9</v>
      </c>
    </row>
    <row r="788" spans="1:8" ht="15" customHeight="1">
      <c r="A788" s="5">
        <v>786</v>
      </c>
      <c r="B788" s="6" t="str">
        <f>"徐恩贵"</f>
        <v>徐恩贵</v>
      </c>
      <c r="C788" s="6" t="str">
        <f aca="true" t="shared" si="415" ref="C788:C790">"男"</f>
        <v>男</v>
      </c>
      <c r="D788" s="6" t="str">
        <f>"1997-05-29"</f>
        <v>1997-05-29</v>
      </c>
      <c r="E788" s="6" t="str">
        <f>" 大学本科"</f>
        <v> 大学本科</v>
      </c>
      <c r="F788" s="6" t="str">
        <f>"农学学位"</f>
        <v>农学学位</v>
      </c>
      <c r="G788" s="6" t="str">
        <f>"动植物检疫（动物检疫方向）"</f>
        <v>动植物检疫（动物检疫方向）</v>
      </c>
      <c r="H788" s="7" t="s">
        <v>9</v>
      </c>
    </row>
    <row r="789" spans="1:8" ht="15" customHeight="1">
      <c r="A789" s="5">
        <v>787</v>
      </c>
      <c r="B789" s="6" t="str">
        <f>"吴卓峰"</f>
        <v>吴卓峰</v>
      </c>
      <c r="C789" s="6" t="str">
        <f t="shared" si="415"/>
        <v>男</v>
      </c>
      <c r="D789" s="6" t="str">
        <f>"1999-10-16"</f>
        <v>1999-10-16</v>
      </c>
      <c r="E789" s="6" t="str">
        <f aca="true" t="shared" si="416" ref="E789:E792">"本科"</f>
        <v>本科</v>
      </c>
      <c r="F789" s="6" t="str">
        <f>"理学学士"</f>
        <v>理学学士</v>
      </c>
      <c r="G789" s="6" t="str">
        <f>"环境科学"</f>
        <v>环境科学</v>
      </c>
      <c r="H789" s="7" t="s">
        <v>9</v>
      </c>
    </row>
    <row r="790" spans="1:8" ht="15" customHeight="1">
      <c r="A790" s="5">
        <v>788</v>
      </c>
      <c r="B790" s="6" t="str">
        <f>"王翔征"</f>
        <v>王翔征</v>
      </c>
      <c r="C790" s="6" t="str">
        <f t="shared" si="415"/>
        <v>男</v>
      </c>
      <c r="D790" s="6" t="str">
        <f>"1998-09-11"</f>
        <v>1998-09-11</v>
      </c>
      <c r="E790" s="6" t="str">
        <f t="shared" si="416"/>
        <v>本科</v>
      </c>
      <c r="F790" s="6" t="str">
        <f>"工学学士"</f>
        <v>工学学士</v>
      </c>
      <c r="G790" s="6" t="str">
        <f>"城乡规划"</f>
        <v>城乡规划</v>
      </c>
      <c r="H790" s="7" t="s">
        <v>9</v>
      </c>
    </row>
    <row r="791" spans="1:8" ht="15" customHeight="1">
      <c r="A791" s="5">
        <v>789</v>
      </c>
      <c r="B791" s="6" t="str">
        <f>"陆洁"</f>
        <v>陆洁</v>
      </c>
      <c r="C791" s="6" t="str">
        <f aca="true" t="shared" si="417" ref="C791:C797">"女"</f>
        <v>女</v>
      </c>
      <c r="D791" s="6" t="str">
        <f>"1994-08-10"</f>
        <v>1994-08-10</v>
      </c>
      <c r="E791" s="6" t="str">
        <f t="shared" si="416"/>
        <v>本科</v>
      </c>
      <c r="F791" s="6" t="str">
        <f>"工学学士"</f>
        <v>工学学士</v>
      </c>
      <c r="G791" s="6" t="str">
        <f>"城乡规划"</f>
        <v>城乡规划</v>
      </c>
      <c r="H791" s="7" t="s">
        <v>9</v>
      </c>
    </row>
    <row r="792" spans="1:8" ht="15" customHeight="1">
      <c r="A792" s="5">
        <v>790</v>
      </c>
      <c r="B792" s="6" t="str">
        <f>"符允赛"</f>
        <v>符允赛</v>
      </c>
      <c r="C792" s="6" t="str">
        <f t="shared" si="417"/>
        <v>女</v>
      </c>
      <c r="D792" s="6" t="str">
        <f>"1996-10-08"</f>
        <v>1996-10-08</v>
      </c>
      <c r="E792" s="6" t="str">
        <f t="shared" si="416"/>
        <v>本科</v>
      </c>
      <c r="F792" s="6" t="str">
        <f>"管理学学士"</f>
        <v>管理学学士</v>
      </c>
      <c r="G792" s="6" t="str">
        <f>"电子商务"</f>
        <v>电子商务</v>
      </c>
      <c r="H792" s="7" t="s">
        <v>9</v>
      </c>
    </row>
    <row r="793" spans="1:8" ht="15" customHeight="1">
      <c r="A793" s="5">
        <v>791</v>
      </c>
      <c r="B793" s="6" t="str">
        <f>"郑悦"</f>
        <v>郑悦</v>
      </c>
      <c r="C793" s="6" t="str">
        <f aca="true" t="shared" si="418" ref="C793:C795">"男"</f>
        <v>男</v>
      </c>
      <c r="D793" s="6" t="str">
        <f>"1995-02-13"</f>
        <v>1995-02-13</v>
      </c>
      <c r="E793" s="6" t="str">
        <f aca="true" t="shared" si="419" ref="E793:E798">"大学本科"</f>
        <v>大学本科</v>
      </c>
      <c r="F793" s="6" t="str">
        <f aca="true" t="shared" si="420" ref="F793:F798">"管理学学士学位"</f>
        <v>管理学学士学位</v>
      </c>
      <c r="G793" s="6" t="str">
        <f>"工程管理"</f>
        <v>工程管理</v>
      </c>
      <c r="H793" s="7" t="s">
        <v>9</v>
      </c>
    </row>
    <row r="794" spans="1:8" ht="15" customHeight="1">
      <c r="A794" s="5">
        <v>792</v>
      </c>
      <c r="B794" s="6" t="str">
        <f>"盘玟凯"</f>
        <v>盘玟凯</v>
      </c>
      <c r="C794" s="6" t="str">
        <f t="shared" si="418"/>
        <v>男</v>
      </c>
      <c r="D794" s="6" t="str">
        <f>"1997-12-11"</f>
        <v>1997-12-11</v>
      </c>
      <c r="E794" s="6" t="str">
        <f t="shared" si="419"/>
        <v>大学本科</v>
      </c>
      <c r="F794" s="6" t="str">
        <f t="shared" si="420"/>
        <v>管理学学士学位</v>
      </c>
      <c r="G794" s="6" t="str">
        <f>"人力资源管理专业"</f>
        <v>人力资源管理专业</v>
      </c>
      <c r="H794" s="7" t="s">
        <v>9</v>
      </c>
    </row>
    <row r="795" spans="1:8" ht="15" customHeight="1">
      <c r="A795" s="5">
        <v>793</v>
      </c>
      <c r="B795" s="6" t="str">
        <f>"林树肃"</f>
        <v>林树肃</v>
      </c>
      <c r="C795" s="6" t="str">
        <f t="shared" si="418"/>
        <v>男</v>
      </c>
      <c r="D795" s="6" t="str">
        <f>"1997-10-11"</f>
        <v>1997-10-11</v>
      </c>
      <c r="E795" s="6" t="str">
        <f aca="true" t="shared" si="421" ref="E795:E797">"本科"</f>
        <v>本科</v>
      </c>
      <c r="F795" s="6" t="str">
        <f>"学士"</f>
        <v>学士</v>
      </c>
      <c r="G795" s="6" t="str">
        <f>"物联网工程"</f>
        <v>物联网工程</v>
      </c>
      <c r="H795" s="7" t="s">
        <v>9</v>
      </c>
    </row>
    <row r="796" spans="1:8" ht="15" customHeight="1">
      <c r="A796" s="5">
        <v>794</v>
      </c>
      <c r="B796" s="6" t="str">
        <f>"张静雨"</f>
        <v>张静雨</v>
      </c>
      <c r="C796" s="6" t="str">
        <f t="shared" si="417"/>
        <v>女</v>
      </c>
      <c r="D796" s="6" t="str">
        <f>"1992-10-11"</f>
        <v>1992-10-11</v>
      </c>
      <c r="E796" s="6" t="str">
        <f t="shared" si="421"/>
        <v>本科</v>
      </c>
      <c r="F796" s="6" t="str">
        <f>"学士学位"</f>
        <v>学士学位</v>
      </c>
      <c r="G796" s="6" t="str">
        <f>"财政学"</f>
        <v>财政学</v>
      </c>
      <c r="H796" s="7" t="s">
        <v>9</v>
      </c>
    </row>
    <row r="797" spans="1:8" ht="15" customHeight="1">
      <c r="A797" s="5">
        <v>795</v>
      </c>
      <c r="B797" s="6" t="str">
        <f>"林露"</f>
        <v>林露</v>
      </c>
      <c r="C797" s="6" t="str">
        <f t="shared" si="417"/>
        <v>女</v>
      </c>
      <c r="D797" s="6" t="str">
        <f>"1997-01-06"</f>
        <v>1997-01-06</v>
      </c>
      <c r="E797" s="6" t="str">
        <f t="shared" si="421"/>
        <v>本科</v>
      </c>
      <c r="F797" s="6" t="str">
        <f aca="true" t="shared" si="422" ref="F797:F801">"管理学学士"</f>
        <v>管理学学士</v>
      </c>
      <c r="G797" s="6" t="str">
        <f>"市场营销"</f>
        <v>市场营销</v>
      </c>
      <c r="H797" s="7" t="s">
        <v>9</v>
      </c>
    </row>
    <row r="798" spans="1:8" ht="15" customHeight="1">
      <c r="A798" s="5">
        <v>796</v>
      </c>
      <c r="B798" s="6" t="str">
        <f>"卢明学"</f>
        <v>卢明学</v>
      </c>
      <c r="C798" s="6" t="str">
        <f aca="true" t="shared" si="423" ref="C798:C800">"男"</f>
        <v>男</v>
      </c>
      <c r="D798" s="6" t="str">
        <f>"1994-02-26"</f>
        <v>1994-02-26</v>
      </c>
      <c r="E798" s="6" t="str">
        <f t="shared" si="419"/>
        <v>大学本科</v>
      </c>
      <c r="F798" s="6" t="str">
        <f t="shared" si="420"/>
        <v>管理学学士学位</v>
      </c>
      <c r="G798" s="6" t="str">
        <f>"工程管理"</f>
        <v>工程管理</v>
      </c>
      <c r="H798" s="7" t="s">
        <v>9</v>
      </c>
    </row>
    <row r="799" spans="1:8" ht="15" customHeight="1">
      <c r="A799" s="5">
        <v>797</v>
      </c>
      <c r="B799" s="6" t="str">
        <f>"王建保"</f>
        <v>王建保</v>
      </c>
      <c r="C799" s="6" t="str">
        <f t="shared" si="423"/>
        <v>男</v>
      </c>
      <c r="D799" s="6" t="str">
        <f>"1999-05-17"</f>
        <v>1999-05-17</v>
      </c>
      <c r="E799" s="6" t="str">
        <f aca="true" t="shared" si="424" ref="E799:E804">"本科"</f>
        <v>本科</v>
      </c>
      <c r="F799" s="6" t="str">
        <f>"学士"</f>
        <v>学士</v>
      </c>
      <c r="G799" s="6" t="str">
        <f>"园林"</f>
        <v>园林</v>
      </c>
      <c r="H799" s="7" t="s">
        <v>9</v>
      </c>
    </row>
    <row r="800" spans="1:8" ht="15" customHeight="1">
      <c r="A800" s="5">
        <v>798</v>
      </c>
      <c r="B800" s="6" t="str">
        <f>"唐廷英"</f>
        <v>唐廷英</v>
      </c>
      <c r="C800" s="6" t="str">
        <f t="shared" si="423"/>
        <v>男</v>
      </c>
      <c r="D800" s="6" t="str">
        <f>"1996-10-04"</f>
        <v>1996-10-04</v>
      </c>
      <c r="E800" s="6" t="str">
        <f t="shared" si="424"/>
        <v>本科</v>
      </c>
      <c r="F800" s="6" t="str">
        <f t="shared" si="422"/>
        <v>管理学学士</v>
      </c>
      <c r="G800" s="6" t="str">
        <f>"工商管理"</f>
        <v>工商管理</v>
      </c>
      <c r="H800" s="7" t="s">
        <v>9</v>
      </c>
    </row>
    <row r="801" spans="1:8" ht="15" customHeight="1">
      <c r="A801" s="5">
        <v>799</v>
      </c>
      <c r="B801" s="6" t="str">
        <f>"郭冉冉"</f>
        <v>郭冉冉</v>
      </c>
      <c r="C801" s="6" t="str">
        <f aca="true" t="shared" si="425" ref="C801:C806">"女"</f>
        <v>女</v>
      </c>
      <c r="D801" s="6" t="str">
        <f>"1990-05-18"</f>
        <v>1990-05-18</v>
      </c>
      <c r="E801" s="6" t="str">
        <f aca="true" t="shared" si="426" ref="E801:E805">"大学本科"</f>
        <v>大学本科</v>
      </c>
      <c r="F801" s="6" t="str">
        <f t="shared" si="422"/>
        <v>管理学学士</v>
      </c>
      <c r="G801" s="6" t="str">
        <f>"旅游管理"</f>
        <v>旅游管理</v>
      </c>
      <c r="H801" s="7" t="s">
        <v>9</v>
      </c>
    </row>
    <row r="802" spans="1:8" ht="15" customHeight="1">
      <c r="A802" s="5">
        <v>800</v>
      </c>
      <c r="B802" s="6" t="str">
        <f>"陈晓虹"</f>
        <v>陈晓虹</v>
      </c>
      <c r="C802" s="6" t="str">
        <f t="shared" si="425"/>
        <v>女</v>
      </c>
      <c r="D802" s="6" t="str">
        <f>"1997-04-08"</f>
        <v>1997-04-08</v>
      </c>
      <c r="E802" s="6" t="str">
        <f t="shared" si="426"/>
        <v>大学本科</v>
      </c>
      <c r="F802" s="6" t="str">
        <f>"经济学学士"</f>
        <v>经济学学士</v>
      </c>
      <c r="G802" s="6" t="str">
        <f>"国际经济与贸易"</f>
        <v>国际经济与贸易</v>
      </c>
      <c r="H802" s="7" t="s">
        <v>9</v>
      </c>
    </row>
    <row r="803" spans="1:8" ht="15" customHeight="1">
      <c r="A803" s="5">
        <v>801</v>
      </c>
      <c r="B803" s="6" t="str">
        <f>"陈圣有"</f>
        <v>陈圣有</v>
      </c>
      <c r="C803" s="6" t="str">
        <f aca="true" t="shared" si="427" ref="C803:C805">"男"</f>
        <v>男</v>
      </c>
      <c r="D803" s="6" t="str">
        <f>"1998-03-28"</f>
        <v>1998-03-28</v>
      </c>
      <c r="E803" s="6" t="str">
        <f t="shared" si="424"/>
        <v>本科</v>
      </c>
      <c r="F803" s="6" t="str">
        <f aca="true" t="shared" si="428" ref="F803:F807">"管理学学士"</f>
        <v>管理学学士</v>
      </c>
      <c r="G803" s="6" t="str">
        <f>"会计学"</f>
        <v>会计学</v>
      </c>
      <c r="H803" s="7" t="s">
        <v>9</v>
      </c>
    </row>
    <row r="804" spans="1:8" ht="15" customHeight="1">
      <c r="A804" s="5">
        <v>802</v>
      </c>
      <c r="B804" s="6" t="str">
        <f>"蒙盛鹏"</f>
        <v>蒙盛鹏</v>
      </c>
      <c r="C804" s="6" t="str">
        <f t="shared" si="427"/>
        <v>男</v>
      </c>
      <c r="D804" s="6" t="str">
        <f>"1994-12-26"</f>
        <v>1994-12-26</v>
      </c>
      <c r="E804" s="6" t="str">
        <f t="shared" si="424"/>
        <v>本科</v>
      </c>
      <c r="F804" s="6" t="str">
        <f>"工学学士"</f>
        <v>工学学士</v>
      </c>
      <c r="G804" s="6" t="str">
        <f>"城乡规划"</f>
        <v>城乡规划</v>
      </c>
      <c r="H804" s="7" t="s">
        <v>9</v>
      </c>
    </row>
    <row r="805" spans="1:8" ht="15" customHeight="1">
      <c r="A805" s="5">
        <v>803</v>
      </c>
      <c r="B805" s="6" t="str">
        <f>"杨育伦"</f>
        <v>杨育伦</v>
      </c>
      <c r="C805" s="6" t="str">
        <f t="shared" si="427"/>
        <v>男</v>
      </c>
      <c r="D805" s="6" t="str">
        <f>"1999-02-13"</f>
        <v>1999-02-13</v>
      </c>
      <c r="E805" s="6" t="str">
        <f t="shared" si="426"/>
        <v>大学本科</v>
      </c>
      <c r="F805" s="6" t="str">
        <f t="shared" si="428"/>
        <v>管理学学士</v>
      </c>
      <c r="G805" s="6" t="str">
        <f>"工商管理"</f>
        <v>工商管理</v>
      </c>
      <c r="H805" s="7" t="s">
        <v>9</v>
      </c>
    </row>
    <row r="806" spans="1:8" ht="15" customHeight="1">
      <c r="A806" s="5">
        <v>804</v>
      </c>
      <c r="B806" s="6" t="str">
        <f>"李沁玥"</f>
        <v>李沁玥</v>
      </c>
      <c r="C806" s="6" t="str">
        <f t="shared" si="425"/>
        <v>女</v>
      </c>
      <c r="D806" s="6" t="str">
        <f>"2000-04-08"</f>
        <v>2000-04-08</v>
      </c>
      <c r="E806" s="6" t="str">
        <f>"本科"</f>
        <v>本科</v>
      </c>
      <c r="F806" s="6" t="str">
        <f t="shared" si="428"/>
        <v>管理学学士</v>
      </c>
      <c r="G806" s="6" t="str">
        <f>"旅游管理专业"</f>
        <v>旅游管理专业</v>
      </c>
      <c r="H806" s="7" t="s">
        <v>9</v>
      </c>
    </row>
    <row r="807" spans="1:8" ht="15" customHeight="1">
      <c r="A807" s="5">
        <v>805</v>
      </c>
      <c r="B807" s="6" t="str">
        <f>"周峻平"</f>
        <v>周峻平</v>
      </c>
      <c r="C807" s="6" t="str">
        <f aca="true" t="shared" si="429" ref="C807:C812">"男"</f>
        <v>男</v>
      </c>
      <c r="D807" s="6" t="str">
        <f>"1994-02-11"</f>
        <v>1994-02-11</v>
      </c>
      <c r="E807" s="6" t="str">
        <f aca="true" t="shared" si="430" ref="E807:E811">"大学本科"</f>
        <v>大学本科</v>
      </c>
      <c r="F807" s="6" t="str">
        <f t="shared" si="428"/>
        <v>管理学学士</v>
      </c>
      <c r="G807" s="6" t="str">
        <f>"物流管理"</f>
        <v>物流管理</v>
      </c>
      <c r="H807" s="7" t="s">
        <v>9</v>
      </c>
    </row>
    <row r="808" spans="1:8" ht="15" customHeight="1">
      <c r="A808" s="5">
        <v>806</v>
      </c>
      <c r="B808" s="6" t="str">
        <f>"姚超"</f>
        <v>姚超</v>
      </c>
      <c r="C808" s="6" t="str">
        <f t="shared" si="429"/>
        <v>男</v>
      </c>
      <c r="D808" s="6" t="str">
        <f>"1998-12-15"</f>
        <v>1998-12-15</v>
      </c>
      <c r="E808" s="6" t="str">
        <f aca="true" t="shared" si="431" ref="E808:E814">"本科"</f>
        <v>本科</v>
      </c>
      <c r="F808" s="6" t="str">
        <f>"文学学士"</f>
        <v>文学学士</v>
      </c>
      <c r="G808" s="6" t="str">
        <f>"汉语言文学"</f>
        <v>汉语言文学</v>
      </c>
      <c r="H808" s="7" t="s">
        <v>9</v>
      </c>
    </row>
    <row r="809" spans="1:8" ht="15" customHeight="1">
      <c r="A809" s="5">
        <v>807</v>
      </c>
      <c r="B809" s="6" t="str">
        <f>"黄河柳"</f>
        <v>黄河柳</v>
      </c>
      <c r="C809" s="6" t="str">
        <f aca="true" t="shared" si="432" ref="C809:C815">"女"</f>
        <v>女</v>
      </c>
      <c r="D809" s="6" t="str">
        <f>"1991-09-26"</f>
        <v>1991-09-26</v>
      </c>
      <c r="E809" s="6" t="str">
        <f>"大学本科学历"</f>
        <v>大学本科学历</v>
      </c>
      <c r="F809" s="6" t="str">
        <f>"管理学学士"</f>
        <v>管理学学士</v>
      </c>
      <c r="G809" s="6" t="str">
        <f>"旅游管理"</f>
        <v>旅游管理</v>
      </c>
      <c r="H809" s="7" t="s">
        <v>9</v>
      </c>
    </row>
    <row r="810" spans="1:8" ht="15" customHeight="1">
      <c r="A810" s="5">
        <v>808</v>
      </c>
      <c r="B810" s="6" t="str">
        <f>"石若玲"</f>
        <v>石若玲</v>
      </c>
      <c r="C810" s="6" t="str">
        <f t="shared" si="432"/>
        <v>女</v>
      </c>
      <c r="D810" s="6" t="str">
        <f>"1994-12-11"</f>
        <v>1994-12-11</v>
      </c>
      <c r="E810" s="6" t="str">
        <f t="shared" si="430"/>
        <v>大学本科</v>
      </c>
      <c r="F810" s="6" t="str">
        <f>"经济学学士"</f>
        <v>经济学学士</v>
      </c>
      <c r="G810" s="6" t="str">
        <f>"国际经济与贸易"</f>
        <v>国际经济与贸易</v>
      </c>
      <c r="H810" s="7" t="s">
        <v>9</v>
      </c>
    </row>
    <row r="811" spans="1:8" ht="15" customHeight="1">
      <c r="A811" s="5">
        <v>809</v>
      </c>
      <c r="B811" s="6" t="str">
        <f>"梁臻"</f>
        <v>梁臻</v>
      </c>
      <c r="C811" s="6" t="str">
        <f t="shared" si="429"/>
        <v>男</v>
      </c>
      <c r="D811" s="6" t="str">
        <f>"1992-05-18"</f>
        <v>1992-05-18</v>
      </c>
      <c r="E811" s="6" t="str">
        <f t="shared" si="430"/>
        <v>大学本科</v>
      </c>
      <c r="F811" s="6" t="str">
        <f>"农学学士"</f>
        <v>农学学士</v>
      </c>
      <c r="G811" s="6" t="str">
        <f>"园林"</f>
        <v>园林</v>
      </c>
      <c r="H811" s="7" t="s">
        <v>9</v>
      </c>
    </row>
    <row r="812" spans="1:8" ht="15" customHeight="1">
      <c r="A812" s="5">
        <v>810</v>
      </c>
      <c r="B812" s="6" t="str">
        <f>"许豪"</f>
        <v>许豪</v>
      </c>
      <c r="C812" s="6" t="str">
        <f t="shared" si="429"/>
        <v>男</v>
      </c>
      <c r="D812" s="6" t="str">
        <f>"1993-02-02"</f>
        <v>1993-02-02</v>
      </c>
      <c r="E812" s="6" t="str">
        <f t="shared" si="431"/>
        <v>本科</v>
      </c>
      <c r="F812" s="6" t="str">
        <f>"财务管理学士"</f>
        <v>财务管理学士</v>
      </c>
      <c r="G812" s="6" t="str">
        <f>"财务管理"</f>
        <v>财务管理</v>
      </c>
      <c r="H812" s="7" t="s">
        <v>9</v>
      </c>
    </row>
    <row r="813" spans="1:8" ht="15" customHeight="1">
      <c r="A813" s="5">
        <v>811</v>
      </c>
      <c r="B813" s="6" t="str">
        <f>"李佳洁"</f>
        <v>李佳洁</v>
      </c>
      <c r="C813" s="6" t="str">
        <f t="shared" si="432"/>
        <v>女</v>
      </c>
      <c r="D813" s="6" t="str">
        <f>"1999-12-19"</f>
        <v>1999-12-19</v>
      </c>
      <c r="E813" s="6" t="str">
        <f t="shared" si="431"/>
        <v>本科</v>
      </c>
      <c r="F813" s="6" t="str">
        <f>"管理学学士 "</f>
        <v>管理学学士 </v>
      </c>
      <c r="G813" s="6" t="str">
        <f>"财务管理"</f>
        <v>财务管理</v>
      </c>
      <c r="H813" s="7" t="s">
        <v>9</v>
      </c>
    </row>
    <row r="814" spans="1:8" ht="15" customHeight="1">
      <c r="A814" s="5">
        <v>812</v>
      </c>
      <c r="B814" s="6" t="str">
        <f>"云春梅"</f>
        <v>云春梅</v>
      </c>
      <c r="C814" s="6" t="str">
        <f t="shared" si="432"/>
        <v>女</v>
      </c>
      <c r="D814" s="6" t="str">
        <f>"1995-04-25"</f>
        <v>1995-04-25</v>
      </c>
      <c r="E814" s="6" t="str">
        <f t="shared" si="431"/>
        <v>本科</v>
      </c>
      <c r="F814" s="6" t="str">
        <f>"学士"</f>
        <v>学士</v>
      </c>
      <c r="G814" s="6" t="str">
        <f>"会计学（涉外会计）"</f>
        <v>会计学（涉外会计）</v>
      </c>
      <c r="H814" s="7" t="s">
        <v>9</v>
      </c>
    </row>
    <row r="815" spans="1:8" ht="15" customHeight="1">
      <c r="A815" s="5">
        <v>813</v>
      </c>
      <c r="B815" s="6" t="str">
        <f>"林润美"</f>
        <v>林润美</v>
      </c>
      <c r="C815" s="6" t="str">
        <f t="shared" si="432"/>
        <v>女</v>
      </c>
      <c r="D815" s="6" t="str">
        <f>"1994-03-21"</f>
        <v>1994-03-21</v>
      </c>
      <c r="E815" s="6" t="str">
        <f>"大学本科"</f>
        <v>大学本科</v>
      </c>
      <c r="F815" s="6" t="str">
        <f>"理学学士      "</f>
        <v>理学学士      </v>
      </c>
      <c r="G815" s="6" t="str">
        <f>"生态学"</f>
        <v>生态学</v>
      </c>
      <c r="H815" s="7" t="s">
        <v>9</v>
      </c>
    </row>
    <row r="816" spans="1:8" ht="15" customHeight="1">
      <c r="A816" s="5">
        <v>814</v>
      </c>
      <c r="B816" s="6" t="str">
        <f>"郭衍国"</f>
        <v>郭衍国</v>
      </c>
      <c r="C816" s="6" t="str">
        <f>"男"</f>
        <v>男</v>
      </c>
      <c r="D816" s="6" t="str">
        <f>"1992-05-03"</f>
        <v>1992-05-03</v>
      </c>
      <c r="E816" s="6" t="str">
        <f aca="true" t="shared" si="433" ref="E816:E819">"本科"</f>
        <v>本科</v>
      </c>
      <c r="F816" s="6" t="str">
        <f>"工学学士"</f>
        <v>工学学士</v>
      </c>
      <c r="G816" s="6" t="str">
        <f>"土木工程"</f>
        <v>土木工程</v>
      </c>
      <c r="H816" s="7" t="s">
        <v>9</v>
      </c>
    </row>
    <row r="817" spans="1:8" ht="15" customHeight="1">
      <c r="A817" s="5">
        <v>815</v>
      </c>
      <c r="B817" s="6" t="str">
        <f>"王媚"</f>
        <v>王媚</v>
      </c>
      <c r="C817" s="6" t="str">
        <f aca="true" t="shared" si="434" ref="C817:C819">"女"</f>
        <v>女</v>
      </c>
      <c r="D817" s="6" t="str">
        <f>"1991-10-28"</f>
        <v>1991-10-28</v>
      </c>
      <c r="E817" s="6" t="str">
        <f>"硕士"</f>
        <v>硕士</v>
      </c>
      <c r="F817" s="6" t="str">
        <f>"工程学位"</f>
        <v>工程学位</v>
      </c>
      <c r="G817" s="6" t="str">
        <f>"计算机技术"</f>
        <v>计算机技术</v>
      </c>
      <c r="H817" s="7" t="s">
        <v>9</v>
      </c>
    </row>
    <row r="818" spans="1:8" ht="15" customHeight="1">
      <c r="A818" s="5">
        <v>816</v>
      </c>
      <c r="B818" s="6" t="str">
        <f>"杨展花"</f>
        <v>杨展花</v>
      </c>
      <c r="C818" s="6" t="str">
        <f t="shared" si="434"/>
        <v>女</v>
      </c>
      <c r="D818" s="6" t="str">
        <f>"1998-09-21"</f>
        <v>1998-09-21</v>
      </c>
      <c r="E818" s="6" t="str">
        <f t="shared" si="433"/>
        <v>本科</v>
      </c>
      <c r="F818" s="6" t="str">
        <f>"工学学士"</f>
        <v>工学学士</v>
      </c>
      <c r="G818" s="6" t="str">
        <f>"计算机科学与技术"</f>
        <v>计算机科学与技术</v>
      </c>
      <c r="H818" s="7" t="s">
        <v>9</v>
      </c>
    </row>
    <row r="819" spans="1:8" ht="15" customHeight="1">
      <c r="A819" s="5">
        <v>817</v>
      </c>
      <c r="B819" s="6" t="str">
        <f>"欧阳秀蓁"</f>
        <v>欧阳秀蓁</v>
      </c>
      <c r="C819" s="6" t="str">
        <f t="shared" si="434"/>
        <v>女</v>
      </c>
      <c r="D819" s="6" t="str">
        <f>"1999-08-16"</f>
        <v>1999-08-16</v>
      </c>
      <c r="E819" s="6" t="str">
        <f t="shared" si="433"/>
        <v>本科</v>
      </c>
      <c r="F819" s="6" t="str">
        <f>"管理学学士学位"</f>
        <v>管理学学士学位</v>
      </c>
      <c r="G819" s="6" t="str">
        <f>"审计学"</f>
        <v>审计学</v>
      </c>
      <c r="H819" s="7" t="s">
        <v>9</v>
      </c>
    </row>
    <row r="820" spans="1:8" ht="15" customHeight="1">
      <c r="A820" s="5">
        <v>818</v>
      </c>
      <c r="B820" s="6" t="str">
        <f>"王劲"</f>
        <v>王劲</v>
      </c>
      <c r="C820" s="6" t="str">
        <f aca="true" t="shared" si="435" ref="C820:C824">"男"</f>
        <v>男</v>
      </c>
      <c r="D820" s="6" t="str">
        <f>"1989-04-20"</f>
        <v>1989-04-20</v>
      </c>
      <c r="E820" s="6" t="str">
        <f>"大学本科学历"</f>
        <v>大学本科学历</v>
      </c>
      <c r="F820" s="6" t="str">
        <f>"管理学士学位"</f>
        <v>管理学士学位</v>
      </c>
      <c r="G820" s="6" t="str">
        <f>"工商管理"</f>
        <v>工商管理</v>
      </c>
      <c r="H820" s="7" t="s">
        <v>9</v>
      </c>
    </row>
    <row r="821" spans="1:8" ht="15" customHeight="1">
      <c r="A821" s="5">
        <v>819</v>
      </c>
      <c r="B821" s="6" t="str">
        <f>"谭春日"</f>
        <v>谭春日</v>
      </c>
      <c r="C821" s="6" t="str">
        <f aca="true" t="shared" si="436" ref="C821:C825">"女"</f>
        <v>女</v>
      </c>
      <c r="D821" s="6" t="str">
        <f>"1998-07-13"</f>
        <v>1998-07-13</v>
      </c>
      <c r="E821" s="6" t="str">
        <f aca="true" t="shared" si="437" ref="E821:E828">"本科"</f>
        <v>本科</v>
      </c>
      <c r="F821" s="6" t="str">
        <f>"农学学士"</f>
        <v>农学学士</v>
      </c>
      <c r="G821" s="6" t="str">
        <f>"植物保护"</f>
        <v>植物保护</v>
      </c>
      <c r="H821" s="7" t="s">
        <v>9</v>
      </c>
    </row>
    <row r="822" spans="1:8" ht="15" customHeight="1">
      <c r="A822" s="5">
        <v>820</v>
      </c>
      <c r="B822" s="6" t="str">
        <f>"董曼娥"</f>
        <v>董曼娥</v>
      </c>
      <c r="C822" s="6" t="str">
        <f t="shared" si="436"/>
        <v>女</v>
      </c>
      <c r="D822" s="6" t="str">
        <f>"1998-02-10"</f>
        <v>1998-02-10</v>
      </c>
      <c r="E822" s="6" t="str">
        <f t="shared" si="437"/>
        <v>本科</v>
      </c>
      <c r="F822" s="6" t="str">
        <f>"管理学学士"</f>
        <v>管理学学士</v>
      </c>
      <c r="G822" s="6" t="str">
        <f>"市场营销"</f>
        <v>市场营销</v>
      </c>
      <c r="H822" s="7" t="s">
        <v>9</v>
      </c>
    </row>
    <row r="823" spans="1:8" ht="15" customHeight="1">
      <c r="A823" s="5">
        <v>821</v>
      </c>
      <c r="B823" s="6" t="str">
        <f>"朱成曲"</f>
        <v>朱成曲</v>
      </c>
      <c r="C823" s="6" t="str">
        <f t="shared" si="435"/>
        <v>男</v>
      </c>
      <c r="D823" s="6" t="str">
        <f>"1990-06-06"</f>
        <v>1990-06-06</v>
      </c>
      <c r="E823" s="6" t="str">
        <f t="shared" si="437"/>
        <v>本科</v>
      </c>
      <c r="F823" s="6" t="str">
        <f>"管理学学士学位"</f>
        <v>管理学学士学位</v>
      </c>
      <c r="G823" s="6" t="str">
        <f>"工商管理"</f>
        <v>工商管理</v>
      </c>
      <c r="H823" s="7" t="s">
        <v>9</v>
      </c>
    </row>
    <row r="824" spans="1:8" ht="15" customHeight="1">
      <c r="A824" s="5">
        <v>822</v>
      </c>
      <c r="B824" s="6" t="str">
        <f>"余明矗"</f>
        <v>余明矗</v>
      </c>
      <c r="C824" s="6" t="str">
        <f t="shared" si="435"/>
        <v>男</v>
      </c>
      <c r="D824" s="6" t="str">
        <f>"2000-08-16"</f>
        <v>2000-08-16</v>
      </c>
      <c r="E824" s="6" t="str">
        <f t="shared" si="437"/>
        <v>本科</v>
      </c>
      <c r="F824" s="6" t="str">
        <f>"管理学士"</f>
        <v>管理学士</v>
      </c>
      <c r="G824" s="6" t="str">
        <f>"旅游管理"</f>
        <v>旅游管理</v>
      </c>
      <c r="H824" s="7" t="s">
        <v>9</v>
      </c>
    </row>
    <row r="825" spans="1:8" ht="15" customHeight="1">
      <c r="A825" s="5">
        <v>823</v>
      </c>
      <c r="B825" s="6" t="str">
        <f>"卓慧春"</f>
        <v>卓慧春</v>
      </c>
      <c r="C825" s="6" t="str">
        <f t="shared" si="436"/>
        <v>女</v>
      </c>
      <c r="D825" s="6" t="str">
        <f>"1992-11-20"</f>
        <v>1992-11-20</v>
      </c>
      <c r="E825" s="6" t="str">
        <f t="shared" si="437"/>
        <v>本科</v>
      </c>
      <c r="F825" s="6" t="str">
        <f>"文学学士"</f>
        <v>文学学士</v>
      </c>
      <c r="G825" s="6" t="str">
        <f>"汉语言文学"</f>
        <v>汉语言文学</v>
      </c>
      <c r="H825" s="7" t="s">
        <v>9</v>
      </c>
    </row>
    <row r="826" spans="1:8" ht="15" customHeight="1">
      <c r="A826" s="5">
        <v>824</v>
      </c>
      <c r="B826" s="6" t="str">
        <f>"张伟男"</f>
        <v>张伟男</v>
      </c>
      <c r="C826" s="6" t="str">
        <f aca="true" t="shared" si="438" ref="C826:C829">"男"</f>
        <v>男</v>
      </c>
      <c r="D826" s="6" t="str">
        <f>"1996-12-08"</f>
        <v>1996-12-08</v>
      </c>
      <c r="E826" s="6" t="str">
        <f t="shared" si="437"/>
        <v>本科</v>
      </c>
      <c r="F826" s="6" t="str">
        <f>"管理学学士"</f>
        <v>管理学学士</v>
      </c>
      <c r="G826" s="6" t="str">
        <f>"行政管理"</f>
        <v>行政管理</v>
      </c>
      <c r="H826" s="7" t="s">
        <v>9</v>
      </c>
    </row>
    <row r="827" spans="1:8" ht="15" customHeight="1">
      <c r="A827" s="5">
        <v>825</v>
      </c>
      <c r="B827" s="6" t="str">
        <f>"纪定卫"</f>
        <v>纪定卫</v>
      </c>
      <c r="C827" s="6" t="str">
        <f t="shared" si="438"/>
        <v>男</v>
      </c>
      <c r="D827" s="6" t="str">
        <f>"1993-04-10"</f>
        <v>1993-04-10</v>
      </c>
      <c r="E827" s="6" t="str">
        <f t="shared" si="437"/>
        <v>本科</v>
      </c>
      <c r="F827" s="6" t="str">
        <f>"工学学位"</f>
        <v>工学学位</v>
      </c>
      <c r="G827" s="6" t="str">
        <f>"道路桥梁与渡河工程"</f>
        <v>道路桥梁与渡河工程</v>
      </c>
      <c r="H827" s="7" t="s">
        <v>9</v>
      </c>
    </row>
    <row r="828" spans="1:8" ht="15" customHeight="1">
      <c r="A828" s="5">
        <v>826</v>
      </c>
      <c r="B828" s="6" t="str">
        <f>"陈太梧"</f>
        <v>陈太梧</v>
      </c>
      <c r="C828" s="6" t="str">
        <f t="shared" si="438"/>
        <v>男</v>
      </c>
      <c r="D828" s="6" t="str">
        <f>"1998-08-15"</f>
        <v>1998-08-15</v>
      </c>
      <c r="E828" s="6" t="str">
        <f t="shared" si="437"/>
        <v>本科</v>
      </c>
      <c r="F828" s="6" t="str">
        <f>"工学学士"</f>
        <v>工学学士</v>
      </c>
      <c r="G828" s="6" t="str">
        <f>"土木工程"</f>
        <v>土木工程</v>
      </c>
      <c r="H828" s="7" t="s">
        <v>9</v>
      </c>
    </row>
    <row r="829" spans="1:8" ht="15" customHeight="1">
      <c r="A829" s="5">
        <v>827</v>
      </c>
      <c r="B829" s="6" t="str">
        <f>"陈思霖"</f>
        <v>陈思霖</v>
      </c>
      <c r="C829" s="6" t="str">
        <f t="shared" si="438"/>
        <v>男</v>
      </c>
      <c r="D829" s="6" t="str">
        <f>"2001-04-13"</f>
        <v>2001-04-13</v>
      </c>
      <c r="E829" s="6" t="str">
        <f aca="true" t="shared" si="439" ref="E829:E836">"大学本科"</f>
        <v>大学本科</v>
      </c>
      <c r="F829" s="6" t="str">
        <f>"管理学学士"</f>
        <v>管理学学士</v>
      </c>
      <c r="G829" s="6" t="str">
        <f>"工程管理"</f>
        <v>工程管理</v>
      </c>
      <c r="H829" s="7" t="s">
        <v>9</v>
      </c>
    </row>
    <row r="830" spans="1:8" ht="15" customHeight="1">
      <c r="A830" s="5">
        <v>828</v>
      </c>
      <c r="B830" s="6" t="str">
        <f>"张建丽"</f>
        <v>张建丽</v>
      </c>
      <c r="C830" s="6" t="str">
        <f>"女"</f>
        <v>女</v>
      </c>
      <c r="D830" s="6" t="str">
        <f>"1998-03-04"</f>
        <v>1998-03-04</v>
      </c>
      <c r="E830" s="6" t="str">
        <f t="shared" si="439"/>
        <v>大学本科</v>
      </c>
      <c r="F830" s="6" t="str">
        <f>"学士学位"</f>
        <v>学士学位</v>
      </c>
      <c r="G830" s="6" t="str">
        <f>"会计学"</f>
        <v>会计学</v>
      </c>
      <c r="H830" s="7" t="s">
        <v>9</v>
      </c>
    </row>
    <row r="831" spans="1:8" ht="15" customHeight="1">
      <c r="A831" s="5">
        <v>829</v>
      </c>
      <c r="B831" s="6" t="str">
        <f>"林长庆"</f>
        <v>林长庆</v>
      </c>
      <c r="C831" s="6" t="str">
        <f aca="true" t="shared" si="440" ref="C831:C837">"男"</f>
        <v>男</v>
      </c>
      <c r="D831" s="6" t="str">
        <f>"1989-12-21"</f>
        <v>1989-12-21</v>
      </c>
      <c r="E831" s="6" t="str">
        <f>"本科"</f>
        <v>本科</v>
      </c>
      <c r="F831" s="6" t="str">
        <f>"农学学士"</f>
        <v>农学学士</v>
      </c>
      <c r="G831" s="6" t="str">
        <f>"园艺"</f>
        <v>园艺</v>
      </c>
      <c r="H831" s="7" t="s">
        <v>9</v>
      </c>
    </row>
    <row r="832" spans="1:8" ht="15" customHeight="1">
      <c r="A832" s="5">
        <v>830</v>
      </c>
      <c r="B832" s="6" t="str">
        <f>"龙柳霜"</f>
        <v>龙柳霜</v>
      </c>
      <c r="C832" s="6" t="str">
        <f>"女"</f>
        <v>女</v>
      </c>
      <c r="D832" s="6" t="str">
        <f>"1997-08-16"</f>
        <v>1997-08-16</v>
      </c>
      <c r="E832" s="6" t="str">
        <f>"本科"</f>
        <v>本科</v>
      </c>
      <c r="F832" s="6" t="str">
        <f>"农学学士"</f>
        <v>农学学士</v>
      </c>
      <c r="G832" s="6" t="str">
        <f>"农业资源与环境"</f>
        <v>农业资源与环境</v>
      </c>
      <c r="H832" s="7" t="s">
        <v>9</v>
      </c>
    </row>
    <row r="833" spans="1:8" ht="15" customHeight="1">
      <c r="A833" s="5">
        <v>831</v>
      </c>
      <c r="B833" s="6" t="str">
        <f>"陈强怡"</f>
        <v>陈强怡</v>
      </c>
      <c r="C833" s="6" t="str">
        <f t="shared" si="440"/>
        <v>男</v>
      </c>
      <c r="D833" s="6" t="str">
        <f>"1991-01-21"</f>
        <v>1991-01-21</v>
      </c>
      <c r="E833" s="6" t="str">
        <f>"大学本科学历"</f>
        <v>大学本科学历</v>
      </c>
      <c r="F833" s="6" t="str">
        <f>"工学学士"</f>
        <v>工学学士</v>
      </c>
      <c r="G833" s="6" t="str">
        <f>"网络工程"</f>
        <v>网络工程</v>
      </c>
      <c r="H833" s="7" t="s">
        <v>9</v>
      </c>
    </row>
    <row r="834" spans="1:8" ht="15" customHeight="1">
      <c r="A834" s="5">
        <v>832</v>
      </c>
      <c r="B834" s="6" t="str">
        <f>"曾昭玮"</f>
        <v>曾昭玮</v>
      </c>
      <c r="C834" s="6" t="str">
        <f t="shared" si="440"/>
        <v>男</v>
      </c>
      <c r="D834" s="6" t="str">
        <f>"1994-03-09"</f>
        <v>1994-03-09</v>
      </c>
      <c r="E834" s="6" t="str">
        <f t="shared" si="439"/>
        <v>大学本科</v>
      </c>
      <c r="F834" s="6" t="str">
        <f>"学士学位"</f>
        <v>学士学位</v>
      </c>
      <c r="G834" s="6" t="str">
        <f>"工程管理"</f>
        <v>工程管理</v>
      </c>
      <c r="H834" s="7" t="s">
        <v>9</v>
      </c>
    </row>
    <row r="835" spans="1:8" ht="15" customHeight="1">
      <c r="A835" s="5">
        <v>833</v>
      </c>
      <c r="B835" s="6" t="str">
        <f>"李天录"</f>
        <v>李天录</v>
      </c>
      <c r="C835" s="6" t="str">
        <f t="shared" si="440"/>
        <v>男</v>
      </c>
      <c r="D835" s="6" t="str">
        <f>"1994-03-02"</f>
        <v>1994-03-02</v>
      </c>
      <c r="E835" s="6" t="str">
        <f t="shared" si="439"/>
        <v>大学本科</v>
      </c>
      <c r="F835" s="6" t="str">
        <f>"工学学士"</f>
        <v>工学学士</v>
      </c>
      <c r="G835" s="6" t="str">
        <f>"计算机科学与技术"</f>
        <v>计算机科学与技术</v>
      </c>
      <c r="H835" s="7" t="s">
        <v>9</v>
      </c>
    </row>
    <row r="836" spans="1:8" ht="15" customHeight="1">
      <c r="A836" s="5">
        <v>834</v>
      </c>
      <c r="B836" s="6" t="str">
        <f>"韦泽涛"</f>
        <v>韦泽涛</v>
      </c>
      <c r="C836" s="6" t="str">
        <f t="shared" si="440"/>
        <v>男</v>
      </c>
      <c r="D836" s="6" t="str">
        <f>"1997-12-09"</f>
        <v>1997-12-09</v>
      </c>
      <c r="E836" s="6" t="str">
        <f t="shared" si="439"/>
        <v>大学本科</v>
      </c>
      <c r="F836" s="6" t="str">
        <f>"学士学位"</f>
        <v>学士学位</v>
      </c>
      <c r="G836" s="6" t="str">
        <f>"土木工程"</f>
        <v>土木工程</v>
      </c>
      <c r="H836" s="7" t="s">
        <v>9</v>
      </c>
    </row>
    <row r="837" spans="1:8" ht="15" customHeight="1">
      <c r="A837" s="5">
        <v>835</v>
      </c>
      <c r="B837" s="6" t="str">
        <f>"何良"</f>
        <v>何良</v>
      </c>
      <c r="C837" s="6" t="str">
        <f t="shared" si="440"/>
        <v>男</v>
      </c>
      <c r="D837" s="6" t="str">
        <f>"1989-07-05"</f>
        <v>1989-07-05</v>
      </c>
      <c r="E837" s="6" t="str">
        <f aca="true" t="shared" si="441" ref="E837:E841">"本科"</f>
        <v>本科</v>
      </c>
      <c r="F837" s="6" t="str">
        <f aca="true" t="shared" si="442" ref="F837:F841">"管理学学士"</f>
        <v>管理学学士</v>
      </c>
      <c r="G837" s="6" t="str">
        <f>"市场营销"</f>
        <v>市场营销</v>
      </c>
      <c r="H837" s="7" t="s">
        <v>9</v>
      </c>
    </row>
    <row r="838" spans="1:8" ht="15" customHeight="1">
      <c r="A838" s="5">
        <v>836</v>
      </c>
      <c r="B838" s="6" t="str">
        <f>"林暖"</f>
        <v>林暖</v>
      </c>
      <c r="C838" s="6" t="str">
        <f aca="true" t="shared" si="443" ref="C838:C841">"女"</f>
        <v>女</v>
      </c>
      <c r="D838" s="6" t="str">
        <f>"1996-10-17"</f>
        <v>1996-10-17</v>
      </c>
      <c r="E838" s="6" t="str">
        <f t="shared" si="441"/>
        <v>本科</v>
      </c>
      <c r="F838" s="6" t="str">
        <f>"管理学学士学位"</f>
        <v>管理学学士学位</v>
      </c>
      <c r="G838" s="6" t="str">
        <f>"会计学"</f>
        <v>会计学</v>
      </c>
      <c r="H838" s="7" t="s">
        <v>9</v>
      </c>
    </row>
    <row r="839" spans="1:8" ht="15" customHeight="1">
      <c r="A839" s="5">
        <v>837</v>
      </c>
      <c r="B839" s="6" t="str">
        <f>"张晓颖"</f>
        <v>张晓颖</v>
      </c>
      <c r="C839" s="6" t="str">
        <f t="shared" si="443"/>
        <v>女</v>
      </c>
      <c r="D839" s="6" t="str">
        <f>"1998-11-07"</f>
        <v>1998-11-07</v>
      </c>
      <c r="E839" s="6" t="str">
        <f t="shared" si="441"/>
        <v>本科</v>
      </c>
      <c r="F839" s="6" t="str">
        <f t="shared" si="442"/>
        <v>管理学学士</v>
      </c>
      <c r="G839" s="6" t="str">
        <f>"旅游管理"</f>
        <v>旅游管理</v>
      </c>
      <c r="H839" s="7" t="s">
        <v>9</v>
      </c>
    </row>
    <row r="840" spans="1:8" ht="15" customHeight="1">
      <c r="A840" s="5">
        <v>838</v>
      </c>
      <c r="B840" s="6" t="str">
        <f>"黄诗雨"</f>
        <v>黄诗雨</v>
      </c>
      <c r="C840" s="6" t="str">
        <f t="shared" si="443"/>
        <v>女</v>
      </c>
      <c r="D840" s="6" t="str">
        <f>"1998-06-02"</f>
        <v>1998-06-02</v>
      </c>
      <c r="E840" s="6" t="str">
        <f t="shared" si="441"/>
        <v>本科</v>
      </c>
      <c r="F840" s="6" t="str">
        <f t="shared" si="442"/>
        <v>管理学学士</v>
      </c>
      <c r="G840" s="6" t="str">
        <f>"会计学"</f>
        <v>会计学</v>
      </c>
      <c r="H840" s="7" t="s">
        <v>9</v>
      </c>
    </row>
    <row r="841" spans="1:8" ht="15" customHeight="1">
      <c r="A841" s="5">
        <v>839</v>
      </c>
      <c r="B841" s="6" t="str">
        <f>"周海霞"</f>
        <v>周海霞</v>
      </c>
      <c r="C841" s="6" t="str">
        <f t="shared" si="443"/>
        <v>女</v>
      </c>
      <c r="D841" s="6" t="str">
        <f>"1994-01-13"</f>
        <v>1994-01-13</v>
      </c>
      <c r="E841" s="6" t="str">
        <f t="shared" si="441"/>
        <v>本科</v>
      </c>
      <c r="F841" s="6" t="str">
        <f t="shared" si="442"/>
        <v>管理学学士</v>
      </c>
      <c r="G841" s="6" t="str">
        <f>"旅游管理"</f>
        <v>旅游管理</v>
      </c>
      <c r="H841" s="7" t="s">
        <v>9</v>
      </c>
    </row>
    <row r="842" spans="1:8" ht="15" customHeight="1">
      <c r="A842" s="5">
        <v>840</v>
      </c>
      <c r="B842" s="6" t="str">
        <f>"黄在彬"</f>
        <v>黄在彬</v>
      </c>
      <c r="C842" s="6" t="str">
        <f aca="true" t="shared" si="444" ref="C842:C846">"男"</f>
        <v>男</v>
      </c>
      <c r="D842" s="6" t="str">
        <f>"1995-01-26"</f>
        <v>1995-01-26</v>
      </c>
      <c r="E842" s="6" t="str">
        <f>"大学本科学历"</f>
        <v>大学本科学历</v>
      </c>
      <c r="F842" s="6" t="str">
        <f>"工学学士"</f>
        <v>工学学士</v>
      </c>
      <c r="G842" s="6" t="str">
        <f>"土木工程"</f>
        <v>土木工程</v>
      </c>
      <c r="H842" s="7" t="s">
        <v>9</v>
      </c>
    </row>
    <row r="843" spans="1:8" ht="15" customHeight="1">
      <c r="A843" s="5">
        <v>841</v>
      </c>
      <c r="B843" s="6" t="str">
        <f>"覃葳"</f>
        <v>覃葳</v>
      </c>
      <c r="C843" s="6" t="str">
        <f t="shared" si="444"/>
        <v>男</v>
      </c>
      <c r="D843" s="6" t="str">
        <f>"1997-11-21"</f>
        <v>1997-11-21</v>
      </c>
      <c r="E843" s="6" t="str">
        <f>"大学本科"</f>
        <v>大学本科</v>
      </c>
      <c r="F843" s="6" t="str">
        <f>"管理学学士"</f>
        <v>管理学学士</v>
      </c>
      <c r="G843" s="6" t="str">
        <f>"行政管理"</f>
        <v>行政管理</v>
      </c>
      <c r="H843" s="7" t="s">
        <v>9</v>
      </c>
    </row>
    <row r="844" spans="1:8" ht="15" customHeight="1">
      <c r="A844" s="5">
        <v>842</v>
      </c>
      <c r="B844" s="6" t="str">
        <f>"苏惠"</f>
        <v>苏惠</v>
      </c>
      <c r="C844" s="6" t="str">
        <f aca="true" t="shared" si="445" ref="C844:C851">"女"</f>
        <v>女</v>
      </c>
      <c r="D844" s="6" t="str">
        <f>"1997-05-03"</f>
        <v>1997-05-03</v>
      </c>
      <c r="E844" s="6" t="str">
        <f aca="true" t="shared" si="446" ref="E844:E847">"本科"</f>
        <v>本科</v>
      </c>
      <c r="F844" s="6" t="str">
        <f aca="true" t="shared" si="447" ref="F844:F849">"文学学士"</f>
        <v>文学学士</v>
      </c>
      <c r="G844" s="6" t="str">
        <f>"汉语国际教育"</f>
        <v>汉语国际教育</v>
      </c>
      <c r="H844" s="7" t="s">
        <v>9</v>
      </c>
    </row>
    <row r="845" spans="1:8" ht="15" customHeight="1">
      <c r="A845" s="5">
        <v>843</v>
      </c>
      <c r="B845" s="6" t="str">
        <f>"王林钰"</f>
        <v>王林钰</v>
      </c>
      <c r="C845" s="6" t="str">
        <f t="shared" si="445"/>
        <v>女</v>
      </c>
      <c r="D845" s="6" t="str">
        <f>"1998-04-21"</f>
        <v>1998-04-21</v>
      </c>
      <c r="E845" s="6" t="str">
        <f t="shared" si="446"/>
        <v>本科</v>
      </c>
      <c r="F845" s="6" t="str">
        <f t="shared" si="447"/>
        <v>文学学士</v>
      </c>
      <c r="G845" s="6" t="str">
        <f>"汉语言文学"</f>
        <v>汉语言文学</v>
      </c>
      <c r="H845" s="7" t="s">
        <v>9</v>
      </c>
    </row>
    <row r="846" spans="1:8" ht="15" customHeight="1">
      <c r="A846" s="5">
        <v>844</v>
      </c>
      <c r="B846" s="6" t="str">
        <f>"王秀云"</f>
        <v>王秀云</v>
      </c>
      <c r="C846" s="6" t="str">
        <f t="shared" si="444"/>
        <v>男</v>
      </c>
      <c r="D846" s="6" t="str">
        <f>"1995-12-28"</f>
        <v>1995-12-28</v>
      </c>
      <c r="E846" s="6" t="str">
        <f t="shared" si="446"/>
        <v>本科</v>
      </c>
      <c r="F846" s="6" t="str">
        <f>"管理学学士学位"</f>
        <v>管理学学士学位</v>
      </c>
      <c r="G846" s="6" t="str">
        <f>"工程管理"</f>
        <v>工程管理</v>
      </c>
      <c r="H846" s="7" t="s">
        <v>9</v>
      </c>
    </row>
    <row r="847" spans="1:8" ht="15" customHeight="1">
      <c r="A847" s="5">
        <v>845</v>
      </c>
      <c r="B847" s="6" t="str">
        <f>"李冬红"</f>
        <v>李冬红</v>
      </c>
      <c r="C847" s="6" t="str">
        <f t="shared" si="445"/>
        <v>女</v>
      </c>
      <c r="D847" s="6" t="str">
        <f>"1997-01-02"</f>
        <v>1997-01-02</v>
      </c>
      <c r="E847" s="6" t="str">
        <f t="shared" si="446"/>
        <v>本科</v>
      </c>
      <c r="F847" s="6" t="str">
        <f>"学士"</f>
        <v>学士</v>
      </c>
      <c r="G847" s="6" t="str">
        <f>"建筑学"</f>
        <v>建筑学</v>
      </c>
      <c r="H847" s="7" t="s">
        <v>9</v>
      </c>
    </row>
    <row r="848" spans="1:8" ht="15" customHeight="1">
      <c r="A848" s="5">
        <v>846</v>
      </c>
      <c r="B848" s="6" t="str">
        <f>"梁兆艳"</f>
        <v>梁兆艳</v>
      </c>
      <c r="C848" s="6" t="str">
        <f t="shared" si="445"/>
        <v>女</v>
      </c>
      <c r="D848" s="6" t="str">
        <f>"1994-12-25"</f>
        <v>1994-12-25</v>
      </c>
      <c r="E848" s="6" t="str">
        <f>"大学本科学历"</f>
        <v>大学本科学历</v>
      </c>
      <c r="F848" s="6" t="str">
        <f>"管理学学士"</f>
        <v>管理学学士</v>
      </c>
      <c r="G848" s="6" t="str">
        <f>"会计学"</f>
        <v>会计学</v>
      </c>
      <c r="H848" s="7" t="s">
        <v>9</v>
      </c>
    </row>
    <row r="849" spans="1:8" ht="15" customHeight="1">
      <c r="A849" s="5">
        <v>847</v>
      </c>
      <c r="B849" s="6" t="str">
        <f>"赵瑞雪"</f>
        <v>赵瑞雪</v>
      </c>
      <c r="C849" s="6" t="str">
        <f t="shared" si="445"/>
        <v>女</v>
      </c>
      <c r="D849" s="6" t="str">
        <f>"1999-10-19"</f>
        <v>1999-10-19</v>
      </c>
      <c r="E849" s="6" t="str">
        <f aca="true" t="shared" si="448" ref="E849:E854">"大学本科"</f>
        <v>大学本科</v>
      </c>
      <c r="F849" s="6" t="str">
        <f t="shared" si="447"/>
        <v>文学学士</v>
      </c>
      <c r="G849" s="6" t="str">
        <f>"汉语言文学"</f>
        <v>汉语言文学</v>
      </c>
      <c r="H849" s="7" t="s">
        <v>9</v>
      </c>
    </row>
    <row r="850" spans="1:8" ht="15" customHeight="1">
      <c r="A850" s="5">
        <v>848</v>
      </c>
      <c r="B850" s="6" t="str">
        <f>"郑秋菊"</f>
        <v>郑秋菊</v>
      </c>
      <c r="C850" s="6" t="str">
        <f t="shared" si="445"/>
        <v>女</v>
      </c>
      <c r="D850" s="6" t="str">
        <f>"1994-07-30"</f>
        <v>1994-07-30</v>
      </c>
      <c r="E850" s="6" t="str">
        <f>"全日制本科"</f>
        <v>全日制本科</v>
      </c>
      <c r="F850" s="6" t="str">
        <f>"农学学士"</f>
        <v>农学学士</v>
      </c>
      <c r="G850" s="6" t="str">
        <f>"植物科学与技术"</f>
        <v>植物科学与技术</v>
      </c>
      <c r="H850" s="7" t="s">
        <v>9</v>
      </c>
    </row>
    <row r="851" spans="1:8" ht="15" customHeight="1">
      <c r="A851" s="5">
        <v>849</v>
      </c>
      <c r="B851" s="6" t="str">
        <f>"李玉"</f>
        <v>李玉</v>
      </c>
      <c r="C851" s="6" t="str">
        <f t="shared" si="445"/>
        <v>女</v>
      </c>
      <c r="D851" s="6" t="str">
        <f>"1997-09-13"</f>
        <v>1997-09-13</v>
      </c>
      <c r="E851" s="6" t="str">
        <f aca="true" t="shared" si="449" ref="E851:E856">"本科"</f>
        <v>本科</v>
      </c>
      <c r="F851" s="6" t="str">
        <f>"工学学士"</f>
        <v>工学学士</v>
      </c>
      <c r="G851" s="6" t="str">
        <f>"风景园林（园林工程技术方向）"</f>
        <v>风景园林（园林工程技术方向）</v>
      </c>
      <c r="H851" s="7" t="s">
        <v>9</v>
      </c>
    </row>
    <row r="852" spans="1:8" ht="15" customHeight="1">
      <c r="A852" s="5">
        <v>850</v>
      </c>
      <c r="B852" s="6" t="str">
        <f>"陈青林"</f>
        <v>陈青林</v>
      </c>
      <c r="C852" s="6" t="str">
        <f aca="true" t="shared" si="450" ref="C852:C856">"男"</f>
        <v>男</v>
      </c>
      <c r="D852" s="6" t="str">
        <f>"1999-03-13"</f>
        <v>1999-03-13</v>
      </c>
      <c r="E852" s="6" t="str">
        <f t="shared" si="449"/>
        <v>本科</v>
      </c>
      <c r="F852" s="6" t="str">
        <f>"学士"</f>
        <v>学士</v>
      </c>
      <c r="G852" s="6" t="str">
        <f>"建筑学"</f>
        <v>建筑学</v>
      </c>
      <c r="H852" s="7" t="s">
        <v>9</v>
      </c>
    </row>
    <row r="853" spans="1:8" ht="15" customHeight="1">
      <c r="A853" s="5">
        <v>851</v>
      </c>
      <c r="B853" s="6" t="str">
        <f>"陈冠帆"</f>
        <v>陈冠帆</v>
      </c>
      <c r="C853" s="6" t="str">
        <f t="shared" si="450"/>
        <v>男</v>
      </c>
      <c r="D853" s="6" t="str">
        <f>"1994-02-12"</f>
        <v>1994-02-12</v>
      </c>
      <c r="E853" s="6" t="str">
        <f t="shared" si="448"/>
        <v>大学本科</v>
      </c>
      <c r="F853" s="6" t="str">
        <f aca="true" t="shared" si="451" ref="F853:F858">"管理学学士"</f>
        <v>管理学学士</v>
      </c>
      <c r="G853" s="6" t="str">
        <f>"特许经营管理"</f>
        <v>特许经营管理</v>
      </c>
      <c r="H853" s="7" t="s">
        <v>9</v>
      </c>
    </row>
    <row r="854" spans="1:8" ht="15" customHeight="1">
      <c r="A854" s="5">
        <v>852</v>
      </c>
      <c r="B854" s="6" t="str">
        <f>"曾子昕"</f>
        <v>曾子昕</v>
      </c>
      <c r="C854" s="6" t="str">
        <f aca="true" t="shared" si="452" ref="C854:C857">"女"</f>
        <v>女</v>
      </c>
      <c r="D854" s="6" t="str">
        <f>"2000-01-26"</f>
        <v>2000-01-26</v>
      </c>
      <c r="E854" s="6" t="str">
        <f t="shared" si="448"/>
        <v>大学本科</v>
      </c>
      <c r="F854" s="6" t="str">
        <f>"会计学学士"</f>
        <v>会计学学士</v>
      </c>
      <c r="G854" s="6" t="str">
        <f>"会计学"</f>
        <v>会计学</v>
      </c>
      <c r="H854" s="7" t="s">
        <v>9</v>
      </c>
    </row>
    <row r="855" spans="1:8" ht="15" customHeight="1">
      <c r="A855" s="5">
        <v>853</v>
      </c>
      <c r="B855" s="6" t="str">
        <f>"杨梦欣"</f>
        <v>杨梦欣</v>
      </c>
      <c r="C855" s="6" t="str">
        <f t="shared" si="452"/>
        <v>女</v>
      </c>
      <c r="D855" s="6" t="str">
        <f>"1999-02-21"</f>
        <v>1999-02-21</v>
      </c>
      <c r="E855" s="6" t="str">
        <f>"大学本科学历"</f>
        <v>大学本科学历</v>
      </c>
      <c r="F855" s="6" t="str">
        <f>"文学学士"</f>
        <v>文学学士</v>
      </c>
      <c r="G855" s="6" t="str">
        <f>"汉语言文学"</f>
        <v>汉语言文学</v>
      </c>
      <c r="H855" s="7" t="s">
        <v>9</v>
      </c>
    </row>
    <row r="856" spans="1:8" ht="15" customHeight="1">
      <c r="A856" s="5">
        <v>854</v>
      </c>
      <c r="B856" s="6" t="str">
        <f>"欧维海"</f>
        <v>欧维海</v>
      </c>
      <c r="C856" s="6" t="str">
        <f t="shared" si="450"/>
        <v>男</v>
      </c>
      <c r="D856" s="6" t="str">
        <f>"1994-08-18"</f>
        <v>1994-08-18</v>
      </c>
      <c r="E856" s="6" t="str">
        <f t="shared" si="449"/>
        <v>本科</v>
      </c>
      <c r="F856" s="6" t="str">
        <f t="shared" si="451"/>
        <v>管理学学士</v>
      </c>
      <c r="G856" s="6" t="str">
        <f>"工商管理"</f>
        <v>工商管理</v>
      </c>
      <c r="H856" s="7" t="s">
        <v>9</v>
      </c>
    </row>
    <row r="857" spans="1:8" ht="15" customHeight="1">
      <c r="A857" s="5">
        <v>855</v>
      </c>
      <c r="B857" s="6" t="str">
        <f>"陈金玲"</f>
        <v>陈金玲</v>
      </c>
      <c r="C857" s="6" t="str">
        <f t="shared" si="452"/>
        <v>女</v>
      </c>
      <c r="D857" s="6" t="str">
        <f>"1990-10-05"</f>
        <v>1990-10-05</v>
      </c>
      <c r="E857" s="6" t="str">
        <f>"大学本科"</f>
        <v>大学本科</v>
      </c>
      <c r="F857" s="6" t="str">
        <f>"经济学学士"</f>
        <v>经济学学士</v>
      </c>
      <c r="G857" s="6" t="str">
        <f>"经济学"</f>
        <v>经济学</v>
      </c>
      <c r="H857" s="7" t="s">
        <v>9</v>
      </c>
    </row>
    <row r="858" spans="1:8" ht="15" customHeight="1">
      <c r="A858" s="5">
        <v>856</v>
      </c>
      <c r="B858" s="6" t="str">
        <f>"符昱耿"</f>
        <v>符昱耿</v>
      </c>
      <c r="C858" s="6" t="str">
        <f aca="true" t="shared" si="453" ref="C858:C860">"男"</f>
        <v>男</v>
      </c>
      <c r="D858" s="6" t="str">
        <f>"1992-09-07"</f>
        <v>1992-09-07</v>
      </c>
      <c r="E858" s="6" t="str">
        <f aca="true" t="shared" si="454" ref="E858:E864">"本科"</f>
        <v>本科</v>
      </c>
      <c r="F858" s="6" t="str">
        <f t="shared" si="451"/>
        <v>管理学学士</v>
      </c>
      <c r="G858" s="6" t="str">
        <f>"工程管理"</f>
        <v>工程管理</v>
      </c>
      <c r="H858" s="7" t="s">
        <v>9</v>
      </c>
    </row>
    <row r="859" spans="1:8" ht="15" customHeight="1">
      <c r="A859" s="5">
        <v>857</v>
      </c>
      <c r="B859" s="6" t="str">
        <f>"王飞翼"</f>
        <v>王飞翼</v>
      </c>
      <c r="C859" s="6" t="str">
        <f t="shared" si="453"/>
        <v>男</v>
      </c>
      <c r="D859" s="6" t="str">
        <f>"2001-02-20"</f>
        <v>2001-02-20</v>
      </c>
      <c r="E859" s="6" t="str">
        <f t="shared" si="454"/>
        <v>本科</v>
      </c>
      <c r="F859" s="6" t="str">
        <f>"学士"</f>
        <v>学士</v>
      </c>
      <c r="G859" s="6" t="str">
        <f>"汉语言文学"</f>
        <v>汉语言文学</v>
      </c>
      <c r="H859" s="7" t="s">
        <v>9</v>
      </c>
    </row>
    <row r="860" spans="1:8" ht="15" customHeight="1">
      <c r="A860" s="5">
        <v>858</v>
      </c>
      <c r="B860" s="6" t="str">
        <f>"吴杰"</f>
        <v>吴杰</v>
      </c>
      <c r="C860" s="6" t="str">
        <f t="shared" si="453"/>
        <v>男</v>
      </c>
      <c r="D860" s="6" t="str">
        <f>"1995-04-23"</f>
        <v>1995-04-23</v>
      </c>
      <c r="E860" s="6" t="str">
        <f>"大学本科学历"</f>
        <v>大学本科学历</v>
      </c>
      <c r="F860" s="6" t="str">
        <f>"理学学士"</f>
        <v>理学学士</v>
      </c>
      <c r="G860" s="6" t="str">
        <f>"计算机科学与技术"</f>
        <v>计算机科学与技术</v>
      </c>
      <c r="H860" s="7" t="s">
        <v>9</v>
      </c>
    </row>
    <row r="861" spans="1:8" ht="15" customHeight="1">
      <c r="A861" s="5">
        <v>859</v>
      </c>
      <c r="B861" s="6" t="str">
        <f>"羊茵茵"</f>
        <v>羊茵茵</v>
      </c>
      <c r="C861" s="6" t="str">
        <f aca="true" t="shared" si="455" ref="C861:C866">"女"</f>
        <v>女</v>
      </c>
      <c r="D861" s="6" t="str">
        <f>"1995-01-27"</f>
        <v>1995-01-27</v>
      </c>
      <c r="E861" s="6" t="str">
        <f t="shared" si="454"/>
        <v>本科</v>
      </c>
      <c r="F861" s="6" t="str">
        <f aca="true" t="shared" si="456" ref="F861:F864">"管理学学士"</f>
        <v>管理学学士</v>
      </c>
      <c r="G861" s="6" t="str">
        <f>"旅游管理（酒店管理）"</f>
        <v>旅游管理（酒店管理）</v>
      </c>
      <c r="H861" s="7" t="s">
        <v>9</v>
      </c>
    </row>
    <row r="862" spans="1:8" ht="15" customHeight="1">
      <c r="A862" s="5">
        <v>860</v>
      </c>
      <c r="B862" s="6" t="str">
        <f>"肖智中"</f>
        <v>肖智中</v>
      </c>
      <c r="C862" s="6" t="str">
        <f aca="true" t="shared" si="457" ref="C862:C865">"男"</f>
        <v>男</v>
      </c>
      <c r="D862" s="6" t="str">
        <f>"1997-11-20"</f>
        <v>1997-11-20</v>
      </c>
      <c r="E862" s="6" t="str">
        <f t="shared" si="454"/>
        <v>本科</v>
      </c>
      <c r="F862" s="6" t="str">
        <f>"文学学士"</f>
        <v>文学学士</v>
      </c>
      <c r="G862" s="6" t="str">
        <f>"汉语国际教育"</f>
        <v>汉语国际教育</v>
      </c>
      <c r="H862" s="7" t="s">
        <v>9</v>
      </c>
    </row>
    <row r="863" spans="1:8" ht="15" customHeight="1">
      <c r="A863" s="5">
        <v>861</v>
      </c>
      <c r="B863" s="6" t="str">
        <f>"罗岚"</f>
        <v>罗岚</v>
      </c>
      <c r="C863" s="6" t="str">
        <f t="shared" si="455"/>
        <v>女</v>
      </c>
      <c r="D863" s="6" t="str">
        <f>"1989-11-05"</f>
        <v>1989-11-05</v>
      </c>
      <c r="E863" s="6" t="str">
        <f t="shared" si="454"/>
        <v>本科</v>
      </c>
      <c r="F863" s="6" t="str">
        <f t="shared" si="456"/>
        <v>管理学学士</v>
      </c>
      <c r="G863" s="6" t="str">
        <f>"会计学"</f>
        <v>会计学</v>
      </c>
      <c r="H863" s="7" t="s">
        <v>9</v>
      </c>
    </row>
    <row r="864" spans="1:8" ht="15" customHeight="1">
      <c r="A864" s="5">
        <v>862</v>
      </c>
      <c r="B864" s="6" t="str">
        <f>"何传森"</f>
        <v>何传森</v>
      </c>
      <c r="C864" s="6" t="str">
        <f t="shared" si="457"/>
        <v>男</v>
      </c>
      <c r="D864" s="6" t="str">
        <f>"1997-11-22"</f>
        <v>1997-11-22</v>
      </c>
      <c r="E864" s="6" t="str">
        <f t="shared" si="454"/>
        <v>本科</v>
      </c>
      <c r="F864" s="6" t="str">
        <f t="shared" si="456"/>
        <v>管理学学士</v>
      </c>
      <c r="G864" s="6" t="str">
        <f>"行政管理"</f>
        <v>行政管理</v>
      </c>
      <c r="H864" s="7" t="s">
        <v>9</v>
      </c>
    </row>
    <row r="865" spans="1:8" ht="15" customHeight="1">
      <c r="A865" s="5">
        <v>863</v>
      </c>
      <c r="B865" s="6" t="str">
        <f>"王啸"</f>
        <v>王啸</v>
      </c>
      <c r="C865" s="6" t="str">
        <f t="shared" si="457"/>
        <v>男</v>
      </c>
      <c r="D865" s="6" t="str">
        <f>"1998-09-07"</f>
        <v>1998-09-07</v>
      </c>
      <c r="E865" s="6" t="str">
        <f aca="true" t="shared" si="458" ref="E865:E869">"大学本科"</f>
        <v>大学本科</v>
      </c>
      <c r="F865" s="6" t="str">
        <f>"工学学士"</f>
        <v>工学学士</v>
      </c>
      <c r="G865" s="6" t="str">
        <f>"计算机科学与技术"</f>
        <v>计算机科学与技术</v>
      </c>
      <c r="H865" s="7" t="s">
        <v>9</v>
      </c>
    </row>
    <row r="866" spans="1:8" ht="15" customHeight="1">
      <c r="A866" s="5">
        <v>864</v>
      </c>
      <c r="B866" s="6" t="str">
        <f>"李花女"</f>
        <v>李花女</v>
      </c>
      <c r="C866" s="6" t="str">
        <f t="shared" si="455"/>
        <v>女</v>
      </c>
      <c r="D866" s="6" t="str">
        <f>"1997-09-10"</f>
        <v>1997-09-10</v>
      </c>
      <c r="E866" s="6" t="str">
        <f>"本科"</f>
        <v>本科</v>
      </c>
      <c r="F866" s="6" t="str">
        <f>"管理学学士"</f>
        <v>管理学学士</v>
      </c>
      <c r="G866" s="6" t="str">
        <f>"财务管理"</f>
        <v>财务管理</v>
      </c>
      <c r="H866" s="7" t="s">
        <v>9</v>
      </c>
    </row>
    <row r="867" spans="1:8" ht="15" customHeight="1">
      <c r="A867" s="5">
        <v>865</v>
      </c>
      <c r="B867" s="6" t="str">
        <f>"羊学光"</f>
        <v>羊学光</v>
      </c>
      <c r="C867" s="6" t="str">
        <f aca="true" t="shared" si="459" ref="C867:C871">"男"</f>
        <v>男</v>
      </c>
      <c r="D867" s="6" t="str">
        <f>"1994-04-20"</f>
        <v>1994-04-20</v>
      </c>
      <c r="E867" s="6" t="str">
        <f>"大学本科学历"</f>
        <v>大学本科学历</v>
      </c>
      <c r="F867" s="6" t="str">
        <f>"农学学士"</f>
        <v>农学学士</v>
      </c>
      <c r="G867" s="6" t="str">
        <f>"水族科学与技术"</f>
        <v>水族科学与技术</v>
      </c>
      <c r="H867" s="7" t="s">
        <v>9</v>
      </c>
    </row>
    <row r="868" spans="1:8" ht="15" customHeight="1">
      <c r="A868" s="5">
        <v>866</v>
      </c>
      <c r="B868" s="6" t="str">
        <f>"余水茜"</f>
        <v>余水茜</v>
      </c>
      <c r="C868" s="6" t="str">
        <f aca="true" t="shared" si="460" ref="C868:C872">"女"</f>
        <v>女</v>
      </c>
      <c r="D868" s="6" t="str">
        <f>"1994-04-16"</f>
        <v>1994-04-16</v>
      </c>
      <c r="E868" s="6" t="str">
        <f t="shared" si="458"/>
        <v>大学本科</v>
      </c>
      <c r="F868" s="6" t="str">
        <f>"学士学位"</f>
        <v>学士学位</v>
      </c>
      <c r="G868" s="6" t="str">
        <f>"汉语言文学（教育类）"</f>
        <v>汉语言文学（教育类）</v>
      </c>
      <c r="H868" s="7" t="s">
        <v>9</v>
      </c>
    </row>
    <row r="869" spans="1:8" ht="15" customHeight="1">
      <c r="A869" s="5">
        <v>867</v>
      </c>
      <c r="B869" s="6" t="str">
        <f>"陈嘉文"</f>
        <v>陈嘉文</v>
      </c>
      <c r="C869" s="6" t="str">
        <f t="shared" si="459"/>
        <v>男</v>
      </c>
      <c r="D869" s="6" t="str">
        <f>"1998-09-16"</f>
        <v>1998-09-16</v>
      </c>
      <c r="E869" s="6" t="str">
        <f t="shared" si="458"/>
        <v>大学本科</v>
      </c>
      <c r="F869" s="6" t="str">
        <f>"工学学士"</f>
        <v>工学学士</v>
      </c>
      <c r="G869" s="6" t="str">
        <f>"计算机科学与技术"</f>
        <v>计算机科学与技术</v>
      </c>
      <c r="H869" s="7" t="s">
        <v>9</v>
      </c>
    </row>
    <row r="870" spans="1:8" ht="15" customHeight="1">
      <c r="A870" s="5">
        <v>868</v>
      </c>
      <c r="B870" s="6" t="str">
        <f>"郑学妍"</f>
        <v>郑学妍</v>
      </c>
      <c r="C870" s="6" t="str">
        <f t="shared" si="460"/>
        <v>女</v>
      </c>
      <c r="D870" s="6" t="str">
        <f>"1995-11-17"</f>
        <v>1995-11-17</v>
      </c>
      <c r="E870" s="6" t="str">
        <f>"大学本科学历"</f>
        <v>大学本科学历</v>
      </c>
      <c r="F870" s="6" t="str">
        <f aca="true" t="shared" si="461" ref="F870:F874">"管理学学士"</f>
        <v>管理学学士</v>
      </c>
      <c r="G870" s="6" t="str">
        <f>"信息管理与信息系统"</f>
        <v>信息管理与信息系统</v>
      </c>
      <c r="H870" s="7" t="s">
        <v>9</v>
      </c>
    </row>
    <row r="871" spans="1:8" ht="15" customHeight="1">
      <c r="A871" s="5">
        <v>869</v>
      </c>
      <c r="B871" s="6" t="str">
        <f>"邱启伟"</f>
        <v>邱启伟</v>
      </c>
      <c r="C871" s="6" t="str">
        <f t="shared" si="459"/>
        <v>男</v>
      </c>
      <c r="D871" s="6" t="str">
        <f>"1999-10-05"</f>
        <v>1999-10-05</v>
      </c>
      <c r="E871" s="6" t="str">
        <f aca="true" t="shared" si="462" ref="E871:E876">"本科"</f>
        <v>本科</v>
      </c>
      <c r="F871" s="6" t="str">
        <f>"工学学士"</f>
        <v>工学学士</v>
      </c>
      <c r="G871" s="6" t="str">
        <f>"信息安全"</f>
        <v>信息安全</v>
      </c>
      <c r="H871" s="7" t="s">
        <v>9</v>
      </c>
    </row>
    <row r="872" spans="1:8" ht="15" customHeight="1">
      <c r="A872" s="5">
        <v>870</v>
      </c>
      <c r="B872" s="6" t="str">
        <f>"黄小立"</f>
        <v>黄小立</v>
      </c>
      <c r="C872" s="6" t="str">
        <f t="shared" si="460"/>
        <v>女</v>
      </c>
      <c r="D872" s="6" t="str">
        <f>"1995-02-26"</f>
        <v>1995-02-26</v>
      </c>
      <c r="E872" s="6" t="str">
        <f>"大学本科"</f>
        <v>大学本科</v>
      </c>
      <c r="F872" s="6" t="str">
        <f>"文学学士"</f>
        <v>文学学士</v>
      </c>
      <c r="G872" s="6" t="str">
        <f>"汉语言文学专业"</f>
        <v>汉语言文学专业</v>
      </c>
      <c r="H872" s="7" t="s">
        <v>9</v>
      </c>
    </row>
    <row r="873" spans="1:8" ht="15" customHeight="1">
      <c r="A873" s="5">
        <v>871</v>
      </c>
      <c r="B873" s="6" t="str">
        <f>"王一松"</f>
        <v>王一松</v>
      </c>
      <c r="C873" s="6" t="str">
        <f>"男"</f>
        <v>男</v>
      </c>
      <c r="D873" s="6" t="str">
        <f>"1991-09-26"</f>
        <v>1991-09-26</v>
      </c>
      <c r="E873" s="6" t="str">
        <f>"全日制本科"</f>
        <v>全日制本科</v>
      </c>
      <c r="F873" s="6" t="str">
        <f t="shared" si="461"/>
        <v>管理学学士</v>
      </c>
      <c r="G873" s="6" t="str">
        <f>"工程管理"</f>
        <v>工程管理</v>
      </c>
      <c r="H873" s="7" t="s">
        <v>9</v>
      </c>
    </row>
    <row r="874" spans="1:8" ht="15" customHeight="1">
      <c r="A874" s="5">
        <v>872</v>
      </c>
      <c r="B874" s="6" t="str">
        <f>"王育"</f>
        <v>王育</v>
      </c>
      <c r="C874" s="6" t="str">
        <f aca="true" t="shared" si="463" ref="C874:C877">"女"</f>
        <v>女</v>
      </c>
      <c r="D874" s="6" t="str">
        <f>"1995-05-11"</f>
        <v>1995-05-11</v>
      </c>
      <c r="E874" s="6" t="str">
        <f t="shared" si="462"/>
        <v>本科</v>
      </c>
      <c r="F874" s="6" t="str">
        <f t="shared" si="461"/>
        <v>管理学学士</v>
      </c>
      <c r="G874" s="6" t="str">
        <f>"工商管理"</f>
        <v>工商管理</v>
      </c>
      <c r="H874" s="7" t="s">
        <v>9</v>
      </c>
    </row>
    <row r="875" spans="1:8" ht="15" customHeight="1">
      <c r="A875" s="5">
        <v>873</v>
      </c>
      <c r="B875" s="6" t="str">
        <f>"刘璐威"</f>
        <v>刘璐威</v>
      </c>
      <c r="C875" s="6" t="str">
        <f t="shared" si="463"/>
        <v>女</v>
      </c>
      <c r="D875" s="6" t="str">
        <f>"2002-05-31"</f>
        <v>2002-05-31</v>
      </c>
      <c r="E875" s="6" t="str">
        <f t="shared" si="462"/>
        <v>本科</v>
      </c>
      <c r="F875" s="6" t="str">
        <f>"学士学位"</f>
        <v>学士学位</v>
      </c>
      <c r="G875" s="6" t="str">
        <f>"工程造价"</f>
        <v>工程造价</v>
      </c>
      <c r="H875" s="7" t="s">
        <v>9</v>
      </c>
    </row>
    <row r="876" spans="1:8" ht="15" customHeight="1">
      <c r="A876" s="5">
        <v>874</v>
      </c>
      <c r="B876" s="6" t="str">
        <f>"纪诗诗"</f>
        <v>纪诗诗</v>
      </c>
      <c r="C876" s="6" t="str">
        <f t="shared" si="463"/>
        <v>女</v>
      </c>
      <c r="D876" s="6" t="str">
        <f>"1996-09-13"</f>
        <v>1996-09-13</v>
      </c>
      <c r="E876" s="6" t="str">
        <f t="shared" si="462"/>
        <v>本科</v>
      </c>
      <c r="F876" s="6" t="str">
        <f>"文学学士"</f>
        <v>文学学士</v>
      </c>
      <c r="G876" s="6" t="str">
        <f>"汉语言文学"</f>
        <v>汉语言文学</v>
      </c>
      <c r="H876" s="7" t="s">
        <v>9</v>
      </c>
    </row>
    <row r="877" spans="1:8" ht="15" customHeight="1">
      <c r="A877" s="5">
        <v>875</v>
      </c>
      <c r="B877" s="6" t="str">
        <f>"李双花"</f>
        <v>李双花</v>
      </c>
      <c r="C877" s="6" t="str">
        <f t="shared" si="463"/>
        <v>女</v>
      </c>
      <c r="D877" s="6" t="str">
        <f>"1993-10-29"</f>
        <v>1993-10-29</v>
      </c>
      <c r="E877" s="6" t="str">
        <f>"研究生学历"</f>
        <v>研究生学历</v>
      </c>
      <c r="F877" s="6" t="str">
        <f>"农学硕士"</f>
        <v>农学硕士</v>
      </c>
      <c r="G877" s="6" t="str">
        <f>"园艺学"</f>
        <v>园艺学</v>
      </c>
      <c r="H877" s="7" t="s">
        <v>9</v>
      </c>
    </row>
    <row r="878" spans="1:8" ht="15" customHeight="1">
      <c r="A878" s="5">
        <v>876</v>
      </c>
      <c r="B878" s="6" t="str">
        <f>"羊声隆"</f>
        <v>羊声隆</v>
      </c>
      <c r="C878" s="6" t="str">
        <f aca="true" t="shared" si="464" ref="C878:C882">"男"</f>
        <v>男</v>
      </c>
      <c r="D878" s="6" t="str">
        <f>"1994-08-09"</f>
        <v>1994-08-09</v>
      </c>
      <c r="E878" s="6" t="str">
        <f>"大学本科"</f>
        <v>大学本科</v>
      </c>
      <c r="F878" s="6" t="str">
        <f aca="true" t="shared" si="465" ref="F878:F880">"管理学学士"</f>
        <v>管理学学士</v>
      </c>
      <c r="G878" s="6" t="str">
        <f>"物流管理专业"</f>
        <v>物流管理专业</v>
      </c>
      <c r="H878" s="7" t="s">
        <v>9</v>
      </c>
    </row>
    <row r="879" spans="1:8" ht="15" customHeight="1">
      <c r="A879" s="5">
        <v>877</v>
      </c>
      <c r="B879" s="6" t="str">
        <f>"曹瑶靖"</f>
        <v>曹瑶靖</v>
      </c>
      <c r="C879" s="6" t="str">
        <f aca="true" t="shared" si="466" ref="C879:C883">"女"</f>
        <v>女</v>
      </c>
      <c r="D879" s="6" t="str">
        <f>"1998-03-27"</f>
        <v>1998-03-27</v>
      </c>
      <c r="E879" s="6" t="str">
        <f aca="true" t="shared" si="467" ref="E879:E885">"本科"</f>
        <v>本科</v>
      </c>
      <c r="F879" s="6" t="str">
        <f t="shared" si="465"/>
        <v>管理学学士</v>
      </c>
      <c r="G879" s="6" t="str">
        <f>"财务管理"</f>
        <v>财务管理</v>
      </c>
      <c r="H879" s="7" t="s">
        <v>9</v>
      </c>
    </row>
    <row r="880" spans="1:8" ht="15" customHeight="1">
      <c r="A880" s="5">
        <v>878</v>
      </c>
      <c r="B880" s="6" t="str">
        <f>"黄秋燕"</f>
        <v>黄秋燕</v>
      </c>
      <c r="C880" s="6" t="str">
        <f t="shared" si="466"/>
        <v>女</v>
      </c>
      <c r="D880" s="6" t="str">
        <f>"1993-04-24"</f>
        <v>1993-04-24</v>
      </c>
      <c r="E880" s="6" t="str">
        <f t="shared" si="467"/>
        <v>本科</v>
      </c>
      <c r="F880" s="6" t="str">
        <f t="shared" si="465"/>
        <v>管理学学士</v>
      </c>
      <c r="G880" s="6" t="str">
        <f>"财务管理"</f>
        <v>财务管理</v>
      </c>
      <c r="H880" s="7" t="s">
        <v>9</v>
      </c>
    </row>
    <row r="881" spans="1:8" ht="15" customHeight="1">
      <c r="A881" s="5">
        <v>879</v>
      </c>
      <c r="B881" s="6" t="str">
        <f>"雷家善"</f>
        <v>雷家善</v>
      </c>
      <c r="C881" s="6" t="str">
        <f t="shared" si="464"/>
        <v>男</v>
      </c>
      <c r="D881" s="6" t="str">
        <f>"1999-06-19"</f>
        <v>1999-06-19</v>
      </c>
      <c r="E881" s="6" t="str">
        <f t="shared" si="467"/>
        <v>本科</v>
      </c>
      <c r="F881" s="6" t="str">
        <f>"文学学士"</f>
        <v>文学学士</v>
      </c>
      <c r="G881" s="6" t="str">
        <f>"汉语言文学"</f>
        <v>汉语言文学</v>
      </c>
      <c r="H881" s="7" t="s">
        <v>9</v>
      </c>
    </row>
    <row r="882" spans="1:8" ht="15" customHeight="1">
      <c r="A882" s="5">
        <v>880</v>
      </c>
      <c r="B882" s="6" t="str">
        <f>"吉书舟"</f>
        <v>吉书舟</v>
      </c>
      <c r="C882" s="6" t="str">
        <f t="shared" si="464"/>
        <v>男</v>
      </c>
      <c r="D882" s="6" t="str">
        <f>"1997-09-30"</f>
        <v>1997-09-30</v>
      </c>
      <c r="E882" s="6" t="str">
        <f t="shared" si="467"/>
        <v>本科</v>
      </c>
      <c r="F882" s="6" t="str">
        <f>"工学学士"</f>
        <v>工学学士</v>
      </c>
      <c r="G882" s="6" t="str">
        <f>"土木工程（建筑工程）"</f>
        <v>土木工程（建筑工程）</v>
      </c>
      <c r="H882" s="7" t="s">
        <v>9</v>
      </c>
    </row>
    <row r="883" spans="1:8" ht="15" customHeight="1">
      <c r="A883" s="5">
        <v>881</v>
      </c>
      <c r="B883" s="6" t="str">
        <f>"黎春美"</f>
        <v>黎春美</v>
      </c>
      <c r="C883" s="6" t="str">
        <f t="shared" si="466"/>
        <v>女</v>
      </c>
      <c r="D883" s="6" t="str">
        <f>"1995-07-17"</f>
        <v>1995-07-17</v>
      </c>
      <c r="E883" s="6" t="str">
        <f t="shared" si="467"/>
        <v>本科</v>
      </c>
      <c r="F883" s="6" t="str">
        <f>"管理学"</f>
        <v>管理学</v>
      </c>
      <c r="G883" s="6" t="str">
        <f>"工商管理"</f>
        <v>工商管理</v>
      </c>
      <c r="H883" s="7" t="s">
        <v>9</v>
      </c>
    </row>
    <row r="884" spans="1:8" ht="15" customHeight="1">
      <c r="A884" s="5">
        <v>882</v>
      </c>
      <c r="B884" s="6" t="str">
        <f>"吴进"</f>
        <v>吴进</v>
      </c>
      <c r="C884" s="6" t="str">
        <f aca="true" t="shared" si="468" ref="C884:C888">"男"</f>
        <v>男</v>
      </c>
      <c r="D884" s="6" t="str">
        <f>"1999-12-12"</f>
        <v>1999-12-12</v>
      </c>
      <c r="E884" s="6" t="str">
        <f t="shared" si="467"/>
        <v>本科</v>
      </c>
      <c r="F884" s="6" t="str">
        <f>"学士"</f>
        <v>学士</v>
      </c>
      <c r="G884" s="6" t="str">
        <f>"园艺"</f>
        <v>园艺</v>
      </c>
      <c r="H884" s="7" t="s">
        <v>9</v>
      </c>
    </row>
    <row r="885" spans="1:8" ht="15" customHeight="1">
      <c r="A885" s="5">
        <v>883</v>
      </c>
      <c r="B885" s="6" t="str">
        <f>"黄梦妮"</f>
        <v>黄梦妮</v>
      </c>
      <c r="C885" s="6" t="str">
        <f aca="true" t="shared" si="469" ref="C885:C889">"女"</f>
        <v>女</v>
      </c>
      <c r="D885" s="6" t="str">
        <f>"1997-06-10"</f>
        <v>1997-06-10</v>
      </c>
      <c r="E885" s="6" t="str">
        <f t="shared" si="467"/>
        <v>本科</v>
      </c>
      <c r="F885" s="6" t="str">
        <f>"文学学士"</f>
        <v>文学学士</v>
      </c>
      <c r="G885" s="6" t="str">
        <f>"汉语言文学"</f>
        <v>汉语言文学</v>
      </c>
      <c r="H885" s="7" t="s">
        <v>9</v>
      </c>
    </row>
    <row r="886" spans="1:8" ht="15" customHeight="1">
      <c r="A886" s="5">
        <v>884</v>
      </c>
      <c r="B886" s="6" t="str">
        <f>"王立威"</f>
        <v>王立威</v>
      </c>
      <c r="C886" s="6" t="str">
        <f t="shared" si="468"/>
        <v>男</v>
      </c>
      <c r="D886" s="6" t="str">
        <f>"1993-11-25"</f>
        <v>1993-11-25</v>
      </c>
      <c r="E886" s="6" t="str">
        <f>"全日制本科"</f>
        <v>全日制本科</v>
      </c>
      <c r="F886" s="6" t="str">
        <f>"建筑学学士"</f>
        <v>建筑学学士</v>
      </c>
      <c r="G886" s="6" t="str">
        <f>"建筑学"</f>
        <v>建筑学</v>
      </c>
      <c r="H886" s="7" t="s">
        <v>9</v>
      </c>
    </row>
    <row r="887" spans="1:8" ht="15" customHeight="1">
      <c r="A887" s="5">
        <v>885</v>
      </c>
      <c r="B887" s="6" t="str">
        <f>"陈初妮"</f>
        <v>陈初妮</v>
      </c>
      <c r="C887" s="6" t="str">
        <f t="shared" si="469"/>
        <v>女</v>
      </c>
      <c r="D887" s="6" t="str">
        <f>"1996-05-06"</f>
        <v>1996-05-06</v>
      </c>
      <c r="E887" s="6" t="str">
        <f aca="true" t="shared" si="470" ref="E887:E893">"大学本科"</f>
        <v>大学本科</v>
      </c>
      <c r="F887" s="6" t="str">
        <f>"经济学学士"</f>
        <v>经济学学士</v>
      </c>
      <c r="G887" s="6" t="str">
        <f>"国际经济与贸易"</f>
        <v>国际经济与贸易</v>
      </c>
      <c r="H887" s="7" t="s">
        <v>9</v>
      </c>
    </row>
    <row r="888" spans="1:8" ht="15" customHeight="1">
      <c r="A888" s="5">
        <v>886</v>
      </c>
      <c r="B888" s="6" t="str">
        <f>"王昭军"</f>
        <v>王昭军</v>
      </c>
      <c r="C888" s="6" t="str">
        <f t="shared" si="468"/>
        <v>男</v>
      </c>
      <c r="D888" s="6" t="str">
        <f>"1993-10-20"</f>
        <v>1993-10-20</v>
      </c>
      <c r="E888" s="6" t="str">
        <f aca="true" t="shared" si="471" ref="E888:E890">"本科"</f>
        <v>本科</v>
      </c>
      <c r="F888" s="6" t="str">
        <f aca="true" t="shared" si="472" ref="F888:F893">"工学学士"</f>
        <v>工学学士</v>
      </c>
      <c r="G888" s="6" t="str">
        <f>"土木工程"</f>
        <v>土木工程</v>
      </c>
      <c r="H888" s="7" t="s">
        <v>9</v>
      </c>
    </row>
    <row r="889" spans="1:8" ht="15" customHeight="1">
      <c r="A889" s="5">
        <v>887</v>
      </c>
      <c r="B889" s="6" t="str">
        <f>"符丽娜"</f>
        <v>符丽娜</v>
      </c>
      <c r="C889" s="6" t="str">
        <f t="shared" si="469"/>
        <v>女</v>
      </c>
      <c r="D889" s="6" t="str">
        <f>"1994-08-23"</f>
        <v>1994-08-23</v>
      </c>
      <c r="E889" s="6" t="str">
        <f t="shared" si="471"/>
        <v>本科</v>
      </c>
      <c r="F889" s="6" t="str">
        <f>"理学学士"</f>
        <v>理学学士</v>
      </c>
      <c r="G889" s="6" t="str">
        <f>"环境科学"</f>
        <v>环境科学</v>
      </c>
      <c r="H889" s="7" t="s">
        <v>9</v>
      </c>
    </row>
    <row r="890" spans="1:8" ht="15" customHeight="1">
      <c r="A890" s="5">
        <v>888</v>
      </c>
      <c r="B890" s="6" t="str">
        <f>"陈糠"</f>
        <v>陈糠</v>
      </c>
      <c r="C890" s="6" t="str">
        <f aca="true" t="shared" si="473" ref="C890:C892">"男"</f>
        <v>男</v>
      </c>
      <c r="D890" s="6" t="str">
        <f>"1996-04-10"</f>
        <v>1996-04-10</v>
      </c>
      <c r="E890" s="6" t="str">
        <f t="shared" si="471"/>
        <v>本科</v>
      </c>
      <c r="F890" s="6" t="str">
        <f aca="true" t="shared" si="474" ref="F890:F898">"管理学学士"</f>
        <v>管理学学士</v>
      </c>
      <c r="G890" s="6" t="str">
        <f>"财务管理（企业理财方向）"</f>
        <v>财务管理（企业理财方向）</v>
      </c>
      <c r="H890" s="7" t="s">
        <v>9</v>
      </c>
    </row>
    <row r="891" spans="1:8" ht="15" customHeight="1">
      <c r="A891" s="5">
        <v>889</v>
      </c>
      <c r="B891" s="6" t="str">
        <f>"王忠祥"</f>
        <v>王忠祥</v>
      </c>
      <c r="C891" s="6" t="str">
        <f t="shared" si="473"/>
        <v>男</v>
      </c>
      <c r="D891" s="6" t="str">
        <f>"1989-10-20"</f>
        <v>1989-10-20</v>
      </c>
      <c r="E891" s="6" t="str">
        <f t="shared" si="470"/>
        <v>大学本科</v>
      </c>
      <c r="F891" s="6" t="str">
        <f>"经济学学士"</f>
        <v>经济学学士</v>
      </c>
      <c r="G891" s="6" t="str">
        <f>"保险"</f>
        <v>保险</v>
      </c>
      <c r="H891" s="7" t="s">
        <v>9</v>
      </c>
    </row>
    <row r="892" spans="1:8" ht="15" customHeight="1">
      <c r="A892" s="5">
        <v>890</v>
      </c>
      <c r="B892" s="6" t="str">
        <f>"林克帆"</f>
        <v>林克帆</v>
      </c>
      <c r="C892" s="6" t="str">
        <f t="shared" si="473"/>
        <v>男</v>
      </c>
      <c r="D892" s="6" t="str">
        <f>"1991-03-19"</f>
        <v>1991-03-19</v>
      </c>
      <c r="E892" s="6" t="str">
        <f t="shared" si="470"/>
        <v>大学本科</v>
      </c>
      <c r="F892" s="6" t="str">
        <f t="shared" si="472"/>
        <v>工学学士</v>
      </c>
      <c r="G892" s="6" t="str">
        <f>"土木工程"</f>
        <v>土木工程</v>
      </c>
      <c r="H892" s="7" t="s">
        <v>9</v>
      </c>
    </row>
    <row r="893" spans="1:8" ht="15" customHeight="1">
      <c r="A893" s="5">
        <v>891</v>
      </c>
      <c r="B893" s="6" t="str">
        <f>"杨淀"</f>
        <v>杨淀</v>
      </c>
      <c r="C893" s="6" t="str">
        <f aca="true" t="shared" si="475" ref="C893:C895">"女"</f>
        <v>女</v>
      </c>
      <c r="D893" s="6" t="str">
        <f>"1998-02-28"</f>
        <v>1998-02-28</v>
      </c>
      <c r="E893" s="6" t="str">
        <f t="shared" si="470"/>
        <v>大学本科</v>
      </c>
      <c r="F893" s="6" t="str">
        <f t="shared" si="472"/>
        <v>工学学士</v>
      </c>
      <c r="G893" s="6" t="str">
        <f>"风景园林"</f>
        <v>风景园林</v>
      </c>
      <c r="H893" s="7" t="s">
        <v>9</v>
      </c>
    </row>
    <row r="894" spans="1:8" ht="15" customHeight="1">
      <c r="A894" s="5">
        <v>892</v>
      </c>
      <c r="B894" s="6" t="str">
        <f>"李如笋"</f>
        <v>李如笋</v>
      </c>
      <c r="C894" s="6" t="str">
        <f t="shared" si="475"/>
        <v>女</v>
      </c>
      <c r="D894" s="6" t="str">
        <f>"1994-04-17"</f>
        <v>1994-04-17</v>
      </c>
      <c r="E894" s="6" t="str">
        <f aca="true" t="shared" si="476" ref="E894:E898">"本科"</f>
        <v>本科</v>
      </c>
      <c r="F894" s="6" t="str">
        <f t="shared" si="474"/>
        <v>管理学学士</v>
      </c>
      <c r="G894" s="6" t="str">
        <f>"公共事业管理"</f>
        <v>公共事业管理</v>
      </c>
      <c r="H894" s="7" t="s">
        <v>9</v>
      </c>
    </row>
    <row r="895" spans="1:8" ht="15" customHeight="1">
      <c r="A895" s="5">
        <v>893</v>
      </c>
      <c r="B895" s="6" t="str">
        <f>"高子晴"</f>
        <v>高子晴</v>
      </c>
      <c r="C895" s="6" t="str">
        <f t="shared" si="475"/>
        <v>女</v>
      </c>
      <c r="D895" s="6" t="str">
        <f>"1997-08-08"</f>
        <v>1997-08-08</v>
      </c>
      <c r="E895" s="6" t="str">
        <f t="shared" si="476"/>
        <v>本科</v>
      </c>
      <c r="F895" s="6" t="str">
        <f t="shared" si="474"/>
        <v>管理学学士</v>
      </c>
      <c r="G895" s="6" t="str">
        <f>"酒店管理"</f>
        <v>酒店管理</v>
      </c>
      <c r="H895" s="7" t="s">
        <v>9</v>
      </c>
    </row>
    <row r="896" spans="1:8" ht="15" customHeight="1">
      <c r="A896" s="5">
        <v>894</v>
      </c>
      <c r="B896" s="6" t="str">
        <f>"许人宇"</f>
        <v>许人宇</v>
      </c>
      <c r="C896" s="6" t="str">
        <f>"男"</f>
        <v>男</v>
      </c>
      <c r="D896" s="6" t="str">
        <f>"1995-08-06"</f>
        <v>1995-08-06</v>
      </c>
      <c r="E896" s="6" t="str">
        <f>"大学本科"</f>
        <v>大学本科</v>
      </c>
      <c r="F896" s="6" t="str">
        <f t="shared" si="474"/>
        <v>管理学学士</v>
      </c>
      <c r="G896" s="6" t="str">
        <f>"人力资源管理"</f>
        <v>人力资源管理</v>
      </c>
      <c r="H896" s="7" t="s">
        <v>9</v>
      </c>
    </row>
    <row r="897" spans="1:8" ht="15" customHeight="1">
      <c r="A897" s="5">
        <v>895</v>
      </c>
      <c r="B897" s="6" t="str">
        <f>"刘迪"</f>
        <v>刘迪</v>
      </c>
      <c r="C897" s="6" t="str">
        <f aca="true" t="shared" si="477" ref="C897:C899">"女"</f>
        <v>女</v>
      </c>
      <c r="D897" s="6" t="str">
        <f>"1994-05-18"</f>
        <v>1994-05-18</v>
      </c>
      <c r="E897" s="6" t="str">
        <f>"大学本科"</f>
        <v>大学本科</v>
      </c>
      <c r="F897" s="6" t="str">
        <f t="shared" si="474"/>
        <v>管理学学士</v>
      </c>
      <c r="G897" s="6" t="str">
        <f>"会计学"</f>
        <v>会计学</v>
      </c>
      <c r="H897" s="7" t="s">
        <v>9</v>
      </c>
    </row>
    <row r="898" spans="1:8" ht="15" customHeight="1">
      <c r="A898" s="5">
        <v>896</v>
      </c>
      <c r="B898" s="6" t="str">
        <f>"简秋丽"</f>
        <v>简秋丽</v>
      </c>
      <c r="C898" s="6" t="str">
        <f t="shared" si="477"/>
        <v>女</v>
      </c>
      <c r="D898" s="6" t="str">
        <f>"1998-01-05"</f>
        <v>1998-01-05</v>
      </c>
      <c r="E898" s="6" t="str">
        <f t="shared" si="476"/>
        <v>本科</v>
      </c>
      <c r="F898" s="6" t="str">
        <f t="shared" si="474"/>
        <v>管理学学士</v>
      </c>
      <c r="G898" s="6" t="str">
        <f>"财务管理"</f>
        <v>财务管理</v>
      </c>
      <c r="H898" s="7" t="s">
        <v>9</v>
      </c>
    </row>
    <row r="899" spans="1:8" ht="15" customHeight="1">
      <c r="A899" s="5">
        <v>897</v>
      </c>
      <c r="B899" s="6" t="str">
        <f>"符德坤"</f>
        <v>符德坤</v>
      </c>
      <c r="C899" s="6" t="str">
        <f t="shared" si="477"/>
        <v>女</v>
      </c>
      <c r="D899" s="6" t="str">
        <f>"1997-04-07"</f>
        <v>1997-04-07</v>
      </c>
      <c r="E899" s="6" t="str">
        <f>"研究生"</f>
        <v>研究生</v>
      </c>
      <c r="F899" s="6" t="str">
        <f>"农学硕士"</f>
        <v>农学硕士</v>
      </c>
      <c r="G899" s="6" t="str">
        <f>"食品加工与安全"</f>
        <v>食品加工与安全</v>
      </c>
      <c r="H899" s="7" t="s">
        <v>9</v>
      </c>
    </row>
    <row r="900" spans="1:8" ht="15" customHeight="1">
      <c r="A900" s="5">
        <v>898</v>
      </c>
      <c r="B900" s="6" t="str">
        <f>"唐业"</f>
        <v>唐业</v>
      </c>
      <c r="C900" s="6" t="str">
        <f aca="true" t="shared" si="478" ref="C900:C904">"男"</f>
        <v>男</v>
      </c>
      <c r="D900" s="6" t="str">
        <f>"1993-10-08"</f>
        <v>1993-10-08</v>
      </c>
      <c r="E900" s="6" t="str">
        <f aca="true" t="shared" si="479" ref="E900:E903">"本科"</f>
        <v>本科</v>
      </c>
      <c r="F900" s="6" t="str">
        <f>"工学学士"</f>
        <v>工学学士</v>
      </c>
      <c r="G900" s="6" t="str">
        <f>"土木工程"</f>
        <v>土木工程</v>
      </c>
      <c r="H900" s="7" t="s">
        <v>9</v>
      </c>
    </row>
    <row r="901" spans="1:8" ht="15" customHeight="1">
      <c r="A901" s="5">
        <v>899</v>
      </c>
      <c r="B901" s="6" t="str">
        <f>"吴丽娴"</f>
        <v>吴丽娴</v>
      </c>
      <c r="C901" s="6" t="str">
        <f aca="true" t="shared" si="480" ref="C901:C905">"女"</f>
        <v>女</v>
      </c>
      <c r="D901" s="6" t="str">
        <f>"1995-01-26"</f>
        <v>1995-01-26</v>
      </c>
      <c r="E901" s="6" t="str">
        <f t="shared" si="479"/>
        <v>本科</v>
      </c>
      <c r="F901" s="6" t="str">
        <f>"管理学学士"</f>
        <v>管理学学士</v>
      </c>
      <c r="G901" s="6" t="str">
        <f>"公共事业管理"</f>
        <v>公共事业管理</v>
      </c>
      <c r="H901" s="7" t="s">
        <v>9</v>
      </c>
    </row>
    <row r="902" spans="1:8" ht="15" customHeight="1">
      <c r="A902" s="5">
        <v>900</v>
      </c>
      <c r="B902" s="6" t="str">
        <f>"黄权"</f>
        <v>黄权</v>
      </c>
      <c r="C902" s="6" t="str">
        <f t="shared" si="478"/>
        <v>男</v>
      </c>
      <c r="D902" s="6" t="str">
        <f>"1998-02-17"</f>
        <v>1998-02-17</v>
      </c>
      <c r="E902" s="6" t="str">
        <f t="shared" si="479"/>
        <v>本科</v>
      </c>
      <c r="F902" s="6" t="str">
        <f>"管理学学士"</f>
        <v>管理学学士</v>
      </c>
      <c r="G902" s="6" t="str">
        <f>"房地产开发与管理"</f>
        <v>房地产开发与管理</v>
      </c>
      <c r="H902" s="7" t="s">
        <v>9</v>
      </c>
    </row>
    <row r="903" spans="1:8" ht="15" customHeight="1">
      <c r="A903" s="5">
        <v>901</v>
      </c>
      <c r="B903" s="6" t="str">
        <f>"蓝畅"</f>
        <v>蓝畅</v>
      </c>
      <c r="C903" s="6" t="str">
        <f t="shared" si="480"/>
        <v>女</v>
      </c>
      <c r="D903" s="6" t="str">
        <f>"1994-03-27"</f>
        <v>1994-03-27</v>
      </c>
      <c r="E903" s="6" t="str">
        <f t="shared" si="479"/>
        <v>本科</v>
      </c>
      <c r="F903" s="6" t="str">
        <f>"文学学士"</f>
        <v>文学学士</v>
      </c>
      <c r="G903" s="6" t="str">
        <f aca="true" t="shared" si="481" ref="G903:G908">"汉语言文学"</f>
        <v>汉语言文学</v>
      </c>
      <c r="H903" s="7" t="s">
        <v>9</v>
      </c>
    </row>
    <row r="904" spans="1:8" ht="15" customHeight="1">
      <c r="A904" s="5">
        <v>902</v>
      </c>
      <c r="B904" s="6" t="str">
        <f>"王戈"</f>
        <v>王戈</v>
      </c>
      <c r="C904" s="6" t="str">
        <f t="shared" si="478"/>
        <v>男</v>
      </c>
      <c r="D904" s="6" t="str">
        <f>"1994-03-02"</f>
        <v>1994-03-02</v>
      </c>
      <c r="E904" s="6" t="str">
        <f>"全日制本科"</f>
        <v>全日制本科</v>
      </c>
      <c r="F904" s="6" t="str">
        <f>"工学学士"</f>
        <v>工学学士</v>
      </c>
      <c r="G904" s="6" t="str">
        <f>"计算机及科学与技术"</f>
        <v>计算机及科学与技术</v>
      </c>
      <c r="H904" s="7" t="s">
        <v>9</v>
      </c>
    </row>
    <row r="905" spans="1:8" ht="15" customHeight="1">
      <c r="A905" s="5">
        <v>903</v>
      </c>
      <c r="B905" s="6" t="str">
        <f>"叶欣媛"</f>
        <v>叶欣媛</v>
      </c>
      <c r="C905" s="6" t="str">
        <f t="shared" si="480"/>
        <v>女</v>
      </c>
      <c r="D905" s="6" t="str">
        <f>"1989-08-24"</f>
        <v>1989-08-24</v>
      </c>
      <c r="E905" s="6" t="str">
        <f>"大学本科学历"</f>
        <v>大学本科学历</v>
      </c>
      <c r="F905" s="6" t="str">
        <f>"汉语文文学学士"</f>
        <v>汉语文文学学士</v>
      </c>
      <c r="G905" s="6" t="str">
        <f t="shared" si="481"/>
        <v>汉语言文学</v>
      </c>
      <c r="H905" s="7" t="s">
        <v>9</v>
      </c>
    </row>
    <row r="906" spans="1:8" ht="15" customHeight="1">
      <c r="A906" s="5">
        <v>904</v>
      </c>
      <c r="B906" s="6" t="str">
        <f>"陈宥霖"</f>
        <v>陈宥霖</v>
      </c>
      <c r="C906" s="6" t="str">
        <f aca="true" t="shared" si="482" ref="C906:C910">"男"</f>
        <v>男</v>
      </c>
      <c r="D906" s="6" t="str">
        <f>"1998-08-09"</f>
        <v>1998-08-09</v>
      </c>
      <c r="E906" s="6" t="str">
        <f aca="true" t="shared" si="483" ref="E906:E908">"本科"</f>
        <v>本科</v>
      </c>
      <c r="F906" s="6" t="str">
        <f>"工学学士"</f>
        <v>工学学士</v>
      </c>
      <c r="G906" s="6" t="str">
        <f>"计算机科学与技术"</f>
        <v>计算机科学与技术</v>
      </c>
      <c r="H906" s="7" t="s">
        <v>9</v>
      </c>
    </row>
    <row r="907" spans="1:8" ht="15" customHeight="1">
      <c r="A907" s="5">
        <v>905</v>
      </c>
      <c r="B907" s="6" t="str">
        <f>"李海大"</f>
        <v>李海大</v>
      </c>
      <c r="C907" s="6" t="str">
        <f t="shared" si="482"/>
        <v>男</v>
      </c>
      <c r="D907" s="6" t="str">
        <f>"1999-09-08"</f>
        <v>1999-09-08</v>
      </c>
      <c r="E907" s="6" t="str">
        <f t="shared" si="483"/>
        <v>本科</v>
      </c>
      <c r="F907" s="6" t="str">
        <f>"农学学士"</f>
        <v>农学学士</v>
      </c>
      <c r="G907" s="6" t="str">
        <f>"海洋渔业科学与技术"</f>
        <v>海洋渔业科学与技术</v>
      </c>
      <c r="H907" s="7" t="s">
        <v>9</v>
      </c>
    </row>
    <row r="908" spans="1:8" ht="15" customHeight="1">
      <c r="A908" s="5">
        <v>906</v>
      </c>
      <c r="B908" s="6" t="str">
        <f>"廖雅"</f>
        <v>廖雅</v>
      </c>
      <c r="C908" s="6" t="str">
        <f aca="true" t="shared" si="484" ref="C908:C916">"女"</f>
        <v>女</v>
      </c>
      <c r="D908" s="6" t="str">
        <f>"2000-03-05"</f>
        <v>2000-03-05</v>
      </c>
      <c r="E908" s="6" t="str">
        <f t="shared" si="483"/>
        <v>本科</v>
      </c>
      <c r="F908" s="6" t="str">
        <f>"文学学士"</f>
        <v>文学学士</v>
      </c>
      <c r="G908" s="6" t="str">
        <f t="shared" si="481"/>
        <v>汉语言文学</v>
      </c>
      <c r="H908" s="7" t="s">
        <v>9</v>
      </c>
    </row>
    <row r="909" spans="1:8" ht="15" customHeight="1">
      <c r="A909" s="5">
        <v>907</v>
      </c>
      <c r="B909" s="6" t="str">
        <f>"唐贵海"</f>
        <v>唐贵海</v>
      </c>
      <c r="C909" s="6" t="str">
        <f t="shared" si="482"/>
        <v>男</v>
      </c>
      <c r="D909" s="6" t="str">
        <f>"1992-03-18"</f>
        <v>1992-03-18</v>
      </c>
      <c r="E909" s="6" t="str">
        <f>"大学本科"</f>
        <v>大学本科</v>
      </c>
      <c r="F909" s="6" t="str">
        <f>"农学学士学位"</f>
        <v>农学学士学位</v>
      </c>
      <c r="G909" s="6" t="str">
        <f>"植物保护"</f>
        <v>植物保护</v>
      </c>
      <c r="H909" s="7" t="s">
        <v>9</v>
      </c>
    </row>
    <row r="910" spans="1:8" ht="15" customHeight="1">
      <c r="A910" s="5">
        <v>908</v>
      </c>
      <c r="B910" s="6" t="str">
        <f>"蒋振廷"</f>
        <v>蒋振廷</v>
      </c>
      <c r="C910" s="6" t="str">
        <f t="shared" si="482"/>
        <v>男</v>
      </c>
      <c r="D910" s="6" t="str">
        <f>"1997-02-01"</f>
        <v>1997-02-01</v>
      </c>
      <c r="E910" s="6" t="str">
        <f>"研究生"</f>
        <v>研究生</v>
      </c>
      <c r="F910" s="6" t="str">
        <f>"农业硕士学位"</f>
        <v>农业硕士学位</v>
      </c>
      <c r="G910" s="6" t="str">
        <f>"渔业发展"</f>
        <v>渔业发展</v>
      </c>
      <c r="H910" s="7" t="s">
        <v>9</v>
      </c>
    </row>
    <row r="911" spans="1:8" ht="15" customHeight="1">
      <c r="A911" s="5">
        <v>909</v>
      </c>
      <c r="B911" s="6" t="str">
        <f>"罗红莹"</f>
        <v>罗红莹</v>
      </c>
      <c r="C911" s="6" t="str">
        <f t="shared" si="484"/>
        <v>女</v>
      </c>
      <c r="D911" s="6" t="str">
        <f>"1996-05-03"</f>
        <v>1996-05-03</v>
      </c>
      <c r="E911" s="6" t="str">
        <f>"大学本科学历"</f>
        <v>大学本科学历</v>
      </c>
      <c r="F911" s="6" t="str">
        <f>"文学学士"</f>
        <v>文学学士</v>
      </c>
      <c r="G911" s="6" t="str">
        <f>"汉语言文学（文秘）"</f>
        <v>汉语言文学（文秘）</v>
      </c>
      <c r="H911" s="7" t="s">
        <v>9</v>
      </c>
    </row>
    <row r="912" spans="1:8" ht="15" customHeight="1">
      <c r="A912" s="5">
        <v>910</v>
      </c>
      <c r="B912" s="6" t="str">
        <f>"曾家佳"</f>
        <v>曾家佳</v>
      </c>
      <c r="C912" s="6" t="str">
        <f>"男"</f>
        <v>男</v>
      </c>
      <c r="D912" s="6" t="str">
        <f>"1993-09-22"</f>
        <v>1993-09-22</v>
      </c>
      <c r="E912" s="6" t="str">
        <f aca="true" t="shared" si="485" ref="E912:E914">"本科"</f>
        <v>本科</v>
      </c>
      <c r="F912" s="6" t="str">
        <f aca="true" t="shared" si="486" ref="F912:F914">"管理学学士"</f>
        <v>管理学学士</v>
      </c>
      <c r="G912" s="6" t="str">
        <f>"市场营销"</f>
        <v>市场营销</v>
      </c>
      <c r="H912" s="7" t="s">
        <v>9</v>
      </c>
    </row>
    <row r="913" spans="1:8" ht="15" customHeight="1">
      <c r="A913" s="5">
        <v>911</v>
      </c>
      <c r="B913" s="6" t="str">
        <f>"吴碧香"</f>
        <v>吴碧香</v>
      </c>
      <c r="C913" s="6" t="str">
        <f t="shared" si="484"/>
        <v>女</v>
      </c>
      <c r="D913" s="6" t="str">
        <f>"1995-09-11"</f>
        <v>1995-09-11</v>
      </c>
      <c r="E913" s="6" t="str">
        <f t="shared" si="485"/>
        <v>本科</v>
      </c>
      <c r="F913" s="6" t="str">
        <f t="shared" si="486"/>
        <v>管理学学士</v>
      </c>
      <c r="G913" s="6" t="str">
        <f>"酒店管理"</f>
        <v>酒店管理</v>
      </c>
      <c r="H913" s="7" t="s">
        <v>9</v>
      </c>
    </row>
    <row r="914" spans="1:8" ht="15" customHeight="1">
      <c r="A914" s="5">
        <v>912</v>
      </c>
      <c r="B914" s="6" t="str">
        <f>"卢雪慧"</f>
        <v>卢雪慧</v>
      </c>
      <c r="C914" s="6" t="str">
        <f t="shared" si="484"/>
        <v>女</v>
      </c>
      <c r="D914" s="6" t="str">
        <f>"2000-11-18"</f>
        <v>2000-11-18</v>
      </c>
      <c r="E914" s="6" t="str">
        <f t="shared" si="485"/>
        <v>本科</v>
      </c>
      <c r="F914" s="6" t="str">
        <f t="shared" si="486"/>
        <v>管理学学士</v>
      </c>
      <c r="G914" s="6" t="str">
        <f>"财务管理"</f>
        <v>财务管理</v>
      </c>
      <c r="H914" s="7" t="s">
        <v>9</v>
      </c>
    </row>
    <row r="915" spans="1:8" ht="15" customHeight="1">
      <c r="A915" s="5">
        <v>913</v>
      </c>
      <c r="B915" s="6" t="str">
        <f>"梁美静 "</f>
        <v>梁美静 </v>
      </c>
      <c r="C915" s="6" t="str">
        <f t="shared" si="484"/>
        <v>女</v>
      </c>
      <c r="D915" s="6" t="str">
        <f>"1999-07-17"</f>
        <v>1999-07-17</v>
      </c>
      <c r="E915" s="6" t="str">
        <f>"大学本科"</f>
        <v>大学本科</v>
      </c>
      <c r="F915" s="6" t="str">
        <f aca="true" t="shared" si="487" ref="F915:F918">"工学学士"</f>
        <v>工学学士</v>
      </c>
      <c r="G915" s="6" t="str">
        <f>"土木工程"</f>
        <v>土木工程</v>
      </c>
      <c r="H915" s="7" t="s">
        <v>9</v>
      </c>
    </row>
    <row r="916" spans="1:8" ht="15" customHeight="1">
      <c r="A916" s="5">
        <v>914</v>
      </c>
      <c r="B916" s="6" t="str">
        <f>"苏晓童"</f>
        <v>苏晓童</v>
      </c>
      <c r="C916" s="6" t="str">
        <f t="shared" si="484"/>
        <v>女</v>
      </c>
      <c r="D916" s="6" t="str">
        <f>"1998-11-04"</f>
        <v>1998-11-04</v>
      </c>
      <c r="E916" s="6" t="str">
        <f aca="true" t="shared" si="488" ref="E916:E919">"本科"</f>
        <v>本科</v>
      </c>
      <c r="F916" s="6" t="str">
        <f aca="true" t="shared" si="489" ref="F916:F924">"管理学学士"</f>
        <v>管理学学士</v>
      </c>
      <c r="G916" s="6" t="str">
        <f>"会计学"</f>
        <v>会计学</v>
      </c>
      <c r="H916" s="7" t="s">
        <v>9</v>
      </c>
    </row>
    <row r="917" spans="1:8" ht="15" customHeight="1">
      <c r="A917" s="5">
        <v>915</v>
      </c>
      <c r="B917" s="6" t="str">
        <f>"袁浩"</f>
        <v>袁浩</v>
      </c>
      <c r="C917" s="6" t="str">
        <f aca="true" t="shared" si="490" ref="C917:C921">"男"</f>
        <v>男</v>
      </c>
      <c r="D917" s="6" t="str">
        <f>"1997-02-22"</f>
        <v>1997-02-22</v>
      </c>
      <c r="E917" s="6" t="str">
        <f t="shared" si="488"/>
        <v>本科</v>
      </c>
      <c r="F917" s="6" t="str">
        <f t="shared" si="487"/>
        <v>工学学士</v>
      </c>
      <c r="G917" s="6" t="str">
        <f>"计算机科学与技术"</f>
        <v>计算机科学与技术</v>
      </c>
      <c r="H917" s="7" t="s">
        <v>9</v>
      </c>
    </row>
    <row r="918" spans="1:8" ht="15" customHeight="1">
      <c r="A918" s="5">
        <v>916</v>
      </c>
      <c r="B918" s="6" t="str">
        <f>"吴启皇"</f>
        <v>吴启皇</v>
      </c>
      <c r="C918" s="6" t="str">
        <f t="shared" si="490"/>
        <v>男</v>
      </c>
      <c r="D918" s="6" t="str">
        <f>"2001-12-08"</f>
        <v>2001-12-08</v>
      </c>
      <c r="E918" s="6" t="str">
        <f>"大学本科"</f>
        <v>大学本科</v>
      </c>
      <c r="F918" s="6" t="str">
        <f t="shared" si="487"/>
        <v>工学学士</v>
      </c>
      <c r="G918" s="6" t="str">
        <f>"计算机科学与技术"</f>
        <v>计算机科学与技术</v>
      </c>
      <c r="H918" s="7" t="s">
        <v>9</v>
      </c>
    </row>
    <row r="919" spans="1:8" ht="15" customHeight="1">
      <c r="A919" s="5">
        <v>917</v>
      </c>
      <c r="B919" s="6" t="str">
        <f>"黎月桂"</f>
        <v>黎月桂</v>
      </c>
      <c r="C919" s="6" t="str">
        <f aca="true" t="shared" si="491" ref="C919:C927">"女"</f>
        <v>女</v>
      </c>
      <c r="D919" s="6" t="str">
        <f>"1998-04-21"</f>
        <v>1998-04-21</v>
      </c>
      <c r="E919" s="6" t="str">
        <f t="shared" si="488"/>
        <v>本科</v>
      </c>
      <c r="F919" s="6" t="str">
        <f>"工学士学"</f>
        <v>工学士学</v>
      </c>
      <c r="G919" s="6" t="str">
        <f>"建筑学"</f>
        <v>建筑学</v>
      </c>
      <c r="H919" s="7" t="s">
        <v>9</v>
      </c>
    </row>
    <row r="920" spans="1:8" ht="15" customHeight="1">
      <c r="A920" s="5">
        <v>918</v>
      </c>
      <c r="B920" s="6" t="str">
        <f>"彭翎"</f>
        <v>彭翎</v>
      </c>
      <c r="C920" s="6" t="str">
        <f t="shared" si="491"/>
        <v>女</v>
      </c>
      <c r="D920" s="6" t="str">
        <f>"1994-05-07"</f>
        <v>1994-05-07</v>
      </c>
      <c r="E920" s="6" t="str">
        <f>"大学本科学历"</f>
        <v>大学本科学历</v>
      </c>
      <c r="F920" s="6" t="str">
        <f t="shared" si="489"/>
        <v>管理学学士</v>
      </c>
      <c r="G920" s="6" t="str">
        <f>"公共事业管理"</f>
        <v>公共事业管理</v>
      </c>
      <c r="H920" s="7" t="s">
        <v>9</v>
      </c>
    </row>
    <row r="921" spans="1:8" ht="15" customHeight="1">
      <c r="A921" s="5">
        <v>919</v>
      </c>
      <c r="B921" s="6" t="str">
        <f>"龙登霄"</f>
        <v>龙登霄</v>
      </c>
      <c r="C921" s="6" t="str">
        <f t="shared" si="490"/>
        <v>男</v>
      </c>
      <c r="D921" s="6" t="str">
        <f>"2000-07-21"</f>
        <v>2000-07-21</v>
      </c>
      <c r="E921" s="6" t="str">
        <f>"大学本科"</f>
        <v>大学本科</v>
      </c>
      <c r="F921" s="6" t="str">
        <f t="shared" si="489"/>
        <v>管理学学士</v>
      </c>
      <c r="G921" s="6" t="str">
        <f>"电子商务"</f>
        <v>电子商务</v>
      </c>
      <c r="H921" s="7" t="s">
        <v>9</v>
      </c>
    </row>
    <row r="922" spans="1:8" ht="15" customHeight="1">
      <c r="A922" s="5">
        <v>920</v>
      </c>
      <c r="B922" s="6" t="str">
        <f>"陈玉彩"</f>
        <v>陈玉彩</v>
      </c>
      <c r="C922" s="6" t="str">
        <f t="shared" si="491"/>
        <v>女</v>
      </c>
      <c r="D922" s="6" t="str">
        <f>"1990-11-22"</f>
        <v>1990-11-22</v>
      </c>
      <c r="E922" s="6" t="str">
        <f aca="true" t="shared" si="492" ref="E922:E924">"本科"</f>
        <v>本科</v>
      </c>
      <c r="F922" s="6" t="str">
        <f t="shared" si="489"/>
        <v>管理学学士</v>
      </c>
      <c r="G922" s="6" t="str">
        <f>"人力资源管理"</f>
        <v>人力资源管理</v>
      </c>
      <c r="H922" s="7" t="s">
        <v>9</v>
      </c>
    </row>
    <row r="923" spans="1:8" ht="15" customHeight="1">
      <c r="A923" s="5">
        <v>921</v>
      </c>
      <c r="B923" s="6" t="str">
        <f>"郑玉"</f>
        <v>郑玉</v>
      </c>
      <c r="C923" s="6" t="str">
        <f t="shared" si="491"/>
        <v>女</v>
      </c>
      <c r="D923" s="6" t="str">
        <f>"1999-05-24"</f>
        <v>1999-05-24</v>
      </c>
      <c r="E923" s="6" t="str">
        <f t="shared" si="492"/>
        <v>本科</v>
      </c>
      <c r="F923" s="6" t="str">
        <f t="shared" si="489"/>
        <v>管理学学士</v>
      </c>
      <c r="G923" s="6" t="str">
        <f>"行政管理"</f>
        <v>行政管理</v>
      </c>
      <c r="H923" s="7" t="s">
        <v>9</v>
      </c>
    </row>
    <row r="924" spans="1:8" ht="15" customHeight="1">
      <c r="A924" s="5">
        <v>922</v>
      </c>
      <c r="B924" s="6" t="str">
        <f>"高雪龄"</f>
        <v>高雪龄</v>
      </c>
      <c r="C924" s="6" t="str">
        <f t="shared" si="491"/>
        <v>女</v>
      </c>
      <c r="D924" s="6" t="str">
        <f>"1999-11-02"</f>
        <v>1999-11-02</v>
      </c>
      <c r="E924" s="6" t="str">
        <f t="shared" si="492"/>
        <v>本科</v>
      </c>
      <c r="F924" s="6" t="str">
        <f t="shared" si="489"/>
        <v>管理学学士</v>
      </c>
      <c r="G924" s="6" t="str">
        <f>"旅游管理"</f>
        <v>旅游管理</v>
      </c>
      <c r="H924" s="7" t="s">
        <v>9</v>
      </c>
    </row>
    <row r="925" spans="1:8" ht="15" customHeight="1">
      <c r="A925" s="5">
        <v>923</v>
      </c>
      <c r="B925" s="6" t="str">
        <f>"许小娜"</f>
        <v>许小娜</v>
      </c>
      <c r="C925" s="6" t="str">
        <f t="shared" si="491"/>
        <v>女</v>
      </c>
      <c r="D925" s="6" t="str">
        <f>"1997-03-22"</f>
        <v>1997-03-22</v>
      </c>
      <c r="E925" s="6" t="str">
        <f>"大学本科"</f>
        <v>大学本科</v>
      </c>
      <c r="F925" s="6" t="str">
        <f>"管理学学士学位"</f>
        <v>管理学学士学位</v>
      </c>
      <c r="G925" s="6" t="str">
        <f>"财务管理"</f>
        <v>财务管理</v>
      </c>
      <c r="H925" s="7" t="s">
        <v>9</v>
      </c>
    </row>
    <row r="926" spans="1:8" ht="15" customHeight="1">
      <c r="A926" s="5">
        <v>924</v>
      </c>
      <c r="B926" s="6" t="str">
        <f>"曾妃"</f>
        <v>曾妃</v>
      </c>
      <c r="C926" s="6" t="str">
        <f t="shared" si="491"/>
        <v>女</v>
      </c>
      <c r="D926" s="6" t="str">
        <f>"1992-05-23"</f>
        <v>1992-05-23</v>
      </c>
      <c r="E926" s="6" t="str">
        <f aca="true" t="shared" si="493" ref="E926:E928">"本科"</f>
        <v>本科</v>
      </c>
      <c r="F926" s="6" t="str">
        <f aca="true" t="shared" si="494" ref="F926:F930">"学士"</f>
        <v>学士</v>
      </c>
      <c r="G926" s="6" t="str">
        <f>"环境工程"</f>
        <v>环境工程</v>
      </c>
      <c r="H926" s="7" t="s">
        <v>9</v>
      </c>
    </row>
    <row r="927" spans="1:8" ht="15" customHeight="1">
      <c r="A927" s="5">
        <v>925</v>
      </c>
      <c r="B927" s="6" t="str">
        <f>"符梦茹"</f>
        <v>符梦茹</v>
      </c>
      <c r="C927" s="6" t="str">
        <f t="shared" si="491"/>
        <v>女</v>
      </c>
      <c r="D927" s="6" t="str">
        <f>"1998-04-14"</f>
        <v>1998-04-14</v>
      </c>
      <c r="E927" s="6" t="str">
        <f t="shared" si="493"/>
        <v>本科</v>
      </c>
      <c r="F927" s="6" t="str">
        <f t="shared" si="494"/>
        <v>学士</v>
      </c>
      <c r="G927" s="6" t="str">
        <f>"旅游管理专业"</f>
        <v>旅游管理专业</v>
      </c>
      <c r="H927" s="7" t="s">
        <v>9</v>
      </c>
    </row>
    <row r="928" spans="1:8" ht="15" customHeight="1">
      <c r="A928" s="5">
        <v>926</v>
      </c>
      <c r="B928" s="6" t="str">
        <f>"王所文"</f>
        <v>王所文</v>
      </c>
      <c r="C928" s="6" t="str">
        <f aca="true" t="shared" si="495" ref="C928:C933">"男"</f>
        <v>男</v>
      </c>
      <c r="D928" s="6" t="str">
        <f>"1989-11-16"</f>
        <v>1989-11-16</v>
      </c>
      <c r="E928" s="6" t="str">
        <f t="shared" si="493"/>
        <v>本科</v>
      </c>
      <c r="F928" s="6" t="str">
        <f>"农学学士"</f>
        <v>农学学士</v>
      </c>
      <c r="G928" s="6" t="str">
        <f>"园林"</f>
        <v>园林</v>
      </c>
      <c r="H928" s="7" t="s">
        <v>9</v>
      </c>
    </row>
    <row r="929" spans="1:8" ht="15" customHeight="1">
      <c r="A929" s="5">
        <v>927</v>
      </c>
      <c r="B929" s="6" t="str">
        <f>"韦晶晶"</f>
        <v>韦晶晶</v>
      </c>
      <c r="C929" s="6" t="str">
        <f aca="true" t="shared" si="496" ref="C929:C932">"女"</f>
        <v>女</v>
      </c>
      <c r="D929" s="6" t="str">
        <f>"1996-08-12"</f>
        <v>1996-08-12</v>
      </c>
      <c r="E929" s="6" t="str">
        <f>"大学本科"</f>
        <v>大学本科</v>
      </c>
      <c r="F929" s="6" t="str">
        <f aca="true" t="shared" si="497" ref="F929:F933">"工学学士"</f>
        <v>工学学士</v>
      </c>
      <c r="G929" s="6" t="str">
        <f>"建筑环境与能源应用工程"</f>
        <v>建筑环境与能源应用工程</v>
      </c>
      <c r="H929" s="7" t="s">
        <v>9</v>
      </c>
    </row>
    <row r="930" spans="1:8" ht="15" customHeight="1">
      <c r="A930" s="5">
        <v>928</v>
      </c>
      <c r="B930" s="6" t="str">
        <f>"林秀霞"</f>
        <v>林秀霞</v>
      </c>
      <c r="C930" s="6" t="str">
        <f t="shared" si="496"/>
        <v>女</v>
      </c>
      <c r="D930" s="6" t="str">
        <f>"1997-08-15"</f>
        <v>1997-08-15</v>
      </c>
      <c r="E930" s="6" t="str">
        <f aca="true" t="shared" si="498" ref="E930:E932">"本科"</f>
        <v>本科</v>
      </c>
      <c r="F930" s="6" t="str">
        <f t="shared" si="494"/>
        <v>学士</v>
      </c>
      <c r="G930" s="6" t="str">
        <f>"工商管理"</f>
        <v>工商管理</v>
      </c>
      <c r="H930" s="7" t="s">
        <v>9</v>
      </c>
    </row>
    <row r="931" spans="1:8" ht="15" customHeight="1">
      <c r="A931" s="5">
        <v>929</v>
      </c>
      <c r="B931" s="6" t="str">
        <f>"洪全"</f>
        <v>洪全</v>
      </c>
      <c r="C931" s="6" t="str">
        <f t="shared" si="495"/>
        <v>男</v>
      </c>
      <c r="D931" s="6" t="str">
        <f>"1998-01-03"</f>
        <v>1998-01-03</v>
      </c>
      <c r="E931" s="6" t="str">
        <f t="shared" si="498"/>
        <v>本科</v>
      </c>
      <c r="F931" s="6" t="str">
        <f t="shared" si="497"/>
        <v>工学学士</v>
      </c>
      <c r="G931" s="6" t="str">
        <f>"环境工程"</f>
        <v>环境工程</v>
      </c>
      <c r="H931" s="7" t="s">
        <v>9</v>
      </c>
    </row>
    <row r="932" spans="1:8" ht="15" customHeight="1">
      <c r="A932" s="5">
        <v>930</v>
      </c>
      <c r="B932" s="6" t="str">
        <f>"梁华秀"</f>
        <v>梁华秀</v>
      </c>
      <c r="C932" s="6" t="str">
        <f t="shared" si="496"/>
        <v>女</v>
      </c>
      <c r="D932" s="6" t="str">
        <f>"2000-07-06"</f>
        <v>2000-07-06</v>
      </c>
      <c r="E932" s="6" t="str">
        <f t="shared" si="498"/>
        <v>本科</v>
      </c>
      <c r="F932" s="6" t="str">
        <f>"学士"</f>
        <v>学士</v>
      </c>
      <c r="G932" s="6" t="str">
        <f>"健康服务与管理"</f>
        <v>健康服务与管理</v>
      </c>
      <c r="H932" s="7" t="s">
        <v>9</v>
      </c>
    </row>
    <row r="933" spans="1:8" ht="15" customHeight="1">
      <c r="A933" s="5">
        <v>931</v>
      </c>
      <c r="B933" s="6" t="str">
        <f>"李学"</f>
        <v>李学</v>
      </c>
      <c r="C933" s="6" t="str">
        <f t="shared" si="495"/>
        <v>男</v>
      </c>
      <c r="D933" s="6" t="str">
        <f>"1999-11-28"</f>
        <v>1999-11-28</v>
      </c>
      <c r="E933" s="6" t="str">
        <f>"大学本科学历"</f>
        <v>大学本科学历</v>
      </c>
      <c r="F933" s="6" t="str">
        <f t="shared" si="497"/>
        <v>工学学士</v>
      </c>
      <c r="G933" s="6" t="str">
        <f>"建筑环境与能源应用工程"</f>
        <v>建筑环境与能源应用工程</v>
      </c>
      <c r="H933" s="7" t="s">
        <v>9</v>
      </c>
    </row>
    <row r="934" spans="1:8" ht="15" customHeight="1">
      <c r="A934" s="5">
        <v>932</v>
      </c>
      <c r="B934" s="6" t="str">
        <f>"黎梅霞"</f>
        <v>黎梅霞</v>
      </c>
      <c r="C934" s="6" t="str">
        <f aca="true" t="shared" si="499" ref="C934:C936">"女"</f>
        <v>女</v>
      </c>
      <c r="D934" s="6" t="str">
        <f>"1997-07-23"</f>
        <v>1997-07-23</v>
      </c>
      <c r="E934" s="6" t="str">
        <f aca="true" t="shared" si="500" ref="E934:E937">"本科"</f>
        <v>本科</v>
      </c>
      <c r="F934" s="6" t="str">
        <f aca="true" t="shared" si="501" ref="F934:F938">"管理学学士"</f>
        <v>管理学学士</v>
      </c>
      <c r="G934" s="6" t="str">
        <f>"市场营销"</f>
        <v>市场营销</v>
      </c>
      <c r="H934" s="7" t="s">
        <v>9</v>
      </c>
    </row>
    <row r="935" spans="1:8" ht="15" customHeight="1">
      <c r="A935" s="5">
        <v>933</v>
      </c>
      <c r="B935" s="6" t="str">
        <f>"张敏"</f>
        <v>张敏</v>
      </c>
      <c r="C935" s="6" t="str">
        <f t="shared" si="499"/>
        <v>女</v>
      </c>
      <c r="D935" s="6" t="str">
        <f>"1999-03-27"</f>
        <v>1999-03-27</v>
      </c>
      <c r="E935" s="6" t="str">
        <f t="shared" si="500"/>
        <v>本科</v>
      </c>
      <c r="F935" s="6" t="str">
        <f t="shared" si="501"/>
        <v>管理学学士</v>
      </c>
      <c r="G935" s="6" t="str">
        <f>"电子商务"</f>
        <v>电子商务</v>
      </c>
      <c r="H935" s="7" t="s">
        <v>9</v>
      </c>
    </row>
    <row r="936" spans="1:8" ht="15" customHeight="1">
      <c r="A936" s="5">
        <v>934</v>
      </c>
      <c r="B936" s="6" t="str">
        <f>"许茗茸"</f>
        <v>许茗茸</v>
      </c>
      <c r="C936" s="6" t="str">
        <f t="shared" si="499"/>
        <v>女</v>
      </c>
      <c r="D936" s="6" t="str">
        <f>"1991-02-27"</f>
        <v>1991-02-27</v>
      </c>
      <c r="E936" s="6" t="str">
        <f t="shared" si="500"/>
        <v>本科</v>
      </c>
      <c r="F936" s="6" t="str">
        <f t="shared" si="501"/>
        <v>管理学学士</v>
      </c>
      <c r="G936" s="6" t="str">
        <f>"人力资源管理"</f>
        <v>人力资源管理</v>
      </c>
      <c r="H936" s="7" t="s">
        <v>9</v>
      </c>
    </row>
    <row r="937" spans="1:8" ht="15" customHeight="1">
      <c r="A937" s="5">
        <v>935</v>
      </c>
      <c r="B937" s="6" t="str">
        <f>"文超"</f>
        <v>文超</v>
      </c>
      <c r="C937" s="6" t="str">
        <f aca="true" t="shared" si="502" ref="C937:C946">"男"</f>
        <v>男</v>
      </c>
      <c r="D937" s="6" t="str">
        <f>"1998-12-15"</f>
        <v>1998-12-15</v>
      </c>
      <c r="E937" s="6" t="str">
        <f t="shared" si="500"/>
        <v>本科</v>
      </c>
      <c r="F937" s="6" t="str">
        <f t="shared" si="501"/>
        <v>管理学学士</v>
      </c>
      <c r="G937" s="6" t="str">
        <f>"土地资源管理"</f>
        <v>土地资源管理</v>
      </c>
      <c r="H937" s="7" t="s">
        <v>9</v>
      </c>
    </row>
    <row r="938" spans="1:8" ht="15" customHeight="1">
      <c r="A938" s="5">
        <v>936</v>
      </c>
      <c r="B938" s="6" t="str">
        <f>"符信女"</f>
        <v>符信女</v>
      </c>
      <c r="C938" s="6" t="str">
        <f>"女"</f>
        <v>女</v>
      </c>
      <c r="D938" s="6" t="str">
        <f>"1992-04-10"</f>
        <v>1992-04-10</v>
      </c>
      <c r="E938" s="6" t="str">
        <f>"大学本科"</f>
        <v>大学本科</v>
      </c>
      <c r="F938" s="6" t="str">
        <f t="shared" si="501"/>
        <v>管理学学士</v>
      </c>
      <c r="G938" s="6" t="str">
        <f>"信息管理与信息系统"</f>
        <v>信息管理与信息系统</v>
      </c>
      <c r="H938" s="7" t="s">
        <v>9</v>
      </c>
    </row>
    <row r="939" spans="1:8" ht="15" customHeight="1">
      <c r="A939" s="5">
        <v>937</v>
      </c>
      <c r="B939" s="6" t="str">
        <f>"全正君"</f>
        <v>全正君</v>
      </c>
      <c r="C939" s="6" t="str">
        <f t="shared" si="502"/>
        <v>男</v>
      </c>
      <c r="D939" s="6" t="str">
        <f>"1988-10-01"</f>
        <v>1988-10-01</v>
      </c>
      <c r="E939" s="6" t="str">
        <f aca="true" t="shared" si="503" ref="E939:E944">"本科"</f>
        <v>本科</v>
      </c>
      <c r="F939" s="6" t="str">
        <f>"管理学"</f>
        <v>管理学</v>
      </c>
      <c r="G939" s="6" t="str">
        <f>"物流管理"</f>
        <v>物流管理</v>
      </c>
      <c r="H939" s="7" t="s">
        <v>9</v>
      </c>
    </row>
    <row r="940" spans="1:8" ht="15" customHeight="1">
      <c r="A940" s="5">
        <v>938</v>
      </c>
      <c r="B940" s="6" t="str">
        <f>"唐丹殿"</f>
        <v>唐丹殿</v>
      </c>
      <c r="C940" s="6" t="str">
        <f>"女"</f>
        <v>女</v>
      </c>
      <c r="D940" s="6" t="str">
        <f>"1991-08-05"</f>
        <v>1991-08-05</v>
      </c>
      <c r="E940" s="6" t="str">
        <f t="shared" si="503"/>
        <v>本科</v>
      </c>
      <c r="F940" s="6" t="str">
        <f>"管理学士"</f>
        <v>管理学士</v>
      </c>
      <c r="G940" s="6" t="str">
        <f>"旅游管理专业"</f>
        <v>旅游管理专业</v>
      </c>
      <c r="H940" s="7" t="s">
        <v>9</v>
      </c>
    </row>
    <row r="941" spans="1:8" ht="15" customHeight="1">
      <c r="A941" s="5">
        <v>939</v>
      </c>
      <c r="B941" s="6" t="str">
        <f>"温为捷"</f>
        <v>温为捷</v>
      </c>
      <c r="C941" s="6" t="str">
        <f t="shared" si="502"/>
        <v>男</v>
      </c>
      <c r="D941" s="6" t="str">
        <f>"2000-08-28"</f>
        <v>2000-08-28</v>
      </c>
      <c r="E941" s="6" t="str">
        <f t="shared" si="503"/>
        <v>本科</v>
      </c>
      <c r="F941" s="6" t="str">
        <f>"农学学士"</f>
        <v>农学学士</v>
      </c>
      <c r="G941" s="6" t="str">
        <f>"动物医学"</f>
        <v>动物医学</v>
      </c>
      <c r="H941" s="7" t="s">
        <v>9</v>
      </c>
    </row>
    <row r="942" spans="1:8" ht="15" customHeight="1">
      <c r="A942" s="5">
        <v>940</v>
      </c>
      <c r="B942" s="6" t="str">
        <f>"陈学辉"</f>
        <v>陈学辉</v>
      </c>
      <c r="C942" s="6" t="str">
        <f t="shared" si="502"/>
        <v>男</v>
      </c>
      <c r="D942" s="6" t="str">
        <f>"1998-09-12"</f>
        <v>1998-09-12</v>
      </c>
      <c r="E942" s="6" t="str">
        <f t="shared" si="503"/>
        <v>本科</v>
      </c>
      <c r="F942" s="6" t="str">
        <f>"管理学士学位"</f>
        <v>管理学士学位</v>
      </c>
      <c r="G942" s="6" t="str">
        <f>"工程管理"</f>
        <v>工程管理</v>
      </c>
      <c r="H942" s="7" t="s">
        <v>9</v>
      </c>
    </row>
    <row r="943" spans="1:8" ht="15" customHeight="1">
      <c r="A943" s="5">
        <v>941</v>
      </c>
      <c r="B943" s="6" t="str">
        <f>"蔡亲宝"</f>
        <v>蔡亲宝</v>
      </c>
      <c r="C943" s="6" t="str">
        <f t="shared" si="502"/>
        <v>男</v>
      </c>
      <c r="D943" s="6" t="str">
        <f>"1996-10-30"</f>
        <v>1996-10-30</v>
      </c>
      <c r="E943" s="6" t="str">
        <f t="shared" si="503"/>
        <v>本科</v>
      </c>
      <c r="F943" s="6" t="str">
        <f>"农学学士"</f>
        <v>农学学士</v>
      </c>
      <c r="G943" s="6" t="str">
        <f>"动物科学"</f>
        <v>动物科学</v>
      </c>
      <c r="H943" s="7" t="s">
        <v>9</v>
      </c>
    </row>
    <row r="944" spans="1:8" ht="15" customHeight="1">
      <c r="A944" s="5">
        <v>942</v>
      </c>
      <c r="B944" s="6" t="str">
        <f>"杨坤"</f>
        <v>杨坤</v>
      </c>
      <c r="C944" s="6" t="str">
        <f t="shared" si="502"/>
        <v>男</v>
      </c>
      <c r="D944" s="6" t="str">
        <f>"1998-10-13"</f>
        <v>1998-10-13</v>
      </c>
      <c r="E944" s="6" t="str">
        <f t="shared" si="503"/>
        <v>本科</v>
      </c>
      <c r="F944" s="6" t="str">
        <f aca="true" t="shared" si="504" ref="F944:F948">"管理学学士"</f>
        <v>管理学学士</v>
      </c>
      <c r="G944" s="6" t="str">
        <f>"人力资源管理"</f>
        <v>人力资源管理</v>
      </c>
      <c r="H944" s="7" t="s">
        <v>9</v>
      </c>
    </row>
    <row r="945" spans="1:8" ht="15" customHeight="1">
      <c r="A945" s="5">
        <v>943</v>
      </c>
      <c r="B945" s="6" t="str">
        <f>"李奇宪"</f>
        <v>李奇宪</v>
      </c>
      <c r="C945" s="6" t="str">
        <f t="shared" si="502"/>
        <v>男</v>
      </c>
      <c r="D945" s="6" t="str">
        <f>"2001-05-21"</f>
        <v>2001-05-21</v>
      </c>
      <c r="E945" s="6" t="str">
        <f>"大学本科"</f>
        <v>大学本科</v>
      </c>
      <c r="F945" s="6" t="str">
        <f>"管理学学生"</f>
        <v>管理学学生</v>
      </c>
      <c r="G945" s="6" t="str">
        <f>"物流管理"</f>
        <v>物流管理</v>
      </c>
      <c r="H945" s="7" t="s">
        <v>9</v>
      </c>
    </row>
    <row r="946" spans="1:8" ht="15" customHeight="1">
      <c r="A946" s="5">
        <v>944</v>
      </c>
      <c r="B946" s="6" t="str">
        <f>"何兴华"</f>
        <v>何兴华</v>
      </c>
      <c r="C946" s="6" t="str">
        <f t="shared" si="502"/>
        <v>男</v>
      </c>
      <c r="D946" s="6" t="str">
        <f>"1996-10-26"</f>
        <v>1996-10-26</v>
      </c>
      <c r="E946" s="6" t="str">
        <f aca="true" t="shared" si="505" ref="E946:E952">"本科"</f>
        <v>本科</v>
      </c>
      <c r="F946" s="6" t="str">
        <f t="shared" si="504"/>
        <v>管理学学士</v>
      </c>
      <c r="G946" s="6" t="str">
        <f>"物流管理"</f>
        <v>物流管理</v>
      </c>
      <c r="H946" s="7" t="s">
        <v>9</v>
      </c>
    </row>
    <row r="947" spans="1:8" ht="15" customHeight="1">
      <c r="A947" s="5">
        <v>945</v>
      </c>
      <c r="B947" s="6" t="str">
        <f>"邓丽丽"</f>
        <v>邓丽丽</v>
      </c>
      <c r="C947" s="6" t="str">
        <f aca="true" t="shared" si="506" ref="C947:C952">"女"</f>
        <v>女</v>
      </c>
      <c r="D947" s="6" t="str">
        <f>"1992-09-25"</f>
        <v>1992-09-25</v>
      </c>
      <c r="E947" s="6" t="str">
        <f>"大学本科"</f>
        <v>大学本科</v>
      </c>
      <c r="F947" s="6" t="str">
        <f t="shared" si="504"/>
        <v>管理学学士</v>
      </c>
      <c r="G947" s="6" t="str">
        <f>"会计学"</f>
        <v>会计学</v>
      </c>
      <c r="H947" s="7" t="s">
        <v>9</v>
      </c>
    </row>
    <row r="948" spans="1:8" ht="15" customHeight="1">
      <c r="A948" s="5">
        <v>946</v>
      </c>
      <c r="B948" s="6" t="str">
        <f>"符谙潇"</f>
        <v>符谙潇</v>
      </c>
      <c r="C948" s="6" t="str">
        <f t="shared" si="506"/>
        <v>女</v>
      </c>
      <c r="D948" s="6" t="str">
        <f>"1995-06-23"</f>
        <v>1995-06-23</v>
      </c>
      <c r="E948" s="6" t="str">
        <f t="shared" si="505"/>
        <v>本科</v>
      </c>
      <c r="F948" s="6" t="str">
        <f t="shared" si="504"/>
        <v>管理学学士</v>
      </c>
      <c r="G948" s="6" t="str">
        <f>"旅游管理"</f>
        <v>旅游管理</v>
      </c>
      <c r="H948" s="7" t="s">
        <v>9</v>
      </c>
    </row>
    <row r="949" spans="1:8" ht="15" customHeight="1">
      <c r="A949" s="5">
        <v>947</v>
      </c>
      <c r="B949" s="6" t="str">
        <f>"陈向"</f>
        <v>陈向</v>
      </c>
      <c r="C949" s="6" t="str">
        <f aca="true" t="shared" si="507" ref="C949:C954">"男"</f>
        <v>男</v>
      </c>
      <c r="D949" s="6" t="str">
        <f>"1998-05-26"</f>
        <v>1998-05-26</v>
      </c>
      <c r="E949" s="6" t="str">
        <f t="shared" si="505"/>
        <v>本科</v>
      </c>
      <c r="F949" s="6" t="str">
        <f aca="true" t="shared" si="508" ref="F949:F954">"工学学士"</f>
        <v>工学学士</v>
      </c>
      <c r="G949" s="6" t="str">
        <f>"计算机科学与技术"</f>
        <v>计算机科学与技术</v>
      </c>
      <c r="H949" s="7" t="s">
        <v>9</v>
      </c>
    </row>
    <row r="950" spans="1:8" ht="15" customHeight="1">
      <c r="A950" s="5">
        <v>948</v>
      </c>
      <c r="B950" s="6" t="str">
        <f>"王红妹"</f>
        <v>王红妹</v>
      </c>
      <c r="C950" s="6" t="str">
        <f t="shared" si="506"/>
        <v>女</v>
      </c>
      <c r="D950" s="6" t="str">
        <f>"1995-12-30"</f>
        <v>1995-12-30</v>
      </c>
      <c r="E950" s="6" t="str">
        <f t="shared" si="505"/>
        <v>本科</v>
      </c>
      <c r="F950" s="6" t="str">
        <f>"农学学士"</f>
        <v>农学学士</v>
      </c>
      <c r="G950" s="6" t="str">
        <f>"园艺"</f>
        <v>园艺</v>
      </c>
      <c r="H950" s="7" t="s">
        <v>9</v>
      </c>
    </row>
    <row r="951" spans="1:8" ht="15" customHeight="1">
      <c r="A951" s="5">
        <v>949</v>
      </c>
      <c r="B951" s="6" t="str">
        <f>"韦艳"</f>
        <v>韦艳</v>
      </c>
      <c r="C951" s="6" t="str">
        <f t="shared" si="506"/>
        <v>女</v>
      </c>
      <c r="D951" s="6" t="str">
        <f>"1996-08-10"</f>
        <v>1996-08-10</v>
      </c>
      <c r="E951" s="6" t="str">
        <f t="shared" si="505"/>
        <v>本科</v>
      </c>
      <c r="F951" s="6" t="str">
        <f t="shared" si="508"/>
        <v>工学学士</v>
      </c>
      <c r="G951" s="6" t="str">
        <f>"城乡规划"</f>
        <v>城乡规划</v>
      </c>
      <c r="H951" s="7" t="s">
        <v>9</v>
      </c>
    </row>
    <row r="952" spans="1:8" ht="15" customHeight="1">
      <c r="A952" s="5">
        <v>950</v>
      </c>
      <c r="B952" s="6" t="str">
        <f>"王振慧"</f>
        <v>王振慧</v>
      </c>
      <c r="C952" s="6" t="str">
        <f t="shared" si="506"/>
        <v>女</v>
      </c>
      <c r="D952" s="6" t="str">
        <f>"2001-02-28"</f>
        <v>2001-02-28</v>
      </c>
      <c r="E952" s="6" t="str">
        <f t="shared" si="505"/>
        <v>本科</v>
      </c>
      <c r="F952" s="6" t="str">
        <f>"经济学学士"</f>
        <v>经济学学士</v>
      </c>
      <c r="G952" s="6" t="str">
        <f>"国际经济与贸易"</f>
        <v>国际经济与贸易</v>
      </c>
      <c r="H952" s="7" t="s">
        <v>9</v>
      </c>
    </row>
    <row r="953" spans="1:8" ht="15" customHeight="1">
      <c r="A953" s="5">
        <v>951</v>
      </c>
      <c r="B953" s="6" t="str">
        <f>"林小宾"</f>
        <v>林小宾</v>
      </c>
      <c r="C953" s="6" t="str">
        <f t="shared" si="507"/>
        <v>男</v>
      </c>
      <c r="D953" s="6" t="str">
        <f>"1995-11-24"</f>
        <v>1995-11-24</v>
      </c>
      <c r="E953" s="6" t="str">
        <f aca="true" t="shared" si="509" ref="E953:E956">"大学本科"</f>
        <v>大学本科</v>
      </c>
      <c r="F953" s="6" t="str">
        <f t="shared" si="508"/>
        <v>工学学士</v>
      </c>
      <c r="G953" s="6" t="str">
        <f>"土木工程"</f>
        <v>土木工程</v>
      </c>
      <c r="H953" s="7" t="s">
        <v>9</v>
      </c>
    </row>
    <row r="954" spans="1:8" ht="15" customHeight="1">
      <c r="A954" s="5">
        <v>952</v>
      </c>
      <c r="B954" s="6" t="str">
        <f>"黄磊"</f>
        <v>黄磊</v>
      </c>
      <c r="C954" s="6" t="str">
        <f t="shared" si="507"/>
        <v>男</v>
      </c>
      <c r="D954" s="6" t="str">
        <f>"1992-10-03"</f>
        <v>1992-10-03</v>
      </c>
      <c r="E954" s="6" t="str">
        <f t="shared" si="509"/>
        <v>大学本科</v>
      </c>
      <c r="F954" s="6" t="str">
        <f t="shared" si="508"/>
        <v>工学学士</v>
      </c>
      <c r="G954" s="6" t="str">
        <f>"土木工程"</f>
        <v>土木工程</v>
      </c>
      <c r="H954" s="7" t="s">
        <v>9</v>
      </c>
    </row>
    <row r="955" spans="1:8" ht="15" customHeight="1">
      <c r="A955" s="5">
        <v>953</v>
      </c>
      <c r="B955" s="6" t="str">
        <f>"冯桃"</f>
        <v>冯桃</v>
      </c>
      <c r="C955" s="6" t="str">
        <f aca="true" t="shared" si="510" ref="C955:C959">"女"</f>
        <v>女</v>
      </c>
      <c r="D955" s="6" t="str">
        <f>"1990-02-05"</f>
        <v>1990-02-05</v>
      </c>
      <c r="E955" s="6" t="str">
        <f aca="true" t="shared" si="511" ref="E955:E967">"本科"</f>
        <v>本科</v>
      </c>
      <c r="F955" s="6" t="str">
        <f>"农学学士"</f>
        <v>农学学士</v>
      </c>
      <c r="G955" s="6" t="str">
        <f>"水产养殖学"</f>
        <v>水产养殖学</v>
      </c>
      <c r="H955" s="7" t="s">
        <v>9</v>
      </c>
    </row>
    <row r="956" spans="1:8" ht="15" customHeight="1">
      <c r="A956" s="5">
        <v>954</v>
      </c>
      <c r="B956" s="6" t="str">
        <f>"潘少浪"</f>
        <v>潘少浪</v>
      </c>
      <c r="C956" s="6" t="str">
        <f t="shared" si="510"/>
        <v>女</v>
      </c>
      <c r="D956" s="6" t="str">
        <f>"1995-10-13"</f>
        <v>1995-10-13</v>
      </c>
      <c r="E956" s="6" t="str">
        <f t="shared" si="509"/>
        <v>大学本科</v>
      </c>
      <c r="F956" s="6" t="str">
        <f aca="true" t="shared" si="512" ref="F956:F960">"管理学学士"</f>
        <v>管理学学士</v>
      </c>
      <c r="G956" s="6" t="str">
        <f>"工商管理"</f>
        <v>工商管理</v>
      </c>
      <c r="H956" s="7" t="s">
        <v>9</v>
      </c>
    </row>
    <row r="957" spans="1:8" ht="15" customHeight="1">
      <c r="A957" s="5">
        <v>955</v>
      </c>
      <c r="B957" s="6" t="str">
        <f>"莫升辉"</f>
        <v>莫升辉</v>
      </c>
      <c r="C957" s="6" t="str">
        <f aca="true" t="shared" si="513" ref="C957:C962">"男"</f>
        <v>男</v>
      </c>
      <c r="D957" s="6" t="str">
        <f>"1999-01-09"</f>
        <v>1999-01-09</v>
      </c>
      <c r="E957" s="6" t="str">
        <f t="shared" si="511"/>
        <v>本科</v>
      </c>
      <c r="F957" s="6" t="str">
        <f>"工学学士"</f>
        <v>工学学士</v>
      </c>
      <c r="G957" s="6" t="str">
        <f>"计算机科学与技术"</f>
        <v>计算机科学与技术</v>
      </c>
      <c r="H957" s="7" t="s">
        <v>9</v>
      </c>
    </row>
    <row r="958" spans="1:8" ht="15" customHeight="1">
      <c r="A958" s="5">
        <v>956</v>
      </c>
      <c r="B958" s="6" t="str">
        <f>"何炳楠"</f>
        <v>何炳楠</v>
      </c>
      <c r="C958" s="6" t="str">
        <f t="shared" si="513"/>
        <v>男</v>
      </c>
      <c r="D958" s="6" t="str">
        <f>"1992-11-16"</f>
        <v>1992-11-16</v>
      </c>
      <c r="E958" s="6" t="str">
        <f>"大学本科"</f>
        <v>大学本科</v>
      </c>
      <c r="F958" s="6" t="str">
        <f t="shared" si="512"/>
        <v>管理学学士</v>
      </c>
      <c r="G958" s="6" t="str">
        <f>"市场营销专业"</f>
        <v>市场营销专业</v>
      </c>
      <c r="H958" s="7" t="s">
        <v>9</v>
      </c>
    </row>
    <row r="959" spans="1:8" ht="15" customHeight="1">
      <c r="A959" s="5">
        <v>957</v>
      </c>
      <c r="B959" s="6" t="str">
        <f>"李慧璠"</f>
        <v>李慧璠</v>
      </c>
      <c r="C959" s="6" t="str">
        <f t="shared" si="510"/>
        <v>女</v>
      </c>
      <c r="D959" s="6" t="str">
        <f>"1996-11-16"</f>
        <v>1996-11-16</v>
      </c>
      <c r="E959" s="6" t="str">
        <f t="shared" si="511"/>
        <v>本科</v>
      </c>
      <c r="F959" s="6" t="str">
        <f t="shared" si="512"/>
        <v>管理学学士</v>
      </c>
      <c r="G959" s="6" t="str">
        <f>"电子商务"</f>
        <v>电子商务</v>
      </c>
      <c r="H959" s="7" t="s">
        <v>9</v>
      </c>
    </row>
    <row r="960" spans="1:8" ht="15" customHeight="1">
      <c r="A960" s="5">
        <v>958</v>
      </c>
      <c r="B960" s="6" t="str">
        <f>"吴毓铧"</f>
        <v>吴毓铧</v>
      </c>
      <c r="C960" s="6" t="str">
        <f t="shared" si="513"/>
        <v>男</v>
      </c>
      <c r="D960" s="6" t="str">
        <f>"1994-11-30"</f>
        <v>1994-11-30</v>
      </c>
      <c r="E960" s="6" t="str">
        <f t="shared" si="511"/>
        <v>本科</v>
      </c>
      <c r="F960" s="6" t="str">
        <f t="shared" si="512"/>
        <v>管理学学士</v>
      </c>
      <c r="G960" s="6" t="str">
        <f>"工商管理"</f>
        <v>工商管理</v>
      </c>
      <c r="H960" s="7" t="s">
        <v>9</v>
      </c>
    </row>
    <row r="961" spans="1:8" ht="15" customHeight="1">
      <c r="A961" s="5">
        <v>959</v>
      </c>
      <c r="B961" s="6" t="str">
        <f>"邓伟"</f>
        <v>邓伟</v>
      </c>
      <c r="C961" s="6" t="str">
        <f t="shared" si="513"/>
        <v>男</v>
      </c>
      <c r="D961" s="6" t="str">
        <f>"1997-11-27"</f>
        <v>1997-11-27</v>
      </c>
      <c r="E961" s="6" t="str">
        <f t="shared" si="511"/>
        <v>本科</v>
      </c>
      <c r="F961" s="6" t="str">
        <f>"学士学位"</f>
        <v>学士学位</v>
      </c>
      <c r="G961" s="6" t="str">
        <f>"土木工程"</f>
        <v>土木工程</v>
      </c>
      <c r="H961" s="7" t="s">
        <v>9</v>
      </c>
    </row>
    <row r="962" spans="1:8" ht="15" customHeight="1">
      <c r="A962" s="5">
        <v>960</v>
      </c>
      <c r="B962" s="6" t="str">
        <f>"冯行丰"</f>
        <v>冯行丰</v>
      </c>
      <c r="C962" s="6" t="str">
        <f t="shared" si="513"/>
        <v>男</v>
      </c>
      <c r="D962" s="6" t="str">
        <f>"1995-02-25"</f>
        <v>1995-02-25</v>
      </c>
      <c r="E962" s="6" t="str">
        <f t="shared" si="511"/>
        <v>本科</v>
      </c>
      <c r="F962" s="6" t="str">
        <f>"工学学士"</f>
        <v>工学学士</v>
      </c>
      <c r="G962" s="6" t="str">
        <f>"土木工程"</f>
        <v>土木工程</v>
      </c>
      <c r="H962" s="7" t="s">
        <v>9</v>
      </c>
    </row>
    <row r="963" spans="1:8" ht="15" customHeight="1">
      <c r="A963" s="5">
        <v>961</v>
      </c>
      <c r="B963" s="6" t="str">
        <f>"王珊珊"</f>
        <v>王珊珊</v>
      </c>
      <c r="C963" s="6" t="str">
        <f aca="true" t="shared" si="514" ref="C963:C968">"女"</f>
        <v>女</v>
      </c>
      <c r="D963" s="6" t="str">
        <f>"2000-07-10"</f>
        <v>2000-07-10</v>
      </c>
      <c r="E963" s="6" t="str">
        <f t="shared" si="511"/>
        <v>本科</v>
      </c>
      <c r="F963" s="6" t="str">
        <f aca="true" t="shared" si="515" ref="F963:F966">"管理学学士"</f>
        <v>管理学学士</v>
      </c>
      <c r="G963" s="6" t="str">
        <f>"物流管理"</f>
        <v>物流管理</v>
      </c>
      <c r="H963" s="7" t="s">
        <v>9</v>
      </c>
    </row>
    <row r="964" spans="1:8" ht="15" customHeight="1">
      <c r="A964" s="5">
        <v>962</v>
      </c>
      <c r="B964" s="6" t="str">
        <f>"黎俞"</f>
        <v>黎俞</v>
      </c>
      <c r="C964" s="6" t="str">
        <f aca="true" t="shared" si="516" ref="C964:C967">"男"</f>
        <v>男</v>
      </c>
      <c r="D964" s="6" t="str">
        <f>"1991-10-22"</f>
        <v>1991-10-22</v>
      </c>
      <c r="E964" s="6" t="str">
        <f t="shared" si="511"/>
        <v>本科</v>
      </c>
      <c r="F964" s="6" t="str">
        <f t="shared" si="515"/>
        <v>管理学学士</v>
      </c>
      <c r="G964" s="6" t="str">
        <f>"信息管理与信息系统"</f>
        <v>信息管理与信息系统</v>
      </c>
      <c r="H964" s="7" t="s">
        <v>9</v>
      </c>
    </row>
    <row r="965" spans="1:8" ht="15" customHeight="1">
      <c r="A965" s="5">
        <v>963</v>
      </c>
      <c r="B965" s="6" t="str">
        <f>"吉训锴"</f>
        <v>吉训锴</v>
      </c>
      <c r="C965" s="6" t="str">
        <f t="shared" si="516"/>
        <v>男</v>
      </c>
      <c r="D965" s="6" t="str">
        <f>"1998-03-01"</f>
        <v>1998-03-01</v>
      </c>
      <c r="E965" s="6" t="str">
        <f t="shared" si="511"/>
        <v>本科</v>
      </c>
      <c r="F965" s="6" t="str">
        <f>"工学学士"</f>
        <v>工学学士</v>
      </c>
      <c r="G965" s="6" t="str">
        <f>"环境工程"</f>
        <v>环境工程</v>
      </c>
      <c r="H965" s="7" t="s">
        <v>9</v>
      </c>
    </row>
    <row r="966" spans="1:8" ht="15" customHeight="1">
      <c r="A966" s="5">
        <v>964</v>
      </c>
      <c r="B966" s="6" t="str">
        <f>"邓晨诗"</f>
        <v>邓晨诗</v>
      </c>
      <c r="C966" s="6" t="str">
        <f t="shared" si="514"/>
        <v>女</v>
      </c>
      <c r="D966" s="6" t="str">
        <f>"2000-10-12"</f>
        <v>2000-10-12</v>
      </c>
      <c r="E966" s="6" t="str">
        <f t="shared" si="511"/>
        <v>本科</v>
      </c>
      <c r="F966" s="6" t="str">
        <f t="shared" si="515"/>
        <v>管理学学士</v>
      </c>
      <c r="G966" s="6" t="str">
        <f>"财务管理"</f>
        <v>财务管理</v>
      </c>
      <c r="H966" s="7" t="s">
        <v>9</v>
      </c>
    </row>
    <row r="967" spans="1:8" ht="15" customHeight="1">
      <c r="A967" s="5">
        <v>965</v>
      </c>
      <c r="B967" s="6" t="str">
        <f>"李儒瑞"</f>
        <v>李儒瑞</v>
      </c>
      <c r="C967" s="6" t="str">
        <f t="shared" si="516"/>
        <v>男</v>
      </c>
      <c r="D967" s="6" t="str">
        <f>"1993-11-19"</f>
        <v>1993-11-19</v>
      </c>
      <c r="E967" s="6" t="str">
        <f t="shared" si="511"/>
        <v>本科</v>
      </c>
      <c r="F967" s="6" t="str">
        <f>"经济学学士"</f>
        <v>经济学学士</v>
      </c>
      <c r="G967" s="6" t="str">
        <f>"经济学"</f>
        <v>经济学</v>
      </c>
      <c r="H967" s="7" t="s">
        <v>9</v>
      </c>
    </row>
    <row r="968" spans="1:8" ht="15" customHeight="1">
      <c r="A968" s="5">
        <v>966</v>
      </c>
      <c r="B968" s="6" t="str">
        <f>"唐凤芸"</f>
        <v>唐凤芸</v>
      </c>
      <c r="C968" s="6" t="str">
        <f t="shared" si="514"/>
        <v>女</v>
      </c>
      <c r="D968" s="6" t="str">
        <f>"1995-03-14"</f>
        <v>1995-03-14</v>
      </c>
      <c r="E968" s="6" t="str">
        <f>"大学本科学历"</f>
        <v>大学本科学历</v>
      </c>
      <c r="F968" s="6" t="str">
        <f>"工学学士"</f>
        <v>工学学士</v>
      </c>
      <c r="G968" s="6" t="str">
        <f>"物联网工程"</f>
        <v>物联网工程</v>
      </c>
      <c r="H968" s="7" t="s">
        <v>9</v>
      </c>
    </row>
    <row r="969" spans="1:8" ht="15" customHeight="1">
      <c r="A969" s="5">
        <v>967</v>
      </c>
      <c r="B969" s="6" t="str">
        <f>"黄定璟"</f>
        <v>黄定璟</v>
      </c>
      <c r="C969" s="6" t="str">
        <f>"男"</f>
        <v>男</v>
      </c>
      <c r="D969" s="6" t="str">
        <f>"1997-12-09"</f>
        <v>1997-12-09</v>
      </c>
      <c r="E969" s="6" t="str">
        <f>"大学本科"</f>
        <v>大学本科</v>
      </c>
      <c r="F969" s="6" t="str">
        <f aca="true" t="shared" si="517" ref="F969:F973">"管理学学士"</f>
        <v>管理学学士</v>
      </c>
      <c r="G969" s="6" t="str">
        <f>"旅游管理"</f>
        <v>旅游管理</v>
      </c>
      <c r="H969" s="7" t="s">
        <v>9</v>
      </c>
    </row>
    <row r="970" spans="1:8" ht="15" customHeight="1">
      <c r="A970" s="5">
        <v>968</v>
      </c>
      <c r="B970" s="6" t="str">
        <f>"王凯娜"</f>
        <v>王凯娜</v>
      </c>
      <c r="C970" s="6" t="str">
        <f aca="true" t="shared" si="518" ref="C970:C972">"女"</f>
        <v>女</v>
      </c>
      <c r="D970" s="6" t="str">
        <f>"1999-01-20"</f>
        <v>1999-01-20</v>
      </c>
      <c r="E970" s="6" t="str">
        <f>"  大学本科"</f>
        <v>  大学本科</v>
      </c>
      <c r="F970" s="6" t="str">
        <f t="shared" si="517"/>
        <v>管理学学士</v>
      </c>
      <c r="G970" s="6" t="str">
        <f>"工商管理专业"</f>
        <v>工商管理专业</v>
      </c>
      <c r="H970" s="7" t="s">
        <v>9</v>
      </c>
    </row>
    <row r="971" spans="1:8" ht="15" customHeight="1">
      <c r="A971" s="5">
        <v>969</v>
      </c>
      <c r="B971" s="6" t="str">
        <f>"谭霞"</f>
        <v>谭霞</v>
      </c>
      <c r="C971" s="6" t="str">
        <f t="shared" si="518"/>
        <v>女</v>
      </c>
      <c r="D971" s="6" t="str">
        <f>"1998-08-30"</f>
        <v>1998-08-30</v>
      </c>
      <c r="E971" s="6" t="str">
        <f aca="true" t="shared" si="519" ref="E971:E974">"本科"</f>
        <v>本科</v>
      </c>
      <c r="F971" s="6" t="str">
        <f>"工学学士"</f>
        <v>工学学士</v>
      </c>
      <c r="G971" s="6" t="str">
        <f>"建筑环境与能源应用工程"</f>
        <v>建筑环境与能源应用工程</v>
      </c>
      <c r="H971" s="7" t="s">
        <v>9</v>
      </c>
    </row>
    <row r="972" spans="1:8" ht="15" customHeight="1">
      <c r="A972" s="5">
        <v>970</v>
      </c>
      <c r="B972" s="6" t="str">
        <f>"罗泓泓"</f>
        <v>罗泓泓</v>
      </c>
      <c r="C972" s="6" t="str">
        <f t="shared" si="518"/>
        <v>女</v>
      </c>
      <c r="D972" s="6" t="str">
        <f>"2000-11-23"</f>
        <v>2000-11-23</v>
      </c>
      <c r="E972" s="6" t="str">
        <f t="shared" si="519"/>
        <v>本科</v>
      </c>
      <c r="F972" s="6" t="str">
        <f>"文学学士"</f>
        <v>文学学士</v>
      </c>
      <c r="G972" s="6" t="str">
        <f>"汉语言文学"</f>
        <v>汉语言文学</v>
      </c>
      <c r="H972" s="7" t="s">
        <v>9</v>
      </c>
    </row>
    <row r="973" spans="1:8" ht="15" customHeight="1">
      <c r="A973" s="5">
        <v>971</v>
      </c>
      <c r="B973" s="6" t="str">
        <f>"曾乙刚"</f>
        <v>曾乙刚</v>
      </c>
      <c r="C973" s="6" t="str">
        <f>"男"</f>
        <v>男</v>
      </c>
      <c r="D973" s="6" t="str">
        <f>"1991-12-15"</f>
        <v>1991-12-15</v>
      </c>
      <c r="E973" s="6" t="str">
        <f>"大学本科学历"</f>
        <v>大学本科学历</v>
      </c>
      <c r="F973" s="6" t="str">
        <f t="shared" si="517"/>
        <v>管理学学士</v>
      </c>
      <c r="G973" s="6" t="str">
        <f>"旅游管理专业"</f>
        <v>旅游管理专业</v>
      </c>
      <c r="H973" s="7" t="s">
        <v>9</v>
      </c>
    </row>
    <row r="974" spans="1:8" ht="15" customHeight="1">
      <c r="A974" s="5">
        <v>972</v>
      </c>
      <c r="B974" s="6" t="str">
        <f>"符铃"</f>
        <v>符铃</v>
      </c>
      <c r="C974" s="6" t="str">
        <f aca="true" t="shared" si="520" ref="C974:C976">"女"</f>
        <v>女</v>
      </c>
      <c r="D974" s="6" t="str">
        <f>"1999-03-27"</f>
        <v>1999-03-27</v>
      </c>
      <c r="E974" s="6" t="str">
        <f t="shared" si="519"/>
        <v>本科</v>
      </c>
      <c r="F974" s="6" t="str">
        <f>"经济学学士"</f>
        <v>经济学学士</v>
      </c>
      <c r="G974" s="6" t="str">
        <f>"税收"</f>
        <v>税收</v>
      </c>
      <c r="H974" s="7" t="s">
        <v>9</v>
      </c>
    </row>
    <row r="975" spans="1:8" ht="15" customHeight="1">
      <c r="A975" s="5">
        <v>973</v>
      </c>
      <c r="B975" s="6" t="str">
        <f>"蔡小香"</f>
        <v>蔡小香</v>
      </c>
      <c r="C975" s="6" t="str">
        <f t="shared" si="520"/>
        <v>女</v>
      </c>
      <c r="D975" s="6" t="str">
        <f>"1997-09-07"</f>
        <v>1997-09-07</v>
      </c>
      <c r="E975" s="6" t="str">
        <f>"大学本科"</f>
        <v>大学本科</v>
      </c>
      <c r="F975" s="6" t="str">
        <f aca="true" t="shared" si="521" ref="F975:F979">"管理学学士"</f>
        <v>管理学学士</v>
      </c>
      <c r="G975" s="6" t="str">
        <f>"行政管理"</f>
        <v>行政管理</v>
      </c>
      <c r="H975" s="7" t="s">
        <v>9</v>
      </c>
    </row>
    <row r="976" spans="1:8" ht="15" customHeight="1">
      <c r="A976" s="5">
        <v>974</v>
      </c>
      <c r="B976" s="6" t="str">
        <f>"卓海妹"</f>
        <v>卓海妹</v>
      </c>
      <c r="C976" s="6" t="str">
        <f t="shared" si="520"/>
        <v>女</v>
      </c>
      <c r="D976" s="6" t="str">
        <f>"1991-09-12"</f>
        <v>1991-09-12</v>
      </c>
      <c r="E976" s="6" t="str">
        <f aca="true" t="shared" si="522" ref="E976:E980">"本科"</f>
        <v>本科</v>
      </c>
      <c r="F976" s="6" t="str">
        <f t="shared" si="521"/>
        <v>管理学学士</v>
      </c>
      <c r="G976" s="6" t="str">
        <f>"旅游管理"</f>
        <v>旅游管理</v>
      </c>
      <c r="H976" s="7" t="s">
        <v>9</v>
      </c>
    </row>
    <row r="977" spans="1:8" ht="15" customHeight="1">
      <c r="A977" s="5">
        <v>975</v>
      </c>
      <c r="B977" s="6" t="str">
        <f>"陈子弘"</f>
        <v>陈子弘</v>
      </c>
      <c r="C977" s="6" t="str">
        <f>"男"</f>
        <v>男</v>
      </c>
      <c r="D977" s="6" t="str">
        <f>"1999-11-19"</f>
        <v>1999-11-19</v>
      </c>
      <c r="E977" s="6" t="str">
        <f t="shared" si="522"/>
        <v>本科</v>
      </c>
      <c r="F977" s="6" t="str">
        <f>"工学学士"</f>
        <v>工学学士</v>
      </c>
      <c r="G977" s="6" t="str">
        <f>"网络工程"</f>
        <v>网络工程</v>
      </c>
      <c r="H977" s="7" t="s">
        <v>9</v>
      </c>
    </row>
    <row r="978" spans="1:8" ht="15" customHeight="1">
      <c r="A978" s="5">
        <v>976</v>
      </c>
      <c r="B978" s="6" t="str">
        <f>"张玲艳"</f>
        <v>张玲艳</v>
      </c>
      <c r="C978" s="6" t="str">
        <f aca="true" t="shared" si="523" ref="C978:C981">"女"</f>
        <v>女</v>
      </c>
      <c r="D978" s="6" t="str">
        <f>"1992-02-04"</f>
        <v>1992-02-04</v>
      </c>
      <c r="E978" s="6" t="str">
        <f t="shared" si="522"/>
        <v>本科</v>
      </c>
      <c r="F978" s="6" t="str">
        <f>"理学学位"</f>
        <v>理学学位</v>
      </c>
      <c r="G978" s="6" t="str">
        <f>"环境科学"</f>
        <v>环境科学</v>
      </c>
      <c r="H978" s="7" t="s">
        <v>9</v>
      </c>
    </row>
    <row r="979" spans="1:8" ht="15" customHeight="1">
      <c r="A979" s="5">
        <v>977</v>
      </c>
      <c r="B979" s="6" t="str">
        <f>"冯群"</f>
        <v>冯群</v>
      </c>
      <c r="C979" s="6" t="str">
        <f t="shared" si="523"/>
        <v>女</v>
      </c>
      <c r="D979" s="6" t="str">
        <f>"1991-11-29"</f>
        <v>1991-11-29</v>
      </c>
      <c r="E979" s="6" t="str">
        <f t="shared" si="522"/>
        <v>本科</v>
      </c>
      <c r="F979" s="6" t="str">
        <f t="shared" si="521"/>
        <v>管理学学士</v>
      </c>
      <c r="G979" s="6" t="str">
        <f>"工商管理"</f>
        <v>工商管理</v>
      </c>
      <c r="H979" s="7" t="s">
        <v>9</v>
      </c>
    </row>
    <row r="980" spans="1:8" ht="15" customHeight="1">
      <c r="A980" s="5">
        <v>978</v>
      </c>
      <c r="B980" s="6" t="str">
        <f>"李娇凤"</f>
        <v>李娇凤</v>
      </c>
      <c r="C980" s="6" t="str">
        <f t="shared" si="523"/>
        <v>女</v>
      </c>
      <c r="D980" s="6" t="str">
        <f>"1992-02-14"</f>
        <v>1992-02-14</v>
      </c>
      <c r="E980" s="6" t="str">
        <f t="shared" si="522"/>
        <v>本科</v>
      </c>
      <c r="F980" s="6" t="str">
        <f>"学士"</f>
        <v>学士</v>
      </c>
      <c r="G980" s="6" t="str">
        <f>"物流管理"</f>
        <v>物流管理</v>
      </c>
      <c r="H980" s="7" t="s">
        <v>9</v>
      </c>
    </row>
    <row r="981" spans="1:8" ht="15" customHeight="1">
      <c r="A981" s="5">
        <v>979</v>
      </c>
      <c r="B981" s="6" t="str">
        <f>"罗冰歆"</f>
        <v>罗冰歆</v>
      </c>
      <c r="C981" s="6" t="str">
        <f t="shared" si="523"/>
        <v>女</v>
      </c>
      <c r="D981" s="6" t="str">
        <f>"1995-10-30"</f>
        <v>1995-10-30</v>
      </c>
      <c r="E981" s="6" t="str">
        <f>"大学本科学历"</f>
        <v>大学本科学历</v>
      </c>
      <c r="F981" s="6" t="str">
        <f>"农学学士"</f>
        <v>农学学士</v>
      </c>
      <c r="G981" s="6" t="str">
        <f>"农学"</f>
        <v>农学</v>
      </c>
      <c r="H981" s="7" t="s">
        <v>9</v>
      </c>
    </row>
    <row r="982" spans="1:8" ht="15" customHeight="1">
      <c r="A982" s="5">
        <v>980</v>
      </c>
      <c r="B982" s="6" t="str">
        <f>"吴岳杏"</f>
        <v>吴岳杏</v>
      </c>
      <c r="C982" s="6" t="str">
        <f aca="true" t="shared" si="524" ref="C982:C986">"男"</f>
        <v>男</v>
      </c>
      <c r="D982" s="6" t="str">
        <f>"1998-03-15"</f>
        <v>1998-03-15</v>
      </c>
      <c r="E982" s="6" t="str">
        <f>"大学本科"</f>
        <v>大学本科</v>
      </c>
      <c r="F982" s="6" t="str">
        <f aca="true" t="shared" si="525" ref="F982:F985">"工学学士"</f>
        <v>工学学士</v>
      </c>
      <c r="G982" s="6" t="str">
        <f>"工程造价"</f>
        <v>工程造价</v>
      </c>
      <c r="H982" s="7" t="s">
        <v>9</v>
      </c>
    </row>
    <row r="983" spans="1:8" ht="15" customHeight="1">
      <c r="A983" s="5">
        <v>981</v>
      </c>
      <c r="B983" s="6" t="str">
        <f>"王运洪"</f>
        <v>王运洪</v>
      </c>
      <c r="C983" s="6" t="str">
        <f t="shared" si="524"/>
        <v>男</v>
      </c>
      <c r="D983" s="6" t="str">
        <f>"1992-08-20"</f>
        <v>1992-08-20</v>
      </c>
      <c r="E983" s="6" t="str">
        <f aca="true" t="shared" si="526" ref="E983:E987">"本科"</f>
        <v>本科</v>
      </c>
      <c r="F983" s="6" t="str">
        <f>"农学学士"</f>
        <v>农学学士</v>
      </c>
      <c r="G983" s="6" t="str">
        <f>"设施农业科学与工程"</f>
        <v>设施农业科学与工程</v>
      </c>
      <c r="H983" s="7" t="s">
        <v>9</v>
      </c>
    </row>
    <row r="984" spans="1:8" ht="15" customHeight="1">
      <c r="A984" s="5">
        <v>982</v>
      </c>
      <c r="B984" s="6" t="str">
        <f>"许津滔"</f>
        <v>许津滔</v>
      </c>
      <c r="C984" s="6" t="str">
        <f t="shared" si="524"/>
        <v>男</v>
      </c>
      <c r="D984" s="6" t="str">
        <f>"1998-09-30"</f>
        <v>1998-09-30</v>
      </c>
      <c r="E984" s="6" t="str">
        <f t="shared" si="526"/>
        <v>本科</v>
      </c>
      <c r="F984" s="6" t="str">
        <f t="shared" si="525"/>
        <v>工学学士</v>
      </c>
      <c r="G984" s="6" t="str">
        <f>"工程管理"</f>
        <v>工程管理</v>
      </c>
      <c r="H984" s="7" t="s">
        <v>9</v>
      </c>
    </row>
    <row r="985" spans="1:8" ht="15" customHeight="1">
      <c r="A985" s="5">
        <v>983</v>
      </c>
      <c r="B985" s="6" t="str">
        <f>"张庭海"</f>
        <v>张庭海</v>
      </c>
      <c r="C985" s="6" t="str">
        <f t="shared" si="524"/>
        <v>男</v>
      </c>
      <c r="D985" s="6" t="str">
        <f>"1993-10-09"</f>
        <v>1993-10-09</v>
      </c>
      <c r="E985" s="6" t="str">
        <f t="shared" si="526"/>
        <v>本科</v>
      </c>
      <c r="F985" s="6" t="str">
        <f t="shared" si="525"/>
        <v>工学学士</v>
      </c>
      <c r="G985" s="6" t="str">
        <f>"土木工程"</f>
        <v>土木工程</v>
      </c>
      <c r="H985" s="7" t="s">
        <v>9</v>
      </c>
    </row>
    <row r="986" spans="1:8" ht="15" customHeight="1">
      <c r="A986" s="5">
        <v>984</v>
      </c>
      <c r="B986" s="6" t="str">
        <f>"王川"</f>
        <v>王川</v>
      </c>
      <c r="C986" s="6" t="str">
        <f t="shared" si="524"/>
        <v>男</v>
      </c>
      <c r="D986" s="6" t="str">
        <f>"2001-04-05"</f>
        <v>2001-04-05</v>
      </c>
      <c r="E986" s="6" t="str">
        <f t="shared" si="526"/>
        <v>本科</v>
      </c>
      <c r="F986" s="6" t="str">
        <f>"管理学学士"</f>
        <v>管理学学士</v>
      </c>
      <c r="G986" s="6" t="str">
        <f>"劳动与社会保障"</f>
        <v>劳动与社会保障</v>
      </c>
      <c r="H986" s="7" t="s">
        <v>9</v>
      </c>
    </row>
    <row r="987" spans="1:8" ht="15" customHeight="1">
      <c r="A987" s="5">
        <v>985</v>
      </c>
      <c r="B987" s="6" t="str">
        <f>"符欣欣"</f>
        <v>符欣欣</v>
      </c>
      <c r="C987" s="6" t="str">
        <f aca="true" t="shared" si="527" ref="C987:C990">"女"</f>
        <v>女</v>
      </c>
      <c r="D987" s="6" t="str">
        <f>"1995-05-14"</f>
        <v>1995-05-14</v>
      </c>
      <c r="E987" s="6" t="str">
        <f t="shared" si="526"/>
        <v>本科</v>
      </c>
      <c r="F987" s="6" t="str">
        <f>"经济学学士"</f>
        <v>经济学学士</v>
      </c>
      <c r="G987" s="6" t="str">
        <f>"经济学"</f>
        <v>经济学</v>
      </c>
      <c r="H987" s="7" t="s">
        <v>9</v>
      </c>
    </row>
    <row r="988" spans="1:8" ht="15" customHeight="1">
      <c r="A988" s="5">
        <v>986</v>
      </c>
      <c r="B988" s="6" t="str">
        <f>"陈红日"</f>
        <v>陈红日</v>
      </c>
      <c r="C988" s="6" t="str">
        <f t="shared" si="527"/>
        <v>女</v>
      </c>
      <c r="D988" s="6" t="str">
        <f>"1997-06-01"</f>
        <v>1997-06-01</v>
      </c>
      <c r="E988" s="6" t="str">
        <f>"大学本科"</f>
        <v>大学本科</v>
      </c>
      <c r="F988" s="6" t="str">
        <f>"管理学学士"</f>
        <v>管理学学士</v>
      </c>
      <c r="G988" s="6" t="str">
        <f>"会计学"</f>
        <v>会计学</v>
      </c>
      <c r="H988" s="7" t="s">
        <v>9</v>
      </c>
    </row>
    <row r="989" spans="1:8" ht="15" customHeight="1">
      <c r="A989" s="5">
        <v>987</v>
      </c>
      <c r="B989" s="6" t="str">
        <f>"丁颖达"</f>
        <v>丁颖达</v>
      </c>
      <c r="C989" s="6" t="str">
        <f aca="true" t="shared" si="528" ref="C989:C996">"男"</f>
        <v>男</v>
      </c>
      <c r="D989" s="6" t="str">
        <f>"1989-03-05"</f>
        <v>1989-03-05</v>
      </c>
      <c r="E989" s="6" t="str">
        <f>"大学本科"</f>
        <v>大学本科</v>
      </c>
      <c r="F989" s="6" t="str">
        <f>"工学学士"</f>
        <v>工学学士</v>
      </c>
      <c r="G989" s="6" t="str">
        <f>"计算机科学与技术"</f>
        <v>计算机科学与技术</v>
      </c>
      <c r="H989" s="7" t="s">
        <v>9</v>
      </c>
    </row>
    <row r="990" spans="1:8" ht="15" customHeight="1">
      <c r="A990" s="5">
        <v>988</v>
      </c>
      <c r="B990" s="6" t="str">
        <f>"谢幸子"</f>
        <v>谢幸子</v>
      </c>
      <c r="C990" s="6" t="str">
        <f t="shared" si="527"/>
        <v>女</v>
      </c>
      <c r="D990" s="6" t="str">
        <f>"1999-11-12"</f>
        <v>1999-11-12</v>
      </c>
      <c r="E990" s="6" t="str">
        <f aca="true" t="shared" si="529" ref="E990:E994">"本科"</f>
        <v>本科</v>
      </c>
      <c r="F990" s="6" t="str">
        <f>"学士学位"</f>
        <v>学士学位</v>
      </c>
      <c r="G990" s="6" t="str">
        <f>"经济学"</f>
        <v>经济学</v>
      </c>
      <c r="H990" s="7" t="s">
        <v>9</v>
      </c>
    </row>
    <row r="991" spans="1:8" ht="15" customHeight="1">
      <c r="A991" s="5">
        <v>989</v>
      </c>
      <c r="B991" s="6" t="str">
        <f>"林超超"</f>
        <v>林超超</v>
      </c>
      <c r="C991" s="6" t="str">
        <f t="shared" si="528"/>
        <v>男</v>
      </c>
      <c r="D991" s="6" t="str">
        <f>"1992-11-06"</f>
        <v>1992-11-06</v>
      </c>
      <c r="E991" s="6" t="str">
        <f>"大学本科学历"</f>
        <v>大学本科学历</v>
      </c>
      <c r="F991" s="6" t="str">
        <f>"工学学士"</f>
        <v>工学学士</v>
      </c>
      <c r="G991" s="6" t="str">
        <f>"网络工程"</f>
        <v>网络工程</v>
      </c>
      <c r="H991" s="7" t="s">
        <v>9</v>
      </c>
    </row>
    <row r="992" spans="1:8" ht="15" customHeight="1">
      <c r="A992" s="5">
        <v>990</v>
      </c>
      <c r="B992" s="6" t="str">
        <f>"陈月连"</f>
        <v>陈月连</v>
      </c>
      <c r="C992" s="6" t="str">
        <f aca="true" t="shared" si="530" ref="C992:C1003">"女"</f>
        <v>女</v>
      </c>
      <c r="D992" s="6" t="str">
        <f>"1997-06-30"</f>
        <v>1997-06-30</v>
      </c>
      <c r="E992" s="6" t="str">
        <f t="shared" si="529"/>
        <v>本科</v>
      </c>
      <c r="F992" s="6" t="str">
        <f>"经济学学士"</f>
        <v>经济学学士</v>
      </c>
      <c r="G992" s="6" t="str">
        <f>"国际经济与贸易"</f>
        <v>国际经济与贸易</v>
      </c>
      <c r="H992" s="7" t="s">
        <v>9</v>
      </c>
    </row>
    <row r="993" spans="1:8" ht="15" customHeight="1">
      <c r="A993" s="5">
        <v>991</v>
      </c>
      <c r="B993" s="6" t="str">
        <f>"许富娇"</f>
        <v>许富娇</v>
      </c>
      <c r="C993" s="6" t="str">
        <f t="shared" si="530"/>
        <v>女</v>
      </c>
      <c r="D993" s="6" t="str">
        <f>"1995-08-15"</f>
        <v>1995-08-15</v>
      </c>
      <c r="E993" s="6" t="str">
        <f t="shared" si="529"/>
        <v>本科</v>
      </c>
      <c r="F993" s="6" t="str">
        <f>"管理学学士"</f>
        <v>管理学学士</v>
      </c>
      <c r="G993" s="6" t="str">
        <f>"财务管理（企业理财方向）"</f>
        <v>财务管理（企业理财方向）</v>
      </c>
      <c r="H993" s="7" t="s">
        <v>9</v>
      </c>
    </row>
    <row r="994" spans="1:8" ht="15" customHeight="1">
      <c r="A994" s="5">
        <v>992</v>
      </c>
      <c r="B994" s="6" t="str">
        <f>"朱家祥"</f>
        <v>朱家祥</v>
      </c>
      <c r="C994" s="6" t="str">
        <f t="shared" si="528"/>
        <v>男</v>
      </c>
      <c r="D994" s="6" t="str">
        <f>"1999-12-08"</f>
        <v>1999-12-08</v>
      </c>
      <c r="E994" s="6" t="str">
        <f t="shared" si="529"/>
        <v>本科</v>
      </c>
      <c r="F994" s="6" t="str">
        <f>"管理学士"</f>
        <v>管理学士</v>
      </c>
      <c r="G994" s="6" t="str">
        <f>"财务管理"</f>
        <v>财务管理</v>
      </c>
      <c r="H994" s="7" t="s">
        <v>9</v>
      </c>
    </row>
    <row r="995" spans="1:8" ht="15" customHeight="1">
      <c r="A995" s="5">
        <v>993</v>
      </c>
      <c r="B995" s="6" t="str">
        <f>"郑维乙"</f>
        <v>郑维乙</v>
      </c>
      <c r="C995" s="6" t="str">
        <f t="shared" si="528"/>
        <v>男</v>
      </c>
      <c r="D995" s="6" t="str">
        <f>"1994-02-19"</f>
        <v>1994-02-19</v>
      </c>
      <c r="E995" s="6" t="str">
        <f>"研究生"</f>
        <v>研究生</v>
      </c>
      <c r="F995" s="6" t="str">
        <f>"硕士学位"</f>
        <v>硕士学位</v>
      </c>
      <c r="G995" s="6" t="str">
        <f>"农村与区域发展"</f>
        <v>农村与区域发展</v>
      </c>
      <c r="H995" s="7" t="s">
        <v>9</v>
      </c>
    </row>
    <row r="996" spans="1:8" ht="15" customHeight="1">
      <c r="A996" s="5">
        <v>994</v>
      </c>
      <c r="B996" s="6" t="str">
        <f>"董儒麟"</f>
        <v>董儒麟</v>
      </c>
      <c r="C996" s="6" t="str">
        <f t="shared" si="528"/>
        <v>男</v>
      </c>
      <c r="D996" s="6" t="str">
        <f>"1999-06-13"</f>
        <v>1999-06-13</v>
      </c>
      <c r="E996" s="6" t="str">
        <f aca="true" t="shared" si="531" ref="E996:E999">"本科"</f>
        <v>本科</v>
      </c>
      <c r="F996" s="6" t="str">
        <f>"工学学士"</f>
        <v>工学学士</v>
      </c>
      <c r="G996" s="6" t="str">
        <f>"计算机科学与技术"</f>
        <v>计算机科学与技术</v>
      </c>
      <c r="H996" s="7" t="s">
        <v>9</v>
      </c>
    </row>
    <row r="997" spans="1:8" ht="15" customHeight="1">
      <c r="A997" s="5">
        <v>995</v>
      </c>
      <c r="B997" s="6" t="str">
        <f>"陈莹怡"</f>
        <v>陈莹怡</v>
      </c>
      <c r="C997" s="6" t="str">
        <f t="shared" si="530"/>
        <v>女</v>
      </c>
      <c r="D997" s="6" t="str">
        <f>"1998-10-10"</f>
        <v>1998-10-10</v>
      </c>
      <c r="E997" s="6" t="str">
        <f t="shared" si="531"/>
        <v>本科</v>
      </c>
      <c r="F997" s="6" t="str">
        <f>"学士学位"</f>
        <v>学士学位</v>
      </c>
      <c r="G997" s="6" t="str">
        <f>"风景园林（园林工程技术方向）"</f>
        <v>风景园林（园林工程技术方向）</v>
      </c>
      <c r="H997" s="7" t="s">
        <v>9</v>
      </c>
    </row>
    <row r="998" spans="1:8" ht="15" customHeight="1">
      <c r="A998" s="5">
        <v>996</v>
      </c>
      <c r="B998" s="6" t="str">
        <f>"吴育婷"</f>
        <v>吴育婷</v>
      </c>
      <c r="C998" s="6" t="str">
        <f t="shared" si="530"/>
        <v>女</v>
      </c>
      <c r="D998" s="6" t="str">
        <f>"1999-01-09"</f>
        <v>1999-01-09</v>
      </c>
      <c r="E998" s="6" t="str">
        <f>"大学本科"</f>
        <v>大学本科</v>
      </c>
      <c r="F998" s="6" t="str">
        <f>"管理学学士"</f>
        <v>管理学学士</v>
      </c>
      <c r="G998" s="6" t="str">
        <f>"人力资源管理"</f>
        <v>人力资源管理</v>
      </c>
      <c r="H998" s="7" t="s">
        <v>9</v>
      </c>
    </row>
    <row r="999" spans="1:8" ht="15" customHeight="1">
      <c r="A999" s="5">
        <v>997</v>
      </c>
      <c r="B999" s="6" t="str">
        <f>"吕秀姬"</f>
        <v>吕秀姬</v>
      </c>
      <c r="C999" s="6" t="str">
        <f t="shared" si="530"/>
        <v>女</v>
      </c>
      <c r="D999" s="6" t="str">
        <f>"1999-07-24"</f>
        <v>1999-07-24</v>
      </c>
      <c r="E999" s="6" t="str">
        <f t="shared" si="531"/>
        <v>本科</v>
      </c>
      <c r="F999" s="6" t="str">
        <f>"管理学士"</f>
        <v>管理学士</v>
      </c>
      <c r="G999" s="6" t="str">
        <f>"工商管理"</f>
        <v>工商管理</v>
      </c>
      <c r="H999" s="7" t="s">
        <v>9</v>
      </c>
    </row>
    <row r="1000" spans="1:8" ht="15" customHeight="1">
      <c r="A1000" s="5">
        <v>998</v>
      </c>
      <c r="B1000" s="6" t="str">
        <f>"蔡佳华"</f>
        <v>蔡佳华</v>
      </c>
      <c r="C1000" s="6" t="str">
        <f t="shared" si="530"/>
        <v>女</v>
      </c>
      <c r="D1000" s="6" t="str">
        <f>"1997-06-25"</f>
        <v>1997-06-25</v>
      </c>
      <c r="E1000" s="6" t="str">
        <f>"大学本科"</f>
        <v>大学本科</v>
      </c>
      <c r="F1000" s="6" t="str">
        <f>"管理学学士学位"</f>
        <v>管理学学士学位</v>
      </c>
      <c r="G1000" s="6" t="str">
        <f>"酒店管理"</f>
        <v>酒店管理</v>
      </c>
      <c r="H1000" s="7" t="s">
        <v>9</v>
      </c>
    </row>
    <row r="1001" spans="1:8" ht="15" customHeight="1">
      <c r="A1001" s="5">
        <v>999</v>
      </c>
      <c r="B1001" s="6" t="str">
        <f>"何晓"</f>
        <v>何晓</v>
      </c>
      <c r="C1001" s="6" t="str">
        <f t="shared" si="530"/>
        <v>女</v>
      </c>
      <c r="D1001" s="6" t="str">
        <f>"1998-09-18"</f>
        <v>1998-09-18</v>
      </c>
      <c r="E1001" s="6" t="str">
        <f aca="true" t="shared" si="532" ref="E1001:E1004">"本科"</f>
        <v>本科</v>
      </c>
      <c r="F1001" s="6" t="str">
        <f aca="true" t="shared" si="533" ref="F1001:F1006">"管理学学士"</f>
        <v>管理学学士</v>
      </c>
      <c r="G1001" s="6" t="str">
        <f>"旅游管理专业"</f>
        <v>旅游管理专业</v>
      </c>
      <c r="H1001" s="7" t="s">
        <v>9</v>
      </c>
    </row>
    <row r="1002" spans="1:8" ht="15" customHeight="1">
      <c r="A1002" s="5">
        <v>1000</v>
      </c>
      <c r="B1002" s="6" t="str">
        <f>"王夏妹"</f>
        <v>王夏妹</v>
      </c>
      <c r="C1002" s="6" t="str">
        <f t="shared" si="530"/>
        <v>女</v>
      </c>
      <c r="D1002" s="6" t="str">
        <f>"1994-05-23"</f>
        <v>1994-05-23</v>
      </c>
      <c r="E1002" s="6" t="str">
        <f t="shared" si="532"/>
        <v>本科</v>
      </c>
      <c r="F1002" s="6" t="str">
        <f>"工学学士"</f>
        <v>工学学士</v>
      </c>
      <c r="G1002" s="6" t="str">
        <f>"土木工程"</f>
        <v>土木工程</v>
      </c>
      <c r="H1002" s="7" t="s">
        <v>9</v>
      </c>
    </row>
    <row r="1003" spans="1:8" ht="15" customHeight="1">
      <c r="A1003" s="5">
        <v>1001</v>
      </c>
      <c r="B1003" s="6" t="str">
        <f>"黄子桐"</f>
        <v>黄子桐</v>
      </c>
      <c r="C1003" s="6" t="str">
        <f t="shared" si="530"/>
        <v>女</v>
      </c>
      <c r="D1003" s="6" t="str">
        <f>"2001-11-01"</f>
        <v>2001-11-01</v>
      </c>
      <c r="E1003" s="6" t="str">
        <f t="shared" si="532"/>
        <v>本科</v>
      </c>
      <c r="F1003" s="6" t="str">
        <f>"学士"</f>
        <v>学士</v>
      </c>
      <c r="G1003" s="6" t="str">
        <f>"旅游管理"</f>
        <v>旅游管理</v>
      </c>
      <c r="H1003" s="7" t="s">
        <v>9</v>
      </c>
    </row>
    <row r="1004" spans="1:8" ht="15" customHeight="1">
      <c r="A1004" s="5">
        <v>1002</v>
      </c>
      <c r="B1004" s="6" t="str">
        <f>"邱怡平"</f>
        <v>邱怡平</v>
      </c>
      <c r="C1004" s="6" t="str">
        <f aca="true" t="shared" si="534" ref="C1004:C1006">"男"</f>
        <v>男</v>
      </c>
      <c r="D1004" s="6" t="str">
        <f>"1997-07-11"</f>
        <v>1997-07-11</v>
      </c>
      <c r="E1004" s="6" t="str">
        <f t="shared" si="532"/>
        <v>本科</v>
      </c>
      <c r="F1004" s="6" t="str">
        <f t="shared" si="533"/>
        <v>管理学学士</v>
      </c>
      <c r="G1004" s="6" t="str">
        <f>"信息管理与信息系统"</f>
        <v>信息管理与信息系统</v>
      </c>
      <c r="H1004" s="7" t="s">
        <v>9</v>
      </c>
    </row>
    <row r="1005" spans="1:8" ht="15" customHeight="1">
      <c r="A1005" s="5">
        <v>1003</v>
      </c>
      <c r="B1005" s="6" t="str">
        <f>"黄兴翔"</f>
        <v>黄兴翔</v>
      </c>
      <c r="C1005" s="6" t="str">
        <f t="shared" si="534"/>
        <v>男</v>
      </c>
      <c r="D1005" s="6" t="str">
        <f>"1999-10-18"</f>
        <v>1999-10-18</v>
      </c>
      <c r="E1005" s="6" t="str">
        <f>"大学本科学历"</f>
        <v>大学本科学历</v>
      </c>
      <c r="F1005" s="6" t="str">
        <f t="shared" si="533"/>
        <v>管理学学士</v>
      </c>
      <c r="G1005" s="6" t="str">
        <f>"财务管理"</f>
        <v>财务管理</v>
      </c>
      <c r="H1005" s="7" t="s">
        <v>9</v>
      </c>
    </row>
    <row r="1006" spans="1:8" ht="15" customHeight="1">
      <c r="A1006" s="5">
        <v>1004</v>
      </c>
      <c r="B1006" s="6" t="str">
        <f>"黄一剑"</f>
        <v>黄一剑</v>
      </c>
      <c r="C1006" s="6" t="str">
        <f t="shared" si="534"/>
        <v>男</v>
      </c>
      <c r="D1006" s="6" t="str">
        <f>"1995-12-08"</f>
        <v>1995-12-08</v>
      </c>
      <c r="E1006" s="6" t="str">
        <f>"本科"</f>
        <v>本科</v>
      </c>
      <c r="F1006" s="6" t="str">
        <f t="shared" si="533"/>
        <v>管理学学士</v>
      </c>
      <c r="G1006" s="6" t="str">
        <f>"物流管理"</f>
        <v>物流管理</v>
      </c>
      <c r="H1006" s="7" t="s">
        <v>9</v>
      </c>
    </row>
    <row r="1007" spans="1:8" ht="15" customHeight="1">
      <c r="A1007" s="5">
        <v>1005</v>
      </c>
      <c r="B1007" s="6" t="str">
        <f>"李媛"</f>
        <v>李媛</v>
      </c>
      <c r="C1007" s="6" t="str">
        <f>"女"</f>
        <v>女</v>
      </c>
      <c r="D1007" s="6" t="str">
        <f>"1991-09-20"</f>
        <v>1991-09-20</v>
      </c>
      <c r="E1007" s="6" t="str">
        <f aca="true" t="shared" si="535" ref="E1007:E1010">"大学本科"</f>
        <v>大学本科</v>
      </c>
      <c r="F1007" s="6" t="str">
        <f>"文学学士"</f>
        <v>文学学士</v>
      </c>
      <c r="G1007" s="6" t="str">
        <f>"汉语言文学"</f>
        <v>汉语言文学</v>
      </c>
      <c r="H1007" s="7" t="s">
        <v>9</v>
      </c>
    </row>
    <row r="1008" spans="1:8" ht="15" customHeight="1">
      <c r="A1008" s="5">
        <v>1006</v>
      </c>
      <c r="B1008" s="6" t="str">
        <f>"李布林"</f>
        <v>李布林</v>
      </c>
      <c r="C1008" s="6" t="str">
        <f aca="true" t="shared" si="536" ref="C1008:C1010">"男"</f>
        <v>男</v>
      </c>
      <c r="D1008" s="6" t="str">
        <f>"1994-07-08"</f>
        <v>1994-07-08</v>
      </c>
      <c r="E1008" s="6" t="str">
        <f>"硕士"</f>
        <v>硕士</v>
      </c>
      <c r="F1008" s="6" t="str">
        <f>"硕士研究生"</f>
        <v>硕士研究生</v>
      </c>
      <c r="G1008" s="6" t="str">
        <f>"建筑与土木工程"</f>
        <v>建筑与土木工程</v>
      </c>
      <c r="H1008" s="7" t="s">
        <v>9</v>
      </c>
    </row>
    <row r="1009" spans="1:8" ht="15" customHeight="1">
      <c r="A1009" s="5">
        <v>1007</v>
      </c>
      <c r="B1009" s="6" t="str">
        <f>"欧昌富"</f>
        <v>欧昌富</v>
      </c>
      <c r="C1009" s="6" t="str">
        <f t="shared" si="536"/>
        <v>男</v>
      </c>
      <c r="D1009" s="6" t="str">
        <f>"1994-08-07"</f>
        <v>1994-08-07</v>
      </c>
      <c r="E1009" s="6" t="str">
        <f t="shared" si="535"/>
        <v>大学本科</v>
      </c>
      <c r="F1009" s="6" t="str">
        <f>"农学学士"</f>
        <v>农学学士</v>
      </c>
      <c r="G1009" s="6" t="str">
        <f>"水产养殖学"</f>
        <v>水产养殖学</v>
      </c>
      <c r="H1009" s="7" t="s">
        <v>9</v>
      </c>
    </row>
    <row r="1010" spans="1:8" ht="15" customHeight="1">
      <c r="A1010" s="5">
        <v>1008</v>
      </c>
      <c r="B1010" s="6" t="str">
        <f>"林学晓"</f>
        <v>林学晓</v>
      </c>
      <c r="C1010" s="6" t="str">
        <f t="shared" si="536"/>
        <v>男</v>
      </c>
      <c r="D1010" s="6" t="str">
        <f>"1992-12-21"</f>
        <v>1992-12-21</v>
      </c>
      <c r="E1010" s="6" t="str">
        <f t="shared" si="535"/>
        <v>大学本科</v>
      </c>
      <c r="F1010" s="6" t="str">
        <f>"工学学士"</f>
        <v>工学学士</v>
      </c>
      <c r="G1010" s="6" t="str">
        <f>"物流工程"</f>
        <v>物流工程</v>
      </c>
      <c r="H1010" s="7" t="s">
        <v>9</v>
      </c>
    </row>
    <row r="1011" spans="1:8" ht="15" customHeight="1">
      <c r="A1011" s="5">
        <v>1009</v>
      </c>
      <c r="B1011" s="6" t="str">
        <f>"唐青源"</f>
        <v>唐青源</v>
      </c>
      <c r="C1011" s="6" t="str">
        <f aca="true" t="shared" si="537" ref="C1011:C1016">"女"</f>
        <v>女</v>
      </c>
      <c r="D1011" s="6" t="str">
        <f>"1997-01-05"</f>
        <v>1997-01-05</v>
      </c>
      <c r="E1011" s="6" t="str">
        <f>"大学本科学历"</f>
        <v>大学本科学历</v>
      </c>
      <c r="F1011" s="6" t="str">
        <f>"经济学学士"</f>
        <v>经济学学士</v>
      </c>
      <c r="G1011" s="6" t="str">
        <f>"金融学"</f>
        <v>金融学</v>
      </c>
      <c r="H1011" s="7" t="s">
        <v>9</v>
      </c>
    </row>
    <row r="1012" spans="1:8" ht="15" customHeight="1">
      <c r="A1012" s="5">
        <v>1010</v>
      </c>
      <c r="B1012" s="6" t="str">
        <f>"黄斌"</f>
        <v>黄斌</v>
      </c>
      <c r="C1012" s="6" t="str">
        <f aca="true" t="shared" si="538" ref="C1012:C1018">"男"</f>
        <v>男</v>
      </c>
      <c r="D1012" s="6" t="str">
        <f>"1999-01-18"</f>
        <v>1999-01-18</v>
      </c>
      <c r="E1012" s="6" t="str">
        <f aca="true" t="shared" si="539" ref="E1012:E1019">"本科"</f>
        <v>本科</v>
      </c>
      <c r="F1012" s="6" t="str">
        <f>"工学学士"</f>
        <v>工学学士</v>
      </c>
      <c r="G1012" s="6" t="str">
        <f>"土木工程"</f>
        <v>土木工程</v>
      </c>
      <c r="H1012" s="7" t="s">
        <v>9</v>
      </c>
    </row>
    <row r="1013" spans="1:8" ht="15" customHeight="1">
      <c r="A1013" s="5">
        <v>1011</v>
      </c>
      <c r="B1013" s="6" t="str">
        <f>"梁松婧"</f>
        <v>梁松婧</v>
      </c>
      <c r="C1013" s="6" t="str">
        <f t="shared" si="537"/>
        <v>女</v>
      </c>
      <c r="D1013" s="6" t="str">
        <f>"1994-09-13"</f>
        <v>1994-09-13</v>
      </c>
      <c r="E1013" s="6" t="str">
        <f>"本科学历"</f>
        <v>本科学历</v>
      </c>
      <c r="F1013" s="6" t="str">
        <f>"学士学位"</f>
        <v>学士学位</v>
      </c>
      <c r="G1013" s="6" t="str">
        <f>"市场营销"</f>
        <v>市场营销</v>
      </c>
      <c r="H1013" s="7" t="s">
        <v>9</v>
      </c>
    </row>
    <row r="1014" spans="1:8" ht="15" customHeight="1">
      <c r="A1014" s="5">
        <v>1012</v>
      </c>
      <c r="B1014" s="6" t="str">
        <f>"徐日鹏"</f>
        <v>徐日鹏</v>
      </c>
      <c r="C1014" s="6" t="str">
        <f t="shared" si="538"/>
        <v>男</v>
      </c>
      <c r="D1014" s="6" t="str">
        <f>"1999-10-08"</f>
        <v>1999-10-08</v>
      </c>
      <c r="E1014" s="6" t="str">
        <f t="shared" si="539"/>
        <v>本科</v>
      </c>
      <c r="F1014" s="6" t="str">
        <f>"农学学士"</f>
        <v>农学学士</v>
      </c>
      <c r="G1014" s="6" t="str">
        <f>"园艺"</f>
        <v>园艺</v>
      </c>
      <c r="H1014" s="7" t="s">
        <v>9</v>
      </c>
    </row>
    <row r="1015" spans="1:8" ht="15" customHeight="1">
      <c r="A1015" s="5">
        <v>1013</v>
      </c>
      <c r="B1015" s="6" t="str">
        <f>"黄璘璘"</f>
        <v>黄璘璘</v>
      </c>
      <c r="C1015" s="6" t="str">
        <f t="shared" si="537"/>
        <v>女</v>
      </c>
      <c r="D1015" s="6" t="str">
        <f>"1995-05-29"</f>
        <v>1995-05-29</v>
      </c>
      <c r="E1015" s="6" t="str">
        <f t="shared" si="539"/>
        <v>本科</v>
      </c>
      <c r="F1015" s="6" t="str">
        <f>"农学学士"</f>
        <v>农学学士</v>
      </c>
      <c r="G1015" s="6" t="str">
        <f>"植物保护"</f>
        <v>植物保护</v>
      </c>
      <c r="H1015" s="7" t="s">
        <v>9</v>
      </c>
    </row>
    <row r="1016" spans="1:8" ht="15" customHeight="1">
      <c r="A1016" s="5">
        <v>1014</v>
      </c>
      <c r="B1016" s="6" t="str">
        <f>"王瑾微"</f>
        <v>王瑾微</v>
      </c>
      <c r="C1016" s="6" t="str">
        <f t="shared" si="537"/>
        <v>女</v>
      </c>
      <c r="D1016" s="6" t="str">
        <f>"2000-07-27"</f>
        <v>2000-07-27</v>
      </c>
      <c r="E1016" s="6" t="str">
        <f t="shared" si="539"/>
        <v>本科</v>
      </c>
      <c r="F1016" s="6" t="str">
        <f>"管理学学士"</f>
        <v>管理学学士</v>
      </c>
      <c r="G1016" s="6" t="str">
        <f>"土地资源管理"</f>
        <v>土地资源管理</v>
      </c>
      <c r="H1016" s="7" t="s">
        <v>9</v>
      </c>
    </row>
    <row r="1017" spans="1:8" ht="15" customHeight="1">
      <c r="A1017" s="5">
        <v>1015</v>
      </c>
      <c r="B1017" s="6" t="str">
        <f>"周鑫"</f>
        <v>周鑫</v>
      </c>
      <c r="C1017" s="6" t="str">
        <f t="shared" si="538"/>
        <v>男</v>
      </c>
      <c r="D1017" s="6" t="str">
        <f>"1989-04-13"</f>
        <v>1989-04-13</v>
      </c>
      <c r="E1017" s="6" t="str">
        <f t="shared" si="539"/>
        <v>本科</v>
      </c>
      <c r="F1017" s="6" t="str">
        <f>"学士"</f>
        <v>学士</v>
      </c>
      <c r="G1017" s="6" t="str">
        <f>"计算机科学与技术"</f>
        <v>计算机科学与技术</v>
      </c>
      <c r="H1017" s="7" t="s">
        <v>9</v>
      </c>
    </row>
    <row r="1018" spans="1:8" ht="15" customHeight="1">
      <c r="A1018" s="5">
        <v>1016</v>
      </c>
      <c r="B1018" s="6" t="str">
        <f>"王邦任"</f>
        <v>王邦任</v>
      </c>
      <c r="C1018" s="6" t="str">
        <f t="shared" si="538"/>
        <v>男</v>
      </c>
      <c r="D1018" s="6" t="str">
        <f>"2000-10-25"</f>
        <v>2000-10-25</v>
      </c>
      <c r="E1018" s="6" t="str">
        <f t="shared" si="539"/>
        <v>本科</v>
      </c>
      <c r="F1018" s="6" t="str">
        <f>"学士"</f>
        <v>学士</v>
      </c>
      <c r="G1018" s="6" t="str">
        <f>"设施农业科学与工程"</f>
        <v>设施农业科学与工程</v>
      </c>
      <c r="H1018" s="7" t="s">
        <v>9</v>
      </c>
    </row>
    <row r="1019" spans="1:8" ht="15" customHeight="1">
      <c r="A1019" s="5">
        <v>1017</v>
      </c>
      <c r="B1019" s="6" t="str">
        <f>"龙慧晶"</f>
        <v>龙慧晶</v>
      </c>
      <c r="C1019" s="6" t="str">
        <f aca="true" t="shared" si="540" ref="C1019:C1022">"女"</f>
        <v>女</v>
      </c>
      <c r="D1019" s="6" t="str">
        <f>"1990-10-04"</f>
        <v>1990-10-04</v>
      </c>
      <c r="E1019" s="6" t="str">
        <f t="shared" si="539"/>
        <v>本科</v>
      </c>
      <c r="F1019" s="6" t="str">
        <f>"工学学士"</f>
        <v>工学学士</v>
      </c>
      <c r="G1019" s="6" t="str">
        <f>"建筑学"</f>
        <v>建筑学</v>
      </c>
      <c r="H1019" s="7" t="s">
        <v>9</v>
      </c>
    </row>
    <row r="1020" spans="1:8" ht="15" customHeight="1">
      <c r="A1020" s="5">
        <v>1018</v>
      </c>
      <c r="B1020" s="6" t="str">
        <f>"郑晓娟"</f>
        <v>郑晓娟</v>
      </c>
      <c r="C1020" s="6" t="str">
        <f t="shared" si="540"/>
        <v>女</v>
      </c>
      <c r="D1020" s="6" t="str">
        <f>"1995-02-23"</f>
        <v>1995-02-23</v>
      </c>
      <c r="E1020" s="6" t="str">
        <f>"大学本科学历"</f>
        <v>大学本科学历</v>
      </c>
      <c r="F1020" s="6" t="str">
        <f aca="true" t="shared" si="541" ref="F1020:F1024">"管理学学士"</f>
        <v>管理学学士</v>
      </c>
      <c r="G1020" s="6" t="str">
        <f>"财务管理"</f>
        <v>财务管理</v>
      </c>
      <c r="H1020" s="7" t="s">
        <v>9</v>
      </c>
    </row>
    <row r="1021" spans="1:8" ht="15" customHeight="1">
      <c r="A1021" s="5">
        <v>1019</v>
      </c>
      <c r="B1021" s="6" t="str">
        <f>"廖宝通"</f>
        <v>廖宝通</v>
      </c>
      <c r="C1021" s="6" t="str">
        <f aca="true" t="shared" si="542" ref="C1021:C1028">"男"</f>
        <v>男</v>
      </c>
      <c r="D1021" s="6" t="str">
        <f>"1997-06-10"</f>
        <v>1997-06-10</v>
      </c>
      <c r="E1021" s="6" t="str">
        <f>"大学本科"</f>
        <v>大学本科</v>
      </c>
      <c r="F1021" s="6" t="str">
        <f>"工学学士"</f>
        <v>工学学士</v>
      </c>
      <c r="G1021" s="6" t="str">
        <f>"计算机科学与技术"</f>
        <v>计算机科学与技术</v>
      </c>
      <c r="H1021" s="7" t="s">
        <v>9</v>
      </c>
    </row>
    <row r="1022" spans="1:8" ht="15" customHeight="1">
      <c r="A1022" s="5">
        <v>1020</v>
      </c>
      <c r="B1022" s="6" t="str">
        <f>"谢杨"</f>
        <v>谢杨</v>
      </c>
      <c r="C1022" s="6" t="str">
        <f t="shared" si="540"/>
        <v>女</v>
      </c>
      <c r="D1022" s="6" t="str">
        <f>"1995-12-21"</f>
        <v>1995-12-21</v>
      </c>
      <c r="E1022" s="6" t="str">
        <f aca="true" t="shared" si="543" ref="E1022:E1025">"本科"</f>
        <v>本科</v>
      </c>
      <c r="F1022" s="6" t="str">
        <f t="shared" si="541"/>
        <v>管理学学士</v>
      </c>
      <c r="G1022" s="6" t="str">
        <f>"物流管理"</f>
        <v>物流管理</v>
      </c>
      <c r="H1022" s="7" t="s">
        <v>9</v>
      </c>
    </row>
    <row r="1023" spans="1:8" ht="15" customHeight="1">
      <c r="A1023" s="5">
        <v>1021</v>
      </c>
      <c r="B1023" s="6" t="str">
        <f>"罗浩"</f>
        <v>罗浩</v>
      </c>
      <c r="C1023" s="6" t="str">
        <f t="shared" si="542"/>
        <v>男</v>
      </c>
      <c r="D1023" s="6" t="str">
        <f>"1997-01-05"</f>
        <v>1997-01-05</v>
      </c>
      <c r="E1023" s="6" t="str">
        <f t="shared" si="543"/>
        <v>本科</v>
      </c>
      <c r="F1023" s="6" t="str">
        <f t="shared" si="541"/>
        <v>管理学学士</v>
      </c>
      <c r="G1023" s="6" t="str">
        <f>"会计学"</f>
        <v>会计学</v>
      </c>
      <c r="H1023" s="7" t="s">
        <v>9</v>
      </c>
    </row>
    <row r="1024" spans="1:8" ht="15" customHeight="1">
      <c r="A1024" s="5">
        <v>1022</v>
      </c>
      <c r="B1024" s="6" t="str">
        <f>"李桂娟"</f>
        <v>李桂娟</v>
      </c>
      <c r="C1024" s="6" t="str">
        <f aca="true" t="shared" si="544" ref="C1024:C1031">"女"</f>
        <v>女</v>
      </c>
      <c r="D1024" s="6" t="str">
        <f>"1997-08-24"</f>
        <v>1997-08-24</v>
      </c>
      <c r="E1024" s="6" t="str">
        <f t="shared" si="543"/>
        <v>本科</v>
      </c>
      <c r="F1024" s="6" t="str">
        <f t="shared" si="541"/>
        <v>管理学学士</v>
      </c>
      <c r="G1024" s="6" t="str">
        <f>"会计学"</f>
        <v>会计学</v>
      </c>
      <c r="H1024" s="7" t="s">
        <v>9</v>
      </c>
    </row>
    <row r="1025" spans="1:8" ht="15" customHeight="1">
      <c r="A1025" s="5">
        <v>1023</v>
      </c>
      <c r="B1025" s="6" t="str">
        <f>"李英燕"</f>
        <v>李英燕</v>
      </c>
      <c r="C1025" s="6" t="str">
        <f t="shared" si="544"/>
        <v>女</v>
      </c>
      <c r="D1025" s="6" t="str">
        <f>"1992-12-20"</f>
        <v>1992-12-20</v>
      </c>
      <c r="E1025" s="6" t="str">
        <f t="shared" si="543"/>
        <v>本科</v>
      </c>
      <c r="F1025" s="6" t="str">
        <f>"管理学学士学位"</f>
        <v>管理学学士学位</v>
      </c>
      <c r="G1025" s="6" t="str">
        <f>"工程管理"</f>
        <v>工程管理</v>
      </c>
      <c r="H1025" s="7" t="s">
        <v>9</v>
      </c>
    </row>
    <row r="1026" spans="1:8" ht="15" customHeight="1">
      <c r="A1026" s="5">
        <v>1024</v>
      </c>
      <c r="B1026" s="6" t="str">
        <f>"林楠"</f>
        <v>林楠</v>
      </c>
      <c r="C1026" s="6" t="str">
        <f t="shared" si="542"/>
        <v>男</v>
      </c>
      <c r="D1026" s="6" t="str">
        <f>"1995-10-08"</f>
        <v>1995-10-08</v>
      </c>
      <c r="E1026" s="6" t="str">
        <f>"全日制大学本科"</f>
        <v>全日制大学本科</v>
      </c>
      <c r="F1026" s="6" t="str">
        <f>"经济学学士"</f>
        <v>经济学学士</v>
      </c>
      <c r="G1026" s="6" t="str">
        <f>"金融工程"</f>
        <v>金融工程</v>
      </c>
      <c r="H1026" s="7" t="s">
        <v>9</v>
      </c>
    </row>
    <row r="1027" spans="1:8" ht="15" customHeight="1">
      <c r="A1027" s="5">
        <v>1025</v>
      </c>
      <c r="B1027" s="6" t="str">
        <f>"韩金仁"</f>
        <v>韩金仁</v>
      </c>
      <c r="C1027" s="6" t="str">
        <f t="shared" si="542"/>
        <v>男</v>
      </c>
      <c r="D1027" s="6" t="str">
        <f>"1995-03-15"</f>
        <v>1995-03-15</v>
      </c>
      <c r="E1027" s="6" t="str">
        <f aca="true" t="shared" si="545" ref="E1027:E1032">"本科"</f>
        <v>本科</v>
      </c>
      <c r="F1027" s="6" t="str">
        <f aca="true" t="shared" si="546" ref="F1027:F1032">"管理学学士"</f>
        <v>管理学学士</v>
      </c>
      <c r="G1027" s="6" t="str">
        <f>"物流管理"</f>
        <v>物流管理</v>
      </c>
      <c r="H1027" s="7" t="s">
        <v>9</v>
      </c>
    </row>
    <row r="1028" spans="1:8" ht="15" customHeight="1">
      <c r="A1028" s="5">
        <v>1026</v>
      </c>
      <c r="B1028" s="6" t="str">
        <f>"邱程"</f>
        <v>邱程</v>
      </c>
      <c r="C1028" s="6" t="str">
        <f t="shared" si="542"/>
        <v>男</v>
      </c>
      <c r="D1028" s="6" t="str">
        <f>"2001-08-14"</f>
        <v>2001-08-14</v>
      </c>
      <c r="E1028" s="6" t="str">
        <f aca="true" t="shared" si="547" ref="E1028:E1033">"大学本科"</f>
        <v>大学本科</v>
      </c>
      <c r="F1028" s="6" t="str">
        <f>"工学学士"</f>
        <v>工学学士</v>
      </c>
      <c r="G1028" s="6" t="str">
        <f>"计算机科学与技术"</f>
        <v>计算机科学与技术</v>
      </c>
      <c r="H1028" s="7" t="s">
        <v>9</v>
      </c>
    </row>
    <row r="1029" spans="1:8" ht="15" customHeight="1">
      <c r="A1029" s="5">
        <v>1027</v>
      </c>
      <c r="B1029" s="6" t="str">
        <f>"王丹"</f>
        <v>王丹</v>
      </c>
      <c r="C1029" s="6" t="str">
        <f t="shared" si="544"/>
        <v>女</v>
      </c>
      <c r="D1029" s="6" t="str">
        <f>"1997-07-06"</f>
        <v>1997-07-06</v>
      </c>
      <c r="E1029" s="6" t="str">
        <f t="shared" si="545"/>
        <v>本科</v>
      </c>
      <c r="F1029" s="6" t="str">
        <f>"学士"</f>
        <v>学士</v>
      </c>
      <c r="G1029" s="6" t="str">
        <f>"环境科学"</f>
        <v>环境科学</v>
      </c>
      <c r="H1029" s="7" t="s">
        <v>9</v>
      </c>
    </row>
    <row r="1030" spans="1:8" ht="15" customHeight="1">
      <c r="A1030" s="5">
        <v>1028</v>
      </c>
      <c r="B1030" s="6" t="str">
        <f>"陈章叶"</f>
        <v>陈章叶</v>
      </c>
      <c r="C1030" s="6" t="str">
        <f t="shared" si="544"/>
        <v>女</v>
      </c>
      <c r="D1030" s="6" t="str">
        <f>"1995-10-28"</f>
        <v>1995-10-28</v>
      </c>
      <c r="E1030" s="6" t="str">
        <f t="shared" si="547"/>
        <v>大学本科</v>
      </c>
      <c r="F1030" s="6" t="str">
        <f>"管理学学士学位"</f>
        <v>管理学学士学位</v>
      </c>
      <c r="G1030" s="6" t="str">
        <f>"财务管理(会计方向）"</f>
        <v>财务管理(会计方向）</v>
      </c>
      <c r="H1030" s="7" t="s">
        <v>9</v>
      </c>
    </row>
    <row r="1031" spans="1:8" ht="15" customHeight="1">
      <c r="A1031" s="5">
        <v>1029</v>
      </c>
      <c r="B1031" s="6" t="str">
        <f>"陈诗婷"</f>
        <v>陈诗婷</v>
      </c>
      <c r="C1031" s="6" t="str">
        <f t="shared" si="544"/>
        <v>女</v>
      </c>
      <c r="D1031" s="6" t="str">
        <f>"1998-03-26"</f>
        <v>1998-03-26</v>
      </c>
      <c r="E1031" s="6" t="str">
        <f t="shared" si="545"/>
        <v>本科</v>
      </c>
      <c r="F1031" s="6" t="str">
        <f t="shared" si="546"/>
        <v>管理学学士</v>
      </c>
      <c r="G1031" s="6" t="str">
        <f>"旅游管理"</f>
        <v>旅游管理</v>
      </c>
      <c r="H1031" s="7" t="s">
        <v>9</v>
      </c>
    </row>
    <row r="1032" spans="1:8" ht="15" customHeight="1">
      <c r="A1032" s="5">
        <v>1030</v>
      </c>
      <c r="B1032" s="6" t="str">
        <f>"李深威"</f>
        <v>李深威</v>
      </c>
      <c r="C1032" s="6" t="str">
        <f aca="true" t="shared" si="548" ref="C1032:C1039">"男"</f>
        <v>男</v>
      </c>
      <c r="D1032" s="6" t="str">
        <f>"1997-08-24"</f>
        <v>1997-08-24</v>
      </c>
      <c r="E1032" s="6" t="str">
        <f t="shared" si="545"/>
        <v>本科</v>
      </c>
      <c r="F1032" s="6" t="str">
        <f t="shared" si="546"/>
        <v>管理学学士</v>
      </c>
      <c r="G1032" s="6" t="str">
        <f>"海事管理"</f>
        <v>海事管理</v>
      </c>
      <c r="H1032" s="7" t="s">
        <v>9</v>
      </c>
    </row>
    <row r="1033" spans="1:8" ht="15" customHeight="1">
      <c r="A1033" s="5">
        <v>1031</v>
      </c>
      <c r="B1033" s="6" t="str">
        <f>"张婕"</f>
        <v>张婕</v>
      </c>
      <c r="C1033" s="6" t="str">
        <f aca="true" t="shared" si="549" ref="C1033:C1035">"女"</f>
        <v>女</v>
      </c>
      <c r="D1033" s="6" t="str">
        <f>"1998-08-05"</f>
        <v>1998-08-05</v>
      </c>
      <c r="E1033" s="6" t="str">
        <f t="shared" si="547"/>
        <v>大学本科</v>
      </c>
      <c r="F1033" s="6" t="str">
        <f>"文学学士"</f>
        <v>文学学士</v>
      </c>
      <c r="G1033" s="6" t="str">
        <f>"汉语言文学"</f>
        <v>汉语言文学</v>
      </c>
      <c r="H1033" s="7" t="s">
        <v>9</v>
      </c>
    </row>
    <row r="1034" spans="1:8" ht="15" customHeight="1">
      <c r="A1034" s="5">
        <v>1032</v>
      </c>
      <c r="B1034" s="6" t="str">
        <f>"黄启荟"</f>
        <v>黄启荟</v>
      </c>
      <c r="C1034" s="6" t="str">
        <f t="shared" si="549"/>
        <v>女</v>
      </c>
      <c r="D1034" s="6" t="str">
        <f>"1995-08-29"</f>
        <v>1995-08-29</v>
      </c>
      <c r="E1034" s="6" t="str">
        <f aca="true" t="shared" si="550" ref="E1034:E1039">"本科"</f>
        <v>本科</v>
      </c>
      <c r="F1034" s="6" t="str">
        <f>"经济学学士"</f>
        <v>经济学学士</v>
      </c>
      <c r="G1034" s="6" t="str">
        <f>"金融学"</f>
        <v>金融学</v>
      </c>
      <c r="H1034" s="7" t="s">
        <v>9</v>
      </c>
    </row>
    <row r="1035" spans="1:8" ht="15" customHeight="1">
      <c r="A1035" s="5">
        <v>1033</v>
      </c>
      <c r="B1035" s="6" t="str">
        <f>"林琳"</f>
        <v>林琳</v>
      </c>
      <c r="C1035" s="6" t="str">
        <f t="shared" si="549"/>
        <v>女</v>
      </c>
      <c r="D1035" s="6" t="str">
        <f>"1997-08-17"</f>
        <v>1997-08-17</v>
      </c>
      <c r="E1035" s="6" t="str">
        <f t="shared" si="550"/>
        <v>本科</v>
      </c>
      <c r="F1035" s="6" t="str">
        <f>"学士学位"</f>
        <v>学士学位</v>
      </c>
      <c r="G1035" s="6" t="str">
        <f>"财务管理"</f>
        <v>财务管理</v>
      </c>
      <c r="H1035" s="7" t="s">
        <v>9</v>
      </c>
    </row>
    <row r="1036" spans="1:8" ht="15" customHeight="1">
      <c r="A1036" s="5">
        <v>1034</v>
      </c>
      <c r="B1036" s="6" t="str">
        <f>"林小冈"</f>
        <v>林小冈</v>
      </c>
      <c r="C1036" s="6" t="str">
        <f t="shared" si="548"/>
        <v>男</v>
      </c>
      <c r="D1036" s="6" t="str">
        <f>"1992-04-12"</f>
        <v>1992-04-12</v>
      </c>
      <c r="E1036" s="6" t="str">
        <f aca="true" t="shared" si="551" ref="E1036:E1041">"大学本科学历"</f>
        <v>大学本科学历</v>
      </c>
      <c r="F1036" s="6" t="str">
        <f>"工学学士"</f>
        <v>工学学士</v>
      </c>
      <c r="G1036" s="6" t="str">
        <f>"计算机科学与技术"</f>
        <v>计算机科学与技术</v>
      </c>
      <c r="H1036" s="7" t="s">
        <v>9</v>
      </c>
    </row>
    <row r="1037" spans="1:8" ht="15" customHeight="1">
      <c r="A1037" s="5">
        <v>1035</v>
      </c>
      <c r="B1037" s="6" t="str">
        <f>"林捷"</f>
        <v>林捷</v>
      </c>
      <c r="C1037" s="6" t="str">
        <f t="shared" si="548"/>
        <v>男</v>
      </c>
      <c r="D1037" s="6" t="str">
        <f>"1990-06-19"</f>
        <v>1990-06-19</v>
      </c>
      <c r="E1037" s="6" t="str">
        <f t="shared" si="550"/>
        <v>本科</v>
      </c>
      <c r="F1037" s="6" t="str">
        <f>"管理学学士"</f>
        <v>管理学学士</v>
      </c>
      <c r="G1037" s="6" t="str">
        <f>"旅游管理"</f>
        <v>旅游管理</v>
      </c>
      <c r="H1037" s="7" t="s">
        <v>9</v>
      </c>
    </row>
    <row r="1038" spans="1:8" ht="15" customHeight="1">
      <c r="A1038" s="5">
        <v>1036</v>
      </c>
      <c r="B1038" s="6" t="str">
        <f>"黎铭骏"</f>
        <v>黎铭骏</v>
      </c>
      <c r="C1038" s="6" t="str">
        <f t="shared" si="548"/>
        <v>男</v>
      </c>
      <c r="D1038" s="6" t="str">
        <f>"1998-03-04"</f>
        <v>1998-03-04</v>
      </c>
      <c r="E1038" s="6" t="str">
        <f t="shared" si="550"/>
        <v>本科</v>
      </c>
      <c r="F1038" s="6" t="str">
        <f>"无"</f>
        <v>无</v>
      </c>
      <c r="G1038" s="6" t="str">
        <f>"建筑工程"</f>
        <v>建筑工程</v>
      </c>
      <c r="H1038" s="7" t="s">
        <v>9</v>
      </c>
    </row>
    <row r="1039" spans="1:8" ht="15" customHeight="1">
      <c r="A1039" s="5">
        <v>1037</v>
      </c>
      <c r="B1039" s="6" t="str">
        <f>"何焕卓"</f>
        <v>何焕卓</v>
      </c>
      <c r="C1039" s="6" t="str">
        <f t="shared" si="548"/>
        <v>男</v>
      </c>
      <c r="D1039" s="6" t="str">
        <f>"1998-03-15"</f>
        <v>1998-03-15</v>
      </c>
      <c r="E1039" s="6" t="str">
        <f t="shared" si="550"/>
        <v>本科</v>
      </c>
      <c r="F1039" s="6" t="str">
        <f>"理学学士"</f>
        <v>理学学士</v>
      </c>
      <c r="G1039" s="6" t="str">
        <f>"生态学"</f>
        <v>生态学</v>
      </c>
      <c r="H1039" s="7" t="s">
        <v>9</v>
      </c>
    </row>
    <row r="1040" spans="1:8" ht="15" customHeight="1">
      <c r="A1040" s="5">
        <v>1038</v>
      </c>
      <c r="B1040" s="6" t="str">
        <f>"邓琳"</f>
        <v>邓琳</v>
      </c>
      <c r="C1040" s="6" t="str">
        <f>"女"</f>
        <v>女</v>
      </c>
      <c r="D1040" s="6" t="str">
        <f>"2000-06-24"</f>
        <v>2000-06-24</v>
      </c>
      <c r="E1040" s="6" t="str">
        <f t="shared" si="551"/>
        <v>大学本科学历</v>
      </c>
      <c r="F1040" s="6" t="str">
        <f>"管理学学士"</f>
        <v>管理学学士</v>
      </c>
      <c r="G1040" s="6" t="str">
        <f>"市场营销"</f>
        <v>市场营销</v>
      </c>
      <c r="H1040" s="7" t="s">
        <v>9</v>
      </c>
    </row>
    <row r="1041" spans="1:8" ht="15" customHeight="1">
      <c r="A1041" s="5">
        <v>1039</v>
      </c>
      <c r="B1041" s="6" t="str">
        <f>"梁正雨"</f>
        <v>梁正雨</v>
      </c>
      <c r="C1041" s="6" t="str">
        <f aca="true" t="shared" si="552" ref="C1041:C1047">"男"</f>
        <v>男</v>
      </c>
      <c r="D1041" s="6" t="str">
        <f>"1997-10-17"</f>
        <v>1997-10-17</v>
      </c>
      <c r="E1041" s="6" t="str">
        <f t="shared" si="551"/>
        <v>大学本科学历</v>
      </c>
      <c r="F1041" s="6" t="str">
        <f>"经济学学士"</f>
        <v>经济学学士</v>
      </c>
      <c r="G1041" s="6" t="str">
        <f>"经济学"</f>
        <v>经济学</v>
      </c>
      <c r="H1041" s="7" t="s">
        <v>9</v>
      </c>
    </row>
    <row r="1042" spans="1:8" ht="15" customHeight="1">
      <c r="A1042" s="5">
        <v>1040</v>
      </c>
      <c r="B1042" s="6" t="str">
        <f>"李俊威"</f>
        <v>李俊威</v>
      </c>
      <c r="C1042" s="6" t="str">
        <f t="shared" si="552"/>
        <v>男</v>
      </c>
      <c r="D1042" s="6" t="str">
        <f>"1997-01-12"</f>
        <v>1997-01-12</v>
      </c>
      <c r="E1042" s="6" t="str">
        <f aca="true" t="shared" si="553" ref="E1042:E1045">"本科"</f>
        <v>本科</v>
      </c>
      <c r="F1042" s="6" t="str">
        <f aca="true" t="shared" si="554" ref="F1042:F1045">"工学学士"</f>
        <v>工学学士</v>
      </c>
      <c r="G1042" s="6" t="str">
        <f>"计算机科学与技术"</f>
        <v>计算机科学与技术</v>
      </c>
      <c r="H1042" s="7" t="s">
        <v>9</v>
      </c>
    </row>
    <row r="1043" spans="1:8" ht="15" customHeight="1">
      <c r="A1043" s="5">
        <v>1041</v>
      </c>
      <c r="B1043" s="6" t="str">
        <f>"林秀雅"</f>
        <v>林秀雅</v>
      </c>
      <c r="C1043" s="6" t="str">
        <f>"女"</f>
        <v>女</v>
      </c>
      <c r="D1043" s="6" t="str">
        <f>"1997-10-25"</f>
        <v>1997-10-25</v>
      </c>
      <c r="E1043" s="6" t="str">
        <f>"本科学历"</f>
        <v>本科学历</v>
      </c>
      <c r="F1043" s="6" t="str">
        <f>"农学学士"</f>
        <v>农学学士</v>
      </c>
      <c r="G1043" s="6" t="str">
        <f>"园林"</f>
        <v>园林</v>
      </c>
      <c r="H1043" s="7" t="s">
        <v>9</v>
      </c>
    </row>
    <row r="1044" spans="1:8" ht="15" customHeight="1">
      <c r="A1044" s="5">
        <v>1042</v>
      </c>
      <c r="B1044" s="6" t="str">
        <f>"何高龙"</f>
        <v>何高龙</v>
      </c>
      <c r="C1044" s="6" t="str">
        <f t="shared" si="552"/>
        <v>男</v>
      </c>
      <c r="D1044" s="6" t="str">
        <f>"1992-12-17"</f>
        <v>1992-12-17</v>
      </c>
      <c r="E1044" s="6" t="str">
        <f t="shared" si="553"/>
        <v>本科</v>
      </c>
      <c r="F1044" s="6" t="str">
        <f t="shared" si="554"/>
        <v>工学学士</v>
      </c>
      <c r="G1044" s="6" t="str">
        <f>"设施农业科学与工程"</f>
        <v>设施农业科学与工程</v>
      </c>
      <c r="H1044" s="7" t="s">
        <v>9</v>
      </c>
    </row>
    <row r="1045" spans="1:8" ht="15" customHeight="1">
      <c r="A1045" s="5">
        <v>1043</v>
      </c>
      <c r="B1045" s="6" t="str">
        <f>"关业梓"</f>
        <v>关业梓</v>
      </c>
      <c r="C1045" s="6" t="str">
        <f t="shared" si="552"/>
        <v>男</v>
      </c>
      <c r="D1045" s="6" t="str">
        <f>"1991-05-31"</f>
        <v>1991-05-31</v>
      </c>
      <c r="E1045" s="6" t="str">
        <f t="shared" si="553"/>
        <v>本科</v>
      </c>
      <c r="F1045" s="6" t="str">
        <f t="shared" si="554"/>
        <v>工学学士</v>
      </c>
      <c r="G1045" s="6" t="str">
        <f>"环境工程"</f>
        <v>环境工程</v>
      </c>
      <c r="H1045" s="7" t="s">
        <v>9</v>
      </c>
    </row>
    <row r="1046" spans="1:8" ht="15" customHeight="1">
      <c r="A1046" s="5">
        <v>1044</v>
      </c>
      <c r="B1046" s="6" t="str">
        <f>"钟斌"</f>
        <v>钟斌</v>
      </c>
      <c r="C1046" s="6" t="str">
        <f t="shared" si="552"/>
        <v>男</v>
      </c>
      <c r="D1046" s="6" t="str">
        <f>"1996-04-03"</f>
        <v>1996-04-03</v>
      </c>
      <c r="E1046" s="6" t="str">
        <f>"大学本科学历"</f>
        <v>大学本科学历</v>
      </c>
      <c r="F1046" s="6" t="str">
        <f>"理学学士"</f>
        <v>理学学士</v>
      </c>
      <c r="G1046" s="6" t="str">
        <f>"计算机科学与技术（师范）"</f>
        <v>计算机科学与技术（师范）</v>
      </c>
      <c r="H1046" s="7" t="s">
        <v>9</v>
      </c>
    </row>
    <row r="1047" spans="1:8" ht="15" customHeight="1">
      <c r="A1047" s="5">
        <v>1045</v>
      </c>
      <c r="B1047" s="6" t="str">
        <f>"钟尊爽"</f>
        <v>钟尊爽</v>
      </c>
      <c r="C1047" s="6" t="str">
        <f t="shared" si="552"/>
        <v>男</v>
      </c>
      <c r="D1047" s="6" t="str">
        <f>"1999-12-16"</f>
        <v>1999-12-16</v>
      </c>
      <c r="E1047" s="6" t="str">
        <f aca="true" t="shared" si="555" ref="E1047:E1050">"本科"</f>
        <v>本科</v>
      </c>
      <c r="F1047" s="6" t="str">
        <f>"工学学士"</f>
        <v>工学学士</v>
      </c>
      <c r="G1047" s="6" t="str">
        <f>"建筑学"</f>
        <v>建筑学</v>
      </c>
      <c r="H1047" s="7" t="s">
        <v>9</v>
      </c>
    </row>
    <row r="1048" spans="1:8" ht="15" customHeight="1">
      <c r="A1048" s="5">
        <v>1046</v>
      </c>
      <c r="B1048" s="6" t="str">
        <f>"陈雯欣"</f>
        <v>陈雯欣</v>
      </c>
      <c r="C1048" s="6" t="str">
        <f aca="true" t="shared" si="556" ref="C1048:C1052">"女"</f>
        <v>女</v>
      </c>
      <c r="D1048" s="6" t="str">
        <f>"2000-06-05"</f>
        <v>2000-06-05</v>
      </c>
      <c r="E1048" s="6" t="str">
        <f t="shared" si="555"/>
        <v>本科</v>
      </c>
      <c r="F1048" s="6" t="str">
        <f>"管理学学士"</f>
        <v>管理学学士</v>
      </c>
      <c r="G1048" s="6" t="str">
        <f>"会计学"</f>
        <v>会计学</v>
      </c>
      <c r="H1048" s="7" t="s">
        <v>9</v>
      </c>
    </row>
    <row r="1049" spans="1:8" ht="15" customHeight="1">
      <c r="A1049" s="5">
        <v>1047</v>
      </c>
      <c r="B1049" s="6" t="str">
        <f>"夏耀武"</f>
        <v>夏耀武</v>
      </c>
      <c r="C1049" s="6" t="str">
        <f aca="true" t="shared" si="557" ref="C1049:C1053">"男"</f>
        <v>男</v>
      </c>
      <c r="D1049" s="6" t="str">
        <f>"1998-06-14"</f>
        <v>1998-06-14</v>
      </c>
      <c r="E1049" s="6" t="str">
        <f>"大学本科学历"</f>
        <v>大学本科学历</v>
      </c>
      <c r="F1049" s="6" t="str">
        <f>"商学学士"</f>
        <v>商学学士</v>
      </c>
      <c r="G1049" s="6" t="str">
        <f>"会计学"</f>
        <v>会计学</v>
      </c>
      <c r="H1049" s="7" t="s">
        <v>9</v>
      </c>
    </row>
    <row r="1050" spans="1:8" ht="15" customHeight="1">
      <c r="A1050" s="5">
        <v>1048</v>
      </c>
      <c r="B1050" s="6" t="str">
        <f>"张瑞丹"</f>
        <v>张瑞丹</v>
      </c>
      <c r="C1050" s="6" t="str">
        <f t="shared" si="556"/>
        <v>女</v>
      </c>
      <c r="D1050" s="6" t="str">
        <f>"1996-06-25"</f>
        <v>1996-06-25</v>
      </c>
      <c r="E1050" s="6" t="str">
        <f t="shared" si="555"/>
        <v>本科</v>
      </c>
      <c r="F1050" s="6" t="str">
        <f>"工学学位"</f>
        <v>工学学位</v>
      </c>
      <c r="G1050" s="6" t="str">
        <f>"物联网工程"</f>
        <v>物联网工程</v>
      </c>
      <c r="H1050" s="7" t="s">
        <v>9</v>
      </c>
    </row>
    <row r="1051" spans="1:8" ht="15" customHeight="1">
      <c r="A1051" s="5">
        <v>1049</v>
      </c>
      <c r="B1051" s="6" t="str">
        <f>"谢宗琳"</f>
        <v>谢宗琳</v>
      </c>
      <c r="C1051" s="6" t="str">
        <f t="shared" si="557"/>
        <v>男</v>
      </c>
      <c r="D1051" s="6" t="str">
        <f>"1992-06-12"</f>
        <v>1992-06-12</v>
      </c>
      <c r="E1051" s="6" t="str">
        <f>"研究生"</f>
        <v>研究生</v>
      </c>
      <c r="F1051" s="6" t="str">
        <f>"理学硕士"</f>
        <v>理学硕士</v>
      </c>
      <c r="G1051" s="6" t="str">
        <f>"生态学"</f>
        <v>生态学</v>
      </c>
      <c r="H1051" s="7" t="s">
        <v>9</v>
      </c>
    </row>
    <row r="1052" spans="1:8" ht="15" customHeight="1">
      <c r="A1052" s="5">
        <v>1050</v>
      </c>
      <c r="B1052" s="6" t="str">
        <f>"吴霏霏"</f>
        <v>吴霏霏</v>
      </c>
      <c r="C1052" s="6" t="str">
        <f t="shared" si="556"/>
        <v>女</v>
      </c>
      <c r="D1052" s="6" t="str">
        <f>"1998-07-08"</f>
        <v>1998-07-08</v>
      </c>
      <c r="E1052" s="6" t="str">
        <f aca="true" t="shared" si="558" ref="E1052:E1056">"大学本科"</f>
        <v>大学本科</v>
      </c>
      <c r="F1052" s="6" t="str">
        <f>"文学学士"</f>
        <v>文学学士</v>
      </c>
      <c r="G1052" s="6" t="str">
        <f>"汉语言文学"</f>
        <v>汉语言文学</v>
      </c>
      <c r="H1052" s="7" t="s">
        <v>9</v>
      </c>
    </row>
    <row r="1053" spans="1:8" ht="15" customHeight="1">
      <c r="A1053" s="5">
        <v>1051</v>
      </c>
      <c r="B1053" s="6" t="str">
        <f>"冼庆帝"</f>
        <v>冼庆帝</v>
      </c>
      <c r="C1053" s="6" t="str">
        <f t="shared" si="557"/>
        <v>男</v>
      </c>
      <c r="D1053" s="6" t="str">
        <f>"1994-05-24"</f>
        <v>1994-05-24</v>
      </c>
      <c r="E1053" s="6" t="str">
        <f t="shared" si="558"/>
        <v>大学本科</v>
      </c>
      <c r="F1053" s="6" t="str">
        <f>"管理学士学位"</f>
        <v>管理学士学位</v>
      </c>
      <c r="G1053" s="6" t="str">
        <f>"财务管理"</f>
        <v>财务管理</v>
      </c>
      <c r="H1053" s="7" t="s">
        <v>9</v>
      </c>
    </row>
    <row r="1054" spans="1:8" ht="15" customHeight="1">
      <c r="A1054" s="5">
        <v>1052</v>
      </c>
      <c r="B1054" s="6" t="str">
        <f>"孔香艳"</f>
        <v>孔香艳</v>
      </c>
      <c r="C1054" s="6" t="str">
        <f aca="true" t="shared" si="559" ref="C1054:C1057">"女"</f>
        <v>女</v>
      </c>
      <c r="D1054" s="6" t="str">
        <f>"2001-09-11"</f>
        <v>2001-09-11</v>
      </c>
      <c r="E1054" s="6" t="str">
        <f aca="true" t="shared" si="560" ref="E1054:E1057">"本科"</f>
        <v>本科</v>
      </c>
      <c r="F1054" s="6" t="str">
        <f>"文学学士"</f>
        <v>文学学士</v>
      </c>
      <c r="G1054" s="6" t="str">
        <f>"汉语言文学"</f>
        <v>汉语言文学</v>
      </c>
      <c r="H1054" s="7" t="s">
        <v>9</v>
      </c>
    </row>
    <row r="1055" spans="1:8" ht="15" customHeight="1">
      <c r="A1055" s="5">
        <v>1053</v>
      </c>
      <c r="B1055" s="6" t="str">
        <f>"蔡亲保"</f>
        <v>蔡亲保</v>
      </c>
      <c r="C1055" s="6" t="str">
        <f aca="true" t="shared" si="561" ref="C1055:C1060">"男"</f>
        <v>男</v>
      </c>
      <c r="D1055" s="6" t="str">
        <f>"1996-08-04"</f>
        <v>1996-08-04</v>
      </c>
      <c r="E1055" s="6" t="str">
        <f t="shared" si="560"/>
        <v>本科</v>
      </c>
      <c r="F1055" s="6" t="str">
        <f aca="true" t="shared" si="562" ref="F1055:F1058">"工学学士"</f>
        <v>工学学士</v>
      </c>
      <c r="G1055" s="6" t="str">
        <f>"土木工程"</f>
        <v>土木工程</v>
      </c>
      <c r="H1055" s="7" t="s">
        <v>9</v>
      </c>
    </row>
    <row r="1056" spans="1:8" ht="15" customHeight="1">
      <c r="A1056" s="5">
        <v>1054</v>
      </c>
      <c r="B1056" s="6" t="str">
        <f>"吴权恒"</f>
        <v>吴权恒</v>
      </c>
      <c r="C1056" s="6" t="str">
        <f t="shared" si="559"/>
        <v>女</v>
      </c>
      <c r="D1056" s="6" t="str">
        <f>"1999-05-06"</f>
        <v>1999-05-06</v>
      </c>
      <c r="E1056" s="6" t="str">
        <f t="shared" si="558"/>
        <v>大学本科</v>
      </c>
      <c r="F1056" s="6" t="str">
        <f>"农学学士"</f>
        <v>农学学士</v>
      </c>
      <c r="G1056" s="6" t="str">
        <f>"茶学"</f>
        <v>茶学</v>
      </c>
      <c r="H1056" s="7" t="s">
        <v>9</v>
      </c>
    </row>
    <row r="1057" spans="1:8" ht="15" customHeight="1">
      <c r="A1057" s="5">
        <v>1055</v>
      </c>
      <c r="B1057" s="6" t="str">
        <f>"王君"</f>
        <v>王君</v>
      </c>
      <c r="C1057" s="6" t="str">
        <f t="shared" si="559"/>
        <v>女</v>
      </c>
      <c r="D1057" s="6" t="str">
        <f>"1995-04-25"</f>
        <v>1995-04-25</v>
      </c>
      <c r="E1057" s="6" t="str">
        <f t="shared" si="560"/>
        <v>本科</v>
      </c>
      <c r="F1057" s="6" t="str">
        <f t="shared" si="562"/>
        <v>工学学士</v>
      </c>
      <c r="G1057" s="6" t="str">
        <f>"城乡规划"</f>
        <v>城乡规划</v>
      </c>
      <c r="H1057" s="7" t="s">
        <v>9</v>
      </c>
    </row>
    <row r="1058" spans="1:8" ht="15" customHeight="1">
      <c r="A1058" s="5">
        <v>1056</v>
      </c>
      <c r="B1058" s="6" t="str">
        <f>"陈应选"</f>
        <v>陈应选</v>
      </c>
      <c r="C1058" s="6" t="str">
        <f t="shared" si="561"/>
        <v>男</v>
      </c>
      <c r="D1058" s="6" t="str">
        <f>"1997-10-08"</f>
        <v>1997-10-08</v>
      </c>
      <c r="E1058" s="6" t="str">
        <f>"大学本科学历"</f>
        <v>大学本科学历</v>
      </c>
      <c r="F1058" s="6" t="str">
        <f t="shared" si="562"/>
        <v>工学学士</v>
      </c>
      <c r="G1058" s="6" t="str">
        <f>"建筑学"</f>
        <v>建筑学</v>
      </c>
      <c r="H1058" s="7" t="s">
        <v>9</v>
      </c>
    </row>
    <row r="1059" spans="1:8" ht="15" customHeight="1">
      <c r="A1059" s="5">
        <v>1057</v>
      </c>
      <c r="B1059" s="6" t="str">
        <f>"潘振宇"</f>
        <v>潘振宇</v>
      </c>
      <c r="C1059" s="6" t="str">
        <f t="shared" si="561"/>
        <v>男</v>
      </c>
      <c r="D1059" s="6" t="str">
        <f>"1998-07-19"</f>
        <v>1998-07-19</v>
      </c>
      <c r="E1059" s="6" t="str">
        <f>"硕士研究生"</f>
        <v>硕士研究生</v>
      </c>
      <c r="F1059" s="6" t="str">
        <f>"应用统计硕士"</f>
        <v>应用统计硕士</v>
      </c>
      <c r="G1059" s="6" t="str">
        <f>"应用统计"</f>
        <v>应用统计</v>
      </c>
      <c r="H1059" s="7" t="s">
        <v>9</v>
      </c>
    </row>
    <row r="1060" spans="1:8" ht="15" customHeight="1">
      <c r="A1060" s="5">
        <v>1058</v>
      </c>
      <c r="B1060" s="6" t="str">
        <f>"郭泽山"</f>
        <v>郭泽山</v>
      </c>
      <c r="C1060" s="6" t="str">
        <f t="shared" si="561"/>
        <v>男</v>
      </c>
      <c r="D1060" s="6" t="str">
        <f>"1998-02-12"</f>
        <v>1998-02-12</v>
      </c>
      <c r="E1060" s="6" t="str">
        <f aca="true" t="shared" si="563" ref="E1060:E1064">"本科"</f>
        <v>本科</v>
      </c>
      <c r="F1060" s="6" t="str">
        <f aca="true" t="shared" si="564" ref="F1060:F1064">"工学学士"</f>
        <v>工学学士</v>
      </c>
      <c r="G1060" s="6" t="str">
        <f>"城乡规划"</f>
        <v>城乡规划</v>
      </c>
      <c r="H1060" s="7" t="s">
        <v>9</v>
      </c>
    </row>
    <row r="1061" spans="1:8" ht="15" customHeight="1">
      <c r="A1061" s="5">
        <v>1059</v>
      </c>
      <c r="B1061" s="6" t="str">
        <f>"李月女"</f>
        <v>李月女</v>
      </c>
      <c r="C1061" s="6" t="str">
        <f>"女"</f>
        <v>女</v>
      </c>
      <c r="D1061" s="6" t="str">
        <f>"1997-05-06"</f>
        <v>1997-05-06</v>
      </c>
      <c r="E1061" s="6" t="str">
        <f t="shared" si="563"/>
        <v>本科</v>
      </c>
      <c r="F1061" s="6" t="str">
        <f t="shared" si="564"/>
        <v>工学学士</v>
      </c>
      <c r="G1061" s="6" t="str">
        <f>"环境科学与工程"</f>
        <v>环境科学与工程</v>
      </c>
      <c r="H1061" s="7" t="s">
        <v>9</v>
      </c>
    </row>
    <row r="1062" spans="1:8" ht="15" customHeight="1">
      <c r="A1062" s="5">
        <v>1060</v>
      </c>
      <c r="B1062" s="6" t="str">
        <f>"黎颖聪"</f>
        <v>黎颖聪</v>
      </c>
      <c r="C1062" s="6" t="str">
        <f aca="true" t="shared" si="565" ref="C1062:C1067">"男"</f>
        <v>男</v>
      </c>
      <c r="D1062" s="6" t="str">
        <f>"2000-01-20"</f>
        <v>2000-01-20</v>
      </c>
      <c r="E1062" s="6" t="str">
        <f t="shared" si="563"/>
        <v>本科</v>
      </c>
      <c r="F1062" s="6" t="str">
        <f>"文学学士"</f>
        <v>文学学士</v>
      </c>
      <c r="G1062" s="6" t="str">
        <f>"汉语言文学"</f>
        <v>汉语言文学</v>
      </c>
      <c r="H1062" s="7" t="s">
        <v>9</v>
      </c>
    </row>
    <row r="1063" spans="1:8" ht="15" customHeight="1">
      <c r="A1063" s="5">
        <v>1061</v>
      </c>
      <c r="B1063" s="6" t="str">
        <f>"李毅龙"</f>
        <v>李毅龙</v>
      </c>
      <c r="C1063" s="6" t="str">
        <f t="shared" si="565"/>
        <v>男</v>
      </c>
      <c r="D1063" s="6" t="str">
        <f>"2000-02-03"</f>
        <v>2000-02-03</v>
      </c>
      <c r="E1063" s="6" t="str">
        <f t="shared" si="563"/>
        <v>本科</v>
      </c>
      <c r="F1063" s="6" t="str">
        <f>"理学学士"</f>
        <v>理学学士</v>
      </c>
      <c r="G1063" s="6" t="str">
        <f aca="true" t="shared" si="566" ref="G1063:G1067">"计算机科学与技术"</f>
        <v>计算机科学与技术</v>
      </c>
      <c r="H1063" s="7" t="s">
        <v>9</v>
      </c>
    </row>
    <row r="1064" spans="1:8" ht="15" customHeight="1">
      <c r="A1064" s="5">
        <v>1062</v>
      </c>
      <c r="B1064" s="6" t="str">
        <f>"钟国玲"</f>
        <v>钟国玲</v>
      </c>
      <c r="C1064" s="6" t="str">
        <f aca="true" t="shared" si="567" ref="C1064:C1071">"女"</f>
        <v>女</v>
      </c>
      <c r="D1064" s="6" t="str">
        <f>"1997-11-15"</f>
        <v>1997-11-15</v>
      </c>
      <c r="E1064" s="6" t="str">
        <f t="shared" si="563"/>
        <v>本科</v>
      </c>
      <c r="F1064" s="6" t="str">
        <f t="shared" si="564"/>
        <v>工学学士</v>
      </c>
      <c r="G1064" s="6" t="str">
        <f t="shared" si="566"/>
        <v>计算机科学与技术</v>
      </c>
      <c r="H1064" s="7" t="s">
        <v>9</v>
      </c>
    </row>
    <row r="1065" spans="1:8" ht="15" customHeight="1">
      <c r="A1065" s="5">
        <v>1063</v>
      </c>
      <c r="B1065" s="6" t="str">
        <f>"胡许颜"</f>
        <v>胡许颜</v>
      </c>
      <c r="C1065" s="6" t="str">
        <f t="shared" si="565"/>
        <v>男</v>
      </c>
      <c r="D1065" s="6" t="str">
        <f>"1993-05-05"</f>
        <v>1993-05-05</v>
      </c>
      <c r="E1065" s="6" t="str">
        <f>"大学本科"</f>
        <v>大学本科</v>
      </c>
      <c r="F1065" s="6" t="str">
        <f>"管理学学士"</f>
        <v>管理学学士</v>
      </c>
      <c r="G1065" s="6" t="str">
        <f>"工程管理"</f>
        <v>工程管理</v>
      </c>
      <c r="H1065" s="7" t="s">
        <v>9</v>
      </c>
    </row>
    <row r="1066" spans="1:8" ht="15" customHeight="1">
      <c r="A1066" s="5">
        <v>1064</v>
      </c>
      <c r="B1066" s="6" t="str">
        <f>"陈焕超"</f>
        <v>陈焕超</v>
      </c>
      <c r="C1066" s="6" t="str">
        <f t="shared" si="565"/>
        <v>男</v>
      </c>
      <c r="D1066" s="6" t="str">
        <f>"1990-07-13"</f>
        <v>1990-07-13</v>
      </c>
      <c r="E1066" s="6" t="str">
        <f>"全日制本科"</f>
        <v>全日制本科</v>
      </c>
      <c r="F1066" s="6" t="str">
        <f>"管理学学士"</f>
        <v>管理学学士</v>
      </c>
      <c r="G1066" s="6" t="str">
        <f>"工业工程"</f>
        <v>工业工程</v>
      </c>
      <c r="H1066" s="7" t="s">
        <v>9</v>
      </c>
    </row>
    <row r="1067" spans="1:8" ht="15" customHeight="1">
      <c r="A1067" s="5">
        <v>1065</v>
      </c>
      <c r="B1067" s="6" t="str">
        <f>"黄良榜"</f>
        <v>黄良榜</v>
      </c>
      <c r="C1067" s="6" t="str">
        <f t="shared" si="565"/>
        <v>男</v>
      </c>
      <c r="D1067" s="6" t="str">
        <f>"1992-02-29"</f>
        <v>1992-02-29</v>
      </c>
      <c r="E1067" s="6" t="str">
        <f aca="true" t="shared" si="568" ref="E1067:E1071">"本科"</f>
        <v>本科</v>
      </c>
      <c r="F1067" s="6" t="str">
        <f>"学士学位"</f>
        <v>学士学位</v>
      </c>
      <c r="G1067" s="6" t="str">
        <f t="shared" si="566"/>
        <v>计算机科学与技术</v>
      </c>
      <c r="H1067" s="7" t="s">
        <v>9</v>
      </c>
    </row>
    <row r="1068" spans="1:8" ht="15" customHeight="1">
      <c r="A1068" s="5">
        <v>1066</v>
      </c>
      <c r="B1068" s="6" t="str">
        <f>"陈美琼"</f>
        <v>陈美琼</v>
      </c>
      <c r="C1068" s="6" t="str">
        <f t="shared" si="567"/>
        <v>女</v>
      </c>
      <c r="D1068" s="6" t="str">
        <f>"1997-11-02"</f>
        <v>1997-11-02</v>
      </c>
      <c r="E1068" s="6" t="str">
        <f aca="true" t="shared" si="569" ref="E1068:E1073">"大学本科"</f>
        <v>大学本科</v>
      </c>
      <c r="F1068" s="6" t="str">
        <f>"文学学士"</f>
        <v>文学学士</v>
      </c>
      <c r="G1068" s="6" t="str">
        <f>"汉语言文学"</f>
        <v>汉语言文学</v>
      </c>
      <c r="H1068" s="7" t="s">
        <v>9</v>
      </c>
    </row>
    <row r="1069" spans="1:8" ht="15" customHeight="1">
      <c r="A1069" s="5">
        <v>1067</v>
      </c>
      <c r="B1069" s="6" t="str">
        <f>"王红棉"</f>
        <v>王红棉</v>
      </c>
      <c r="C1069" s="6" t="str">
        <f t="shared" si="567"/>
        <v>女</v>
      </c>
      <c r="D1069" s="6" t="str">
        <f>"1997-02-26"</f>
        <v>1997-02-26</v>
      </c>
      <c r="E1069" s="6" t="str">
        <f t="shared" si="568"/>
        <v>本科</v>
      </c>
      <c r="F1069" s="6" t="str">
        <f>"文学学士"</f>
        <v>文学学士</v>
      </c>
      <c r="G1069" s="6" t="str">
        <f>"汉语言文学"</f>
        <v>汉语言文学</v>
      </c>
      <c r="H1069" s="7" t="s">
        <v>9</v>
      </c>
    </row>
    <row r="1070" spans="1:8" ht="15" customHeight="1">
      <c r="A1070" s="5">
        <v>1068</v>
      </c>
      <c r="B1070" s="6" t="str">
        <f>"沈菲"</f>
        <v>沈菲</v>
      </c>
      <c r="C1070" s="6" t="str">
        <f t="shared" si="567"/>
        <v>女</v>
      </c>
      <c r="D1070" s="6" t="str">
        <f>"1998-09-11"</f>
        <v>1998-09-11</v>
      </c>
      <c r="E1070" s="6" t="str">
        <f t="shared" si="568"/>
        <v>本科</v>
      </c>
      <c r="F1070" s="6" t="str">
        <f aca="true" t="shared" si="570" ref="F1070:F1074">"工学学士"</f>
        <v>工学学士</v>
      </c>
      <c r="G1070" s="6" t="str">
        <f>"环境工程"</f>
        <v>环境工程</v>
      </c>
      <c r="H1070" s="7" t="s">
        <v>9</v>
      </c>
    </row>
    <row r="1071" spans="1:8" ht="15" customHeight="1">
      <c r="A1071" s="5">
        <v>1069</v>
      </c>
      <c r="B1071" s="6" t="str">
        <f>"裴丽玥"</f>
        <v>裴丽玥</v>
      </c>
      <c r="C1071" s="6" t="str">
        <f t="shared" si="567"/>
        <v>女</v>
      </c>
      <c r="D1071" s="6" t="str">
        <f>"1999-08-15"</f>
        <v>1999-08-15</v>
      </c>
      <c r="E1071" s="6" t="str">
        <f t="shared" si="568"/>
        <v>本科</v>
      </c>
      <c r="F1071" s="6" t="str">
        <f>"管理学学士"</f>
        <v>管理学学士</v>
      </c>
      <c r="G1071" s="6" t="str">
        <f>"会计学"</f>
        <v>会计学</v>
      </c>
      <c r="H1071" s="7" t="s">
        <v>9</v>
      </c>
    </row>
    <row r="1072" spans="1:8" ht="15" customHeight="1">
      <c r="A1072" s="5">
        <v>1070</v>
      </c>
      <c r="B1072" s="6" t="str">
        <f>"王哲键"</f>
        <v>王哲键</v>
      </c>
      <c r="C1072" s="6" t="str">
        <f aca="true" t="shared" si="571" ref="C1072:C1075">"男"</f>
        <v>男</v>
      </c>
      <c r="D1072" s="6" t="str">
        <f>"1997-04-18"</f>
        <v>1997-04-18</v>
      </c>
      <c r="E1072" s="6" t="str">
        <f t="shared" si="569"/>
        <v>大学本科</v>
      </c>
      <c r="F1072" s="6" t="str">
        <f t="shared" si="570"/>
        <v>工学学士</v>
      </c>
      <c r="G1072" s="6" t="str">
        <f>"土木工程"</f>
        <v>土木工程</v>
      </c>
      <c r="H1072" s="7" t="s">
        <v>9</v>
      </c>
    </row>
    <row r="1073" spans="1:8" ht="15" customHeight="1">
      <c r="A1073" s="5">
        <v>1071</v>
      </c>
      <c r="B1073" s="6" t="str">
        <f>"周彰凰"</f>
        <v>周彰凰</v>
      </c>
      <c r="C1073" s="6" t="str">
        <f t="shared" si="571"/>
        <v>男</v>
      </c>
      <c r="D1073" s="6" t="str">
        <f>"2000-11-02"</f>
        <v>2000-11-02</v>
      </c>
      <c r="E1073" s="6" t="str">
        <f t="shared" si="569"/>
        <v>大学本科</v>
      </c>
      <c r="F1073" s="6" t="str">
        <f t="shared" si="570"/>
        <v>工学学士</v>
      </c>
      <c r="G1073" s="6" t="str">
        <f>"计算机科学与技术"</f>
        <v>计算机科学与技术</v>
      </c>
      <c r="H1073" s="7" t="s">
        <v>9</v>
      </c>
    </row>
    <row r="1074" spans="1:8" ht="15" customHeight="1">
      <c r="A1074" s="5">
        <v>1072</v>
      </c>
      <c r="B1074" s="6" t="str">
        <f>"吴菊"</f>
        <v>吴菊</v>
      </c>
      <c r="C1074" s="6" t="str">
        <f aca="true" t="shared" si="572" ref="C1074:C1082">"女"</f>
        <v>女</v>
      </c>
      <c r="D1074" s="6" t="str">
        <f>"1995-05-05"</f>
        <v>1995-05-05</v>
      </c>
      <c r="E1074" s="6" t="str">
        <f>"大学本科学历"</f>
        <v>大学本科学历</v>
      </c>
      <c r="F1074" s="6" t="str">
        <f t="shared" si="570"/>
        <v>工学学士</v>
      </c>
      <c r="G1074" s="6" t="str">
        <f>"风景园林（工程技术方向）"</f>
        <v>风景园林（工程技术方向）</v>
      </c>
      <c r="H1074" s="7" t="s">
        <v>9</v>
      </c>
    </row>
    <row r="1075" spans="1:8" ht="15" customHeight="1">
      <c r="A1075" s="5">
        <v>1073</v>
      </c>
      <c r="B1075" s="6" t="str">
        <f>"林尤利"</f>
        <v>林尤利</v>
      </c>
      <c r="C1075" s="6" t="str">
        <f t="shared" si="571"/>
        <v>男</v>
      </c>
      <c r="D1075" s="6" t="str">
        <f>"1992-02-12"</f>
        <v>1992-02-12</v>
      </c>
      <c r="E1075" s="6" t="str">
        <f aca="true" t="shared" si="573" ref="E1075:E1079">"本科"</f>
        <v>本科</v>
      </c>
      <c r="F1075" s="6" t="str">
        <f aca="true" t="shared" si="574" ref="F1075:F1080">"管理学学士"</f>
        <v>管理学学士</v>
      </c>
      <c r="G1075" s="6" t="str">
        <f>"工程管理"</f>
        <v>工程管理</v>
      </c>
      <c r="H1075" s="7" t="s">
        <v>9</v>
      </c>
    </row>
    <row r="1076" spans="1:8" ht="15" customHeight="1">
      <c r="A1076" s="5">
        <v>1074</v>
      </c>
      <c r="B1076" s="6" t="str">
        <f>"邢燕"</f>
        <v>邢燕</v>
      </c>
      <c r="C1076" s="6" t="str">
        <f t="shared" si="572"/>
        <v>女</v>
      </c>
      <c r="D1076" s="6" t="str">
        <f>"1997-07-18"</f>
        <v>1997-07-18</v>
      </c>
      <c r="E1076" s="6" t="str">
        <f>"大学本科"</f>
        <v>大学本科</v>
      </c>
      <c r="F1076" s="6" t="str">
        <f>"文学学士"</f>
        <v>文学学士</v>
      </c>
      <c r="G1076" s="6" t="str">
        <f>"汉语言文学"</f>
        <v>汉语言文学</v>
      </c>
      <c r="H1076" s="7" t="s">
        <v>9</v>
      </c>
    </row>
    <row r="1077" spans="1:8" ht="15" customHeight="1">
      <c r="A1077" s="5">
        <v>1075</v>
      </c>
      <c r="B1077" s="6" t="str">
        <f>"郭绍远"</f>
        <v>郭绍远</v>
      </c>
      <c r="C1077" s="6" t="str">
        <f>"男"</f>
        <v>男</v>
      </c>
      <c r="D1077" s="6" t="str">
        <f>"1996-09-02"</f>
        <v>1996-09-02</v>
      </c>
      <c r="E1077" s="6" t="str">
        <f>"大学本科"</f>
        <v>大学本科</v>
      </c>
      <c r="F1077" s="6" t="str">
        <f t="shared" si="574"/>
        <v>管理学学士</v>
      </c>
      <c r="G1077" s="6" t="str">
        <f>"财务管理（企业理财方向）"</f>
        <v>财务管理（企业理财方向）</v>
      </c>
      <c r="H1077" s="7" t="s">
        <v>9</v>
      </c>
    </row>
    <row r="1078" spans="1:8" ht="15" customHeight="1">
      <c r="A1078" s="5">
        <v>1076</v>
      </c>
      <c r="B1078" s="6" t="str">
        <f>"符天妹"</f>
        <v>符天妹</v>
      </c>
      <c r="C1078" s="6" t="str">
        <f t="shared" si="572"/>
        <v>女</v>
      </c>
      <c r="D1078" s="6" t="str">
        <f>"1999-03-02"</f>
        <v>1999-03-02</v>
      </c>
      <c r="E1078" s="6" t="str">
        <f t="shared" si="573"/>
        <v>本科</v>
      </c>
      <c r="F1078" s="6" t="str">
        <f>"文学学士"</f>
        <v>文学学士</v>
      </c>
      <c r="G1078" s="6" t="str">
        <f>"汉语言文学"</f>
        <v>汉语言文学</v>
      </c>
      <c r="H1078" s="7" t="s">
        <v>9</v>
      </c>
    </row>
    <row r="1079" spans="1:8" ht="15" customHeight="1">
      <c r="A1079" s="5">
        <v>1077</v>
      </c>
      <c r="B1079" s="6" t="str">
        <f>"黄惠雅"</f>
        <v>黄惠雅</v>
      </c>
      <c r="C1079" s="6" t="str">
        <f t="shared" si="572"/>
        <v>女</v>
      </c>
      <c r="D1079" s="6" t="str">
        <f>"1999-12-12"</f>
        <v>1999-12-12</v>
      </c>
      <c r="E1079" s="6" t="str">
        <f t="shared" si="573"/>
        <v>本科</v>
      </c>
      <c r="F1079" s="6" t="str">
        <f>"农学学士"</f>
        <v>农学学士</v>
      </c>
      <c r="G1079" s="6" t="str">
        <f>"园艺专业"</f>
        <v>园艺专业</v>
      </c>
      <c r="H1079" s="7" t="s">
        <v>9</v>
      </c>
    </row>
    <row r="1080" spans="1:8" ht="15" customHeight="1">
      <c r="A1080" s="5">
        <v>1078</v>
      </c>
      <c r="B1080" s="6" t="str">
        <f>"王媛"</f>
        <v>王媛</v>
      </c>
      <c r="C1080" s="6" t="str">
        <f t="shared" si="572"/>
        <v>女</v>
      </c>
      <c r="D1080" s="6" t="str">
        <f>"1996-12-14"</f>
        <v>1996-12-14</v>
      </c>
      <c r="E1080" s="6" t="str">
        <f>"全日制本科"</f>
        <v>全日制本科</v>
      </c>
      <c r="F1080" s="6" t="str">
        <f t="shared" si="574"/>
        <v>管理学学士</v>
      </c>
      <c r="G1080" s="6" t="str">
        <f>"审计学"</f>
        <v>审计学</v>
      </c>
      <c r="H1080" s="7" t="s">
        <v>9</v>
      </c>
    </row>
    <row r="1081" spans="1:8" ht="15" customHeight="1">
      <c r="A1081" s="5">
        <v>1079</v>
      </c>
      <c r="B1081" s="6" t="str">
        <f>"王晓婷"</f>
        <v>王晓婷</v>
      </c>
      <c r="C1081" s="6" t="str">
        <f t="shared" si="572"/>
        <v>女</v>
      </c>
      <c r="D1081" s="6" t="str">
        <f>"1990-03-03"</f>
        <v>1990-03-03</v>
      </c>
      <c r="E1081" s="6" t="str">
        <f aca="true" t="shared" si="575" ref="E1081:E1084">"本科"</f>
        <v>本科</v>
      </c>
      <c r="F1081" s="6" t="str">
        <f>"工学学士"</f>
        <v>工学学士</v>
      </c>
      <c r="G1081" s="6" t="str">
        <f>"环境工程"</f>
        <v>环境工程</v>
      </c>
      <c r="H1081" s="7" t="s">
        <v>9</v>
      </c>
    </row>
    <row r="1082" spans="1:8" ht="15" customHeight="1">
      <c r="A1082" s="5">
        <v>1080</v>
      </c>
      <c r="B1082" s="6" t="str">
        <f>"冯妃"</f>
        <v>冯妃</v>
      </c>
      <c r="C1082" s="6" t="str">
        <f t="shared" si="572"/>
        <v>女</v>
      </c>
      <c r="D1082" s="6" t="str">
        <f>"1998-07-08"</f>
        <v>1998-07-08</v>
      </c>
      <c r="E1082" s="6" t="str">
        <f t="shared" si="575"/>
        <v>本科</v>
      </c>
      <c r="F1082" s="6" t="str">
        <f>"管理学学士"</f>
        <v>管理学学士</v>
      </c>
      <c r="G1082" s="6" t="str">
        <f>"物流管理"</f>
        <v>物流管理</v>
      </c>
      <c r="H1082" s="7" t="s">
        <v>9</v>
      </c>
    </row>
    <row r="1083" spans="1:8" ht="15" customHeight="1">
      <c r="A1083" s="5">
        <v>1081</v>
      </c>
      <c r="B1083" s="6" t="str">
        <f>"黄海峰"</f>
        <v>黄海峰</v>
      </c>
      <c r="C1083" s="6" t="str">
        <f>"男"</f>
        <v>男</v>
      </c>
      <c r="D1083" s="6" t="str">
        <f>"1994-07-17"</f>
        <v>1994-07-17</v>
      </c>
      <c r="E1083" s="6" t="str">
        <f t="shared" si="575"/>
        <v>本科</v>
      </c>
      <c r="F1083" s="6" t="str">
        <f>"工学学士"</f>
        <v>工学学士</v>
      </c>
      <c r="G1083" s="6" t="str">
        <f>"土木工程"</f>
        <v>土木工程</v>
      </c>
      <c r="H1083" s="7" t="s">
        <v>9</v>
      </c>
    </row>
    <row r="1084" spans="1:8" ht="15" customHeight="1">
      <c r="A1084" s="5">
        <v>1082</v>
      </c>
      <c r="B1084" s="6" t="str">
        <f>"陈宝俊"</f>
        <v>陈宝俊</v>
      </c>
      <c r="C1084" s="6" t="str">
        <f>"男"</f>
        <v>男</v>
      </c>
      <c r="D1084" s="6" t="str">
        <f>"1999-08-17"</f>
        <v>1999-08-17</v>
      </c>
      <c r="E1084" s="6" t="str">
        <f t="shared" si="575"/>
        <v>本科</v>
      </c>
      <c r="F1084" s="6" t="str">
        <f>"学士"</f>
        <v>学士</v>
      </c>
      <c r="G1084" s="6" t="str">
        <f>"土木工程"</f>
        <v>土木工程</v>
      </c>
      <c r="H1084" s="7" t="s">
        <v>9</v>
      </c>
    </row>
    <row r="1085" spans="1:8" ht="15" customHeight="1">
      <c r="A1085" s="5">
        <v>1083</v>
      </c>
      <c r="B1085" s="6" t="str">
        <f>"杜俊俊"</f>
        <v>杜俊俊</v>
      </c>
      <c r="C1085" s="6" t="str">
        <f aca="true" t="shared" si="576" ref="C1085:C1088">"女"</f>
        <v>女</v>
      </c>
      <c r="D1085" s="6" t="str">
        <f>"1998-12-25"</f>
        <v>1998-12-25</v>
      </c>
      <c r="E1085" s="6" t="str">
        <f>"大学本科"</f>
        <v>大学本科</v>
      </c>
      <c r="F1085" s="6" t="str">
        <f>"农学学士"</f>
        <v>农学学士</v>
      </c>
      <c r="G1085" s="6" t="str">
        <f>"植物保护（农药与农产品安全方向）"</f>
        <v>植物保护（农药与农产品安全方向）</v>
      </c>
      <c r="H1085" s="7" t="s">
        <v>9</v>
      </c>
    </row>
    <row r="1086" spans="1:8" ht="15" customHeight="1">
      <c r="A1086" s="5">
        <v>1084</v>
      </c>
      <c r="B1086" s="6" t="str">
        <f>"黄晨"</f>
        <v>黄晨</v>
      </c>
      <c r="C1086" s="6" t="str">
        <f t="shared" si="576"/>
        <v>女</v>
      </c>
      <c r="D1086" s="6" t="str">
        <f>"1997-03-03"</f>
        <v>1997-03-03</v>
      </c>
      <c r="E1086" s="6" t="str">
        <f aca="true" t="shared" si="577" ref="E1086:E1094">"本科"</f>
        <v>本科</v>
      </c>
      <c r="F1086" s="6" t="str">
        <f>"学士学位"</f>
        <v>学士学位</v>
      </c>
      <c r="G1086" s="6" t="str">
        <f>"行政管理"</f>
        <v>行政管理</v>
      </c>
      <c r="H1086" s="7" t="s">
        <v>9</v>
      </c>
    </row>
    <row r="1087" spans="1:8" ht="15" customHeight="1">
      <c r="A1087" s="5">
        <v>1085</v>
      </c>
      <c r="B1087" s="6" t="str">
        <f>"陈颖"</f>
        <v>陈颖</v>
      </c>
      <c r="C1087" s="6" t="str">
        <f t="shared" si="576"/>
        <v>女</v>
      </c>
      <c r="D1087" s="6" t="str">
        <f>"1994-08-15"</f>
        <v>1994-08-15</v>
      </c>
      <c r="E1087" s="6" t="str">
        <f t="shared" si="577"/>
        <v>本科</v>
      </c>
      <c r="F1087" s="6" t="str">
        <f>"文学学士"</f>
        <v>文学学士</v>
      </c>
      <c r="G1087" s="6" t="str">
        <f>"秘书专业"</f>
        <v>秘书专业</v>
      </c>
      <c r="H1087" s="7" t="s">
        <v>9</v>
      </c>
    </row>
    <row r="1088" spans="1:8" ht="15" customHeight="1">
      <c r="A1088" s="5">
        <v>1086</v>
      </c>
      <c r="B1088" s="6" t="str">
        <f>"邢晓暧"</f>
        <v>邢晓暧</v>
      </c>
      <c r="C1088" s="6" t="str">
        <f t="shared" si="576"/>
        <v>女</v>
      </c>
      <c r="D1088" s="6" t="str">
        <f>"1993-11-15"</f>
        <v>1993-11-15</v>
      </c>
      <c r="E1088" s="6" t="str">
        <f>"大学本科学历"</f>
        <v>大学本科学历</v>
      </c>
      <c r="F1088" s="6" t="str">
        <f aca="true" t="shared" si="578" ref="F1088:F1093">"管理学学士"</f>
        <v>管理学学士</v>
      </c>
      <c r="G1088" s="6" t="str">
        <f>"行政管理（行政文秘方向）"</f>
        <v>行政管理（行政文秘方向）</v>
      </c>
      <c r="H1088" s="7" t="s">
        <v>9</v>
      </c>
    </row>
    <row r="1089" spans="1:8" ht="15" customHeight="1">
      <c r="A1089" s="5">
        <v>1087</v>
      </c>
      <c r="B1089" s="6" t="str">
        <f>"孙子翔"</f>
        <v>孙子翔</v>
      </c>
      <c r="C1089" s="6" t="str">
        <f>"男"</f>
        <v>男</v>
      </c>
      <c r="D1089" s="6" t="str">
        <f>"1999-07-19"</f>
        <v>1999-07-19</v>
      </c>
      <c r="E1089" s="6" t="str">
        <f>"大学本科"</f>
        <v>大学本科</v>
      </c>
      <c r="F1089" s="6" t="str">
        <f>"学士学位"</f>
        <v>学士学位</v>
      </c>
      <c r="G1089" s="6" t="str">
        <f>"会计学"</f>
        <v>会计学</v>
      </c>
      <c r="H1089" s="7" t="s">
        <v>9</v>
      </c>
    </row>
    <row r="1090" spans="1:8" ht="15" customHeight="1">
      <c r="A1090" s="5">
        <v>1088</v>
      </c>
      <c r="B1090" s="6" t="str">
        <f>"杨雪央"</f>
        <v>杨雪央</v>
      </c>
      <c r="C1090" s="6" t="str">
        <f aca="true" t="shared" si="579" ref="C1090:C1095">"女"</f>
        <v>女</v>
      </c>
      <c r="D1090" s="6" t="str">
        <f>"1992-04-19"</f>
        <v>1992-04-19</v>
      </c>
      <c r="E1090" s="6" t="str">
        <f t="shared" si="577"/>
        <v>本科</v>
      </c>
      <c r="F1090" s="6" t="str">
        <f t="shared" si="578"/>
        <v>管理学学士</v>
      </c>
      <c r="G1090" s="6" t="str">
        <f>"工商管理"</f>
        <v>工商管理</v>
      </c>
      <c r="H1090" s="7" t="s">
        <v>9</v>
      </c>
    </row>
    <row r="1091" spans="1:8" ht="15" customHeight="1">
      <c r="A1091" s="5">
        <v>1089</v>
      </c>
      <c r="B1091" s="6" t="str">
        <f>"梁亚团"</f>
        <v>梁亚团</v>
      </c>
      <c r="C1091" s="6" t="str">
        <f t="shared" si="579"/>
        <v>女</v>
      </c>
      <c r="D1091" s="6" t="str">
        <f>"1998-07-06"</f>
        <v>1998-07-06</v>
      </c>
      <c r="E1091" s="6" t="str">
        <f t="shared" si="577"/>
        <v>本科</v>
      </c>
      <c r="F1091" s="6" t="str">
        <f>"文学学士"</f>
        <v>文学学士</v>
      </c>
      <c r="G1091" s="6" t="str">
        <f>"汉语国际教育"</f>
        <v>汉语国际教育</v>
      </c>
      <c r="H1091" s="7" t="s">
        <v>9</v>
      </c>
    </row>
    <row r="1092" spans="1:8" ht="15" customHeight="1">
      <c r="A1092" s="5">
        <v>1090</v>
      </c>
      <c r="B1092" s="6" t="str">
        <f>"吴宇龙"</f>
        <v>吴宇龙</v>
      </c>
      <c r="C1092" s="6" t="str">
        <f>"男"</f>
        <v>男</v>
      </c>
      <c r="D1092" s="6" t="str">
        <f>"1996-12-11"</f>
        <v>1996-12-11</v>
      </c>
      <c r="E1092" s="6" t="str">
        <f t="shared" si="577"/>
        <v>本科</v>
      </c>
      <c r="F1092" s="6" t="str">
        <f t="shared" si="578"/>
        <v>管理学学士</v>
      </c>
      <c r="G1092" s="6" t="str">
        <f>"信息管理与信息系统"</f>
        <v>信息管理与信息系统</v>
      </c>
      <c r="H1092" s="7" t="s">
        <v>9</v>
      </c>
    </row>
    <row r="1093" spans="1:8" ht="15" customHeight="1">
      <c r="A1093" s="5">
        <v>1091</v>
      </c>
      <c r="B1093" s="6" t="str">
        <f>"陈燕姣"</f>
        <v>陈燕姣</v>
      </c>
      <c r="C1093" s="6" t="str">
        <f t="shared" si="579"/>
        <v>女</v>
      </c>
      <c r="D1093" s="6" t="str">
        <f>"1990-12-20"</f>
        <v>1990-12-20</v>
      </c>
      <c r="E1093" s="6" t="str">
        <f t="shared" si="577"/>
        <v>本科</v>
      </c>
      <c r="F1093" s="6" t="str">
        <f t="shared" si="578"/>
        <v>管理学学士</v>
      </c>
      <c r="G1093" s="6" t="str">
        <f>"旅游管理"</f>
        <v>旅游管理</v>
      </c>
      <c r="H1093" s="7" t="s">
        <v>9</v>
      </c>
    </row>
    <row r="1094" spans="1:8" ht="15" customHeight="1">
      <c r="A1094" s="5">
        <v>1092</v>
      </c>
      <c r="B1094" s="6" t="str">
        <f>"木亚沙尔·阿布都许库"</f>
        <v>木亚沙尔·阿布都许库</v>
      </c>
      <c r="C1094" s="6" t="str">
        <f t="shared" si="579"/>
        <v>女</v>
      </c>
      <c r="D1094" s="6" t="str">
        <f>"1996-01-03"</f>
        <v>1996-01-03</v>
      </c>
      <c r="E1094" s="6" t="str">
        <f t="shared" si="577"/>
        <v>本科</v>
      </c>
      <c r="F1094" s="6" t="str">
        <f>"学士"</f>
        <v>学士</v>
      </c>
      <c r="G1094" s="6" t="str">
        <f>"税收学"</f>
        <v>税收学</v>
      </c>
      <c r="H1094" s="7" t="s">
        <v>9</v>
      </c>
    </row>
    <row r="1095" spans="1:8" ht="15" customHeight="1">
      <c r="A1095" s="5">
        <v>1093</v>
      </c>
      <c r="B1095" s="6" t="str">
        <f>"王杰仪"</f>
        <v>王杰仪</v>
      </c>
      <c r="C1095" s="6" t="str">
        <f t="shared" si="579"/>
        <v>女</v>
      </c>
      <c r="D1095" s="6" t="str">
        <f>"1994-05-24"</f>
        <v>1994-05-24</v>
      </c>
      <c r="E1095" s="6" t="str">
        <f>"大学本科学历"</f>
        <v>大学本科学历</v>
      </c>
      <c r="F1095" s="6" t="str">
        <f>"文学学士"</f>
        <v>文学学士</v>
      </c>
      <c r="G1095" s="6" t="str">
        <f>"汉语言文学专业"</f>
        <v>汉语言文学专业</v>
      </c>
      <c r="H1095" s="7" t="s">
        <v>9</v>
      </c>
    </row>
    <row r="1096" spans="1:8" ht="15" customHeight="1">
      <c r="A1096" s="5">
        <v>1094</v>
      </c>
      <c r="B1096" s="6" t="str">
        <f>"吴卓文"</f>
        <v>吴卓文</v>
      </c>
      <c r="C1096" s="6" t="str">
        <f>"男"</f>
        <v>男</v>
      </c>
      <c r="D1096" s="6" t="str">
        <f>"1991-08-19"</f>
        <v>1991-08-19</v>
      </c>
      <c r="E1096" s="6" t="str">
        <f>"全日制本科"</f>
        <v>全日制本科</v>
      </c>
      <c r="F1096" s="6" t="str">
        <f>"经济学学士"</f>
        <v>经济学学士</v>
      </c>
      <c r="G1096" s="6" t="str">
        <f>"国际经济与贸易"</f>
        <v>国际经济与贸易</v>
      </c>
      <c r="H1096" s="7" t="s">
        <v>9</v>
      </c>
    </row>
    <row r="1097" spans="1:8" ht="15" customHeight="1">
      <c r="A1097" s="5">
        <v>1095</v>
      </c>
      <c r="B1097" s="6" t="str">
        <f>"黄连梦"</f>
        <v>黄连梦</v>
      </c>
      <c r="C1097" s="6" t="str">
        <f aca="true" t="shared" si="580" ref="C1097:C1099">"女"</f>
        <v>女</v>
      </c>
      <c r="D1097" s="6" t="str">
        <f>"1999-05-18"</f>
        <v>1999-05-18</v>
      </c>
      <c r="E1097" s="6" t="str">
        <f aca="true" t="shared" si="581" ref="E1097:E1101">"本科"</f>
        <v>本科</v>
      </c>
      <c r="F1097" s="6" t="str">
        <f>"农学学士"</f>
        <v>农学学士</v>
      </c>
      <c r="G1097" s="6" t="str">
        <f>"森林保护"</f>
        <v>森林保护</v>
      </c>
      <c r="H1097" s="7" t="s">
        <v>9</v>
      </c>
    </row>
    <row r="1098" spans="1:8" ht="15" customHeight="1">
      <c r="A1098" s="5">
        <v>1096</v>
      </c>
      <c r="B1098" s="6" t="str">
        <f>"刘晓蕾"</f>
        <v>刘晓蕾</v>
      </c>
      <c r="C1098" s="6" t="str">
        <f t="shared" si="580"/>
        <v>女</v>
      </c>
      <c r="D1098" s="6" t="str">
        <f>"1992-09-01"</f>
        <v>1992-09-01</v>
      </c>
      <c r="E1098" s="6" t="str">
        <f>"大学本科学历"</f>
        <v>大学本科学历</v>
      </c>
      <c r="F1098" s="6" t="str">
        <f aca="true" t="shared" si="582" ref="F1098:F1102">"管理学学士"</f>
        <v>管理学学士</v>
      </c>
      <c r="G1098" s="6" t="str">
        <f>"会计学"</f>
        <v>会计学</v>
      </c>
      <c r="H1098" s="7" t="s">
        <v>9</v>
      </c>
    </row>
    <row r="1099" spans="1:8" ht="15" customHeight="1">
      <c r="A1099" s="5">
        <v>1097</v>
      </c>
      <c r="B1099" s="6" t="str">
        <f>"何小娜"</f>
        <v>何小娜</v>
      </c>
      <c r="C1099" s="6" t="str">
        <f t="shared" si="580"/>
        <v>女</v>
      </c>
      <c r="D1099" s="6" t="str">
        <f>"1997-08-15"</f>
        <v>1997-08-15</v>
      </c>
      <c r="E1099" s="6" t="str">
        <f t="shared" si="581"/>
        <v>本科</v>
      </c>
      <c r="F1099" s="6" t="str">
        <f>"理学学士"</f>
        <v>理学学士</v>
      </c>
      <c r="G1099" s="6" t="str">
        <f>"生态学"</f>
        <v>生态学</v>
      </c>
      <c r="H1099" s="7" t="s">
        <v>9</v>
      </c>
    </row>
    <row r="1100" spans="1:8" ht="15" customHeight="1">
      <c r="A1100" s="5">
        <v>1098</v>
      </c>
      <c r="B1100" s="6" t="str">
        <f>"邢孔锐"</f>
        <v>邢孔锐</v>
      </c>
      <c r="C1100" s="6" t="str">
        <f>"男"</f>
        <v>男</v>
      </c>
      <c r="D1100" s="6" t="str">
        <f>"1989-12-04"</f>
        <v>1989-12-04</v>
      </c>
      <c r="E1100" s="6" t="str">
        <f>"大学本科"</f>
        <v>大学本科</v>
      </c>
      <c r="F1100" s="6" t="str">
        <f>"工学学士"</f>
        <v>工学学士</v>
      </c>
      <c r="G1100" s="6" t="str">
        <f>"计算机科学与技术"</f>
        <v>计算机科学与技术</v>
      </c>
      <c r="H1100" s="7" t="s">
        <v>9</v>
      </c>
    </row>
    <row r="1101" spans="1:8" ht="15" customHeight="1">
      <c r="A1101" s="5">
        <v>1099</v>
      </c>
      <c r="B1101" s="6" t="str">
        <f>"王章洁"</f>
        <v>王章洁</v>
      </c>
      <c r="C1101" s="6" t="str">
        <f aca="true" t="shared" si="583" ref="C1101:C1106">"女"</f>
        <v>女</v>
      </c>
      <c r="D1101" s="6" t="str">
        <f>"1999-02-20"</f>
        <v>1999-02-20</v>
      </c>
      <c r="E1101" s="6" t="str">
        <f t="shared" si="581"/>
        <v>本科</v>
      </c>
      <c r="F1101" s="6" t="str">
        <f t="shared" si="582"/>
        <v>管理学学士</v>
      </c>
      <c r="G1101" s="6" t="str">
        <f>"财务管理"</f>
        <v>财务管理</v>
      </c>
      <c r="H1101" s="7" t="s">
        <v>9</v>
      </c>
    </row>
    <row r="1102" spans="1:8" ht="15" customHeight="1">
      <c r="A1102" s="5">
        <v>1100</v>
      </c>
      <c r="B1102" s="6" t="str">
        <f>"赖柳霓"</f>
        <v>赖柳霓</v>
      </c>
      <c r="C1102" s="6" t="str">
        <f t="shared" si="583"/>
        <v>女</v>
      </c>
      <c r="D1102" s="6" t="str">
        <f>"1995-12-25"</f>
        <v>1995-12-25</v>
      </c>
      <c r="E1102" s="6" t="str">
        <f>"大学本科"</f>
        <v>大学本科</v>
      </c>
      <c r="F1102" s="6" t="str">
        <f t="shared" si="582"/>
        <v>管理学学士</v>
      </c>
      <c r="G1102" s="6" t="str">
        <f>"工商管理"</f>
        <v>工商管理</v>
      </c>
      <c r="H1102" s="7" t="s">
        <v>9</v>
      </c>
    </row>
    <row r="1103" spans="1:8" ht="15" customHeight="1">
      <c r="A1103" s="5">
        <v>1101</v>
      </c>
      <c r="B1103" s="6" t="str">
        <f>"李青"</f>
        <v>李青</v>
      </c>
      <c r="C1103" s="6" t="str">
        <f aca="true" t="shared" si="584" ref="C1103:C1108">"男"</f>
        <v>男</v>
      </c>
      <c r="D1103" s="6" t="str">
        <f>"1991-03-21"</f>
        <v>1991-03-21</v>
      </c>
      <c r="E1103" s="6" t="str">
        <f aca="true" t="shared" si="585" ref="E1103:E1106">"本科"</f>
        <v>本科</v>
      </c>
      <c r="F1103" s="6" t="str">
        <f aca="true" t="shared" si="586" ref="F1103:F1108">"工学学士"</f>
        <v>工学学士</v>
      </c>
      <c r="G1103" s="6" t="str">
        <f>"网络工程"</f>
        <v>网络工程</v>
      </c>
      <c r="H1103" s="7" t="s">
        <v>9</v>
      </c>
    </row>
    <row r="1104" spans="1:8" ht="15" customHeight="1">
      <c r="A1104" s="5">
        <v>1102</v>
      </c>
      <c r="B1104" s="6" t="str">
        <f>"王靖怡"</f>
        <v>王靖怡</v>
      </c>
      <c r="C1104" s="6" t="str">
        <f t="shared" si="583"/>
        <v>女</v>
      </c>
      <c r="D1104" s="6" t="str">
        <f>"1997-08-19"</f>
        <v>1997-08-19</v>
      </c>
      <c r="E1104" s="6" t="str">
        <f t="shared" si="585"/>
        <v>本科</v>
      </c>
      <c r="F1104" s="6" t="str">
        <f>"管理学学士"</f>
        <v>管理学学士</v>
      </c>
      <c r="G1104" s="6" t="str">
        <f>"会计学"</f>
        <v>会计学</v>
      </c>
      <c r="H1104" s="7" t="s">
        <v>9</v>
      </c>
    </row>
    <row r="1105" spans="1:8" ht="15" customHeight="1">
      <c r="A1105" s="5">
        <v>1103</v>
      </c>
      <c r="B1105" s="6" t="str">
        <f>"余漫灵"</f>
        <v>余漫灵</v>
      </c>
      <c r="C1105" s="6" t="str">
        <f t="shared" si="583"/>
        <v>女</v>
      </c>
      <c r="D1105" s="6" t="str">
        <f>"1998-06-22"</f>
        <v>1998-06-22</v>
      </c>
      <c r="E1105" s="6" t="str">
        <f t="shared" si="585"/>
        <v>本科</v>
      </c>
      <c r="F1105" s="6" t="str">
        <f>"农学学士"</f>
        <v>农学学士</v>
      </c>
      <c r="G1105" s="6" t="str">
        <f>"农学"</f>
        <v>农学</v>
      </c>
      <c r="H1105" s="7" t="s">
        <v>9</v>
      </c>
    </row>
    <row r="1106" spans="1:8" ht="15" customHeight="1">
      <c r="A1106" s="5">
        <v>1104</v>
      </c>
      <c r="B1106" s="6" t="str">
        <f>"曾倞婧"</f>
        <v>曾倞婧</v>
      </c>
      <c r="C1106" s="6" t="str">
        <f t="shared" si="583"/>
        <v>女</v>
      </c>
      <c r="D1106" s="6" t="str">
        <f>"1987-07-19"</f>
        <v>1987-07-19</v>
      </c>
      <c r="E1106" s="6" t="str">
        <f t="shared" si="585"/>
        <v>本科</v>
      </c>
      <c r="F1106" s="6" t="str">
        <f>"管理学士"</f>
        <v>管理学士</v>
      </c>
      <c r="G1106" s="6" t="str">
        <f>"旅游管理"</f>
        <v>旅游管理</v>
      </c>
      <c r="H1106" s="7" t="s">
        <v>9</v>
      </c>
    </row>
    <row r="1107" spans="1:8" ht="15" customHeight="1">
      <c r="A1107" s="5">
        <v>1105</v>
      </c>
      <c r="B1107" s="6" t="str">
        <f>"郑旺"</f>
        <v>郑旺</v>
      </c>
      <c r="C1107" s="6" t="str">
        <f t="shared" si="584"/>
        <v>男</v>
      </c>
      <c r="D1107" s="6" t="str">
        <f>"1996-09-24"</f>
        <v>1996-09-24</v>
      </c>
      <c r="E1107" s="6" t="str">
        <f aca="true" t="shared" si="587" ref="E1107:E1112">"大学本科"</f>
        <v>大学本科</v>
      </c>
      <c r="F1107" s="6" t="str">
        <f t="shared" si="586"/>
        <v>工学学士</v>
      </c>
      <c r="G1107" s="6" t="str">
        <f>"土木工程"</f>
        <v>土木工程</v>
      </c>
      <c r="H1107" s="7" t="s">
        <v>9</v>
      </c>
    </row>
    <row r="1108" spans="1:8" ht="15" customHeight="1">
      <c r="A1108" s="5">
        <v>1106</v>
      </c>
      <c r="B1108" s="6" t="str">
        <f>"邢孔威"</f>
        <v>邢孔威</v>
      </c>
      <c r="C1108" s="6" t="str">
        <f t="shared" si="584"/>
        <v>男</v>
      </c>
      <c r="D1108" s="6" t="str">
        <f>"1993-02-18"</f>
        <v>1993-02-18</v>
      </c>
      <c r="E1108" s="6" t="str">
        <f>"全日制本科"</f>
        <v>全日制本科</v>
      </c>
      <c r="F1108" s="6" t="str">
        <f t="shared" si="586"/>
        <v>工学学士</v>
      </c>
      <c r="G1108" s="6" t="str">
        <f>"土木工程"</f>
        <v>土木工程</v>
      </c>
      <c r="H1108" s="7" t="s">
        <v>9</v>
      </c>
    </row>
    <row r="1109" spans="1:8" ht="15" customHeight="1">
      <c r="A1109" s="5">
        <v>1107</v>
      </c>
      <c r="B1109" s="6" t="str">
        <f>"邓庆波"</f>
        <v>邓庆波</v>
      </c>
      <c r="C1109" s="6" t="str">
        <f aca="true" t="shared" si="588" ref="C1109:C1113">"女"</f>
        <v>女</v>
      </c>
      <c r="D1109" s="6" t="str">
        <f>"2000-05-01"</f>
        <v>2000-05-01</v>
      </c>
      <c r="E1109" s="6" t="str">
        <f aca="true" t="shared" si="589" ref="E1109:E1118">"本科"</f>
        <v>本科</v>
      </c>
      <c r="F1109" s="6" t="str">
        <f>"学士"</f>
        <v>学士</v>
      </c>
      <c r="G1109" s="6" t="str">
        <f>"汉语言文学"</f>
        <v>汉语言文学</v>
      </c>
      <c r="H1109" s="7" t="s">
        <v>9</v>
      </c>
    </row>
    <row r="1110" spans="1:8" ht="15" customHeight="1">
      <c r="A1110" s="5">
        <v>1108</v>
      </c>
      <c r="B1110" s="6" t="str">
        <f>"陈荣宗"</f>
        <v>陈荣宗</v>
      </c>
      <c r="C1110" s="6" t="str">
        <f aca="true" t="shared" si="590" ref="C1110:C1117">"男"</f>
        <v>男</v>
      </c>
      <c r="D1110" s="6" t="str">
        <f>"1998-07-18"</f>
        <v>1998-07-18</v>
      </c>
      <c r="E1110" s="6" t="str">
        <f t="shared" si="587"/>
        <v>大学本科</v>
      </c>
      <c r="F1110" s="6" t="str">
        <f>"管理学学士学位"</f>
        <v>管理学学士学位</v>
      </c>
      <c r="G1110" s="6" t="str">
        <f>"电子商务"</f>
        <v>电子商务</v>
      </c>
      <c r="H1110" s="7" t="s">
        <v>9</v>
      </c>
    </row>
    <row r="1111" spans="1:8" ht="15" customHeight="1">
      <c r="A1111" s="5">
        <v>1109</v>
      </c>
      <c r="B1111" s="6" t="str">
        <f>"林铃"</f>
        <v>林铃</v>
      </c>
      <c r="C1111" s="6" t="str">
        <f t="shared" si="588"/>
        <v>女</v>
      </c>
      <c r="D1111" s="6" t="str">
        <f>"1997-04-03"</f>
        <v>1997-04-03</v>
      </c>
      <c r="E1111" s="6" t="str">
        <f t="shared" si="589"/>
        <v>本科</v>
      </c>
      <c r="F1111" s="6" t="str">
        <f>"工学学士"</f>
        <v>工学学士</v>
      </c>
      <c r="G1111" s="6" t="str">
        <f>"建筑学"</f>
        <v>建筑学</v>
      </c>
      <c r="H1111" s="7" t="s">
        <v>9</v>
      </c>
    </row>
    <row r="1112" spans="1:8" ht="15" customHeight="1">
      <c r="A1112" s="5">
        <v>1110</v>
      </c>
      <c r="B1112" s="6" t="str">
        <f>"羊以好"</f>
        <v>羊以好</v>
      </c>
      <c r="C1112" s="6" t="str">
        <f t="shared" si="588"/>
        <v>女</v>
      </c>
      <c r="D1112" s="6" t="str">
        <f>"1997-09-16"</f>
        <v>1997-09-16</v>
      </c>
      <c r="E1112" s="6" t="str">
        <f t="shared" si="587"/>
        <v>大学本科</v>
      </c>
      <c r="F1112" s="6" t="str">
        <f>"文学学士"</f>
        <v>文学学士</v>
      </c>
      <c r="G1112" s="6" t="str">
        <f>"汉语言文学"</f>
        <v>汉语言文学</v>
      </c>
      <c r="H1112" s="7" t="s">
        <v>9</v>
      </c>
    </row>
    <row r="1113" spans="1:8" ht="15" customHeight="1">
      <c r="A1113" s="5">
        <v>1111</v>
      </c>
      <c r="B1113" s="6" t="str">
        <f>"符志萱"</f>
        <v>符志萱</v>
      </c>
      <c r="C1113" s="6" t="str">
        <f t="shared" si="588"/>
        <v>女</v>
      </c>
      <c r="D1113" s="6" t="str">
        <f>"1995-05-18"</f>
        <v>1995-05-18</v>
      </c>
      <c r="E1113" s="6" t="str">
        <f>"全日制本科"</f>
        <v>全日制本科</v>
      </c>
      <c r="F1113" s="6" t="str">
        <f aca="true" t="shared" si="591" ref="F1113:F1117">"管理学学士"</f>
        <v>管理学学士</v>
      </c>
      <c r="G1113" s="6" t="str">
        <f>"旅游管理"</f>
        <v>旅游管理</v>
      </c>
      <c r="H1113" s="7" t="s">
        <v>9</v>
      </c>
    </row>
    <row r="1114" spans="1:8" ht="15" customHeight="1">
      <c r="A1114" s="5">
        <v>1112</v>
      </c>
      <c r="B1114" s="6" t="str">
        <f>"翁鑫彬"</f>
        <v>翁鑫彬</v>
      </c>
      <c r="C1114" s="6" t="str">
        <f t="shared" si="590"/>
        <v>男</v>
      </c>
      <c r="D1114" s="6" t="str">
        <f>"1997-08-23"</f>
        <v>1997-08-23</v>
      </c>
      <c r="E1114" s="6" t="str">
        <f t="shared" si="589"/>
        <v>本科</v>
      </c>
      <c r="F1114" s="6" t="str">
        <f>"工学学士"</f>
        <v>工学学士</v>
      </c>
      <c r="G1114" s="6" t="str">
        <f>"工程管理"</f>
        <v>工程管理</v>
      </c>
      <c r="H1114" s="7" t="s">
        <v>9</v>
      </c>
    </row>
    <row r="1115" spans="1:8" ht="15" customHeight="1">
      <c r="A1115" s="5">
        <v>1113</v>
      </c>
      <c r="B1115" s="6" t="str">
        <f>"吴明亮"</f>
        <v>吴明亮</v>
      </c>
      <c r="C1115" s="6" t="str">
        <f t="shared" si="590"/>
        <v>男</v>
      </c>
      <c r="D1115" s="6" t="str">
        <f>"1996-07-26"</f>
        <v>1996-07-26</v>
      </c>
      <c r="E1115" s="6" t="str">
        <f t="shared" si="589"/>
        <v>本科</v>
      </c>
      <c r="F1115" s="6" t="str">
        <f t="shared" si="591"/>
        <v>管理学学士</v>
      </c>
      <c r="G1115" s="6" t="str">
        <f>"工程造价"</f>
        <v>工程造价</v>
      </c>
      <c r="H1115" s="7" t="s">
        <v>9</v>
      </c>
    </row>
    <row r="1116" spans="1:8" ht="15" customHeight="1">
      <c r="A1116" s="5">
        <v>1114</v>
      </c>
      <c r="B1116" s="6" t="str">
        <f>"陈祖扶"</f>
        <v>陈祖扶</v>
      </c>
      <c r="C1116" s="6" t="str">
        <f t="shared" si="590"/>
        <v>男</v>
      </c>
      <c r="D1116" s="6" t="str">
        <f>"1993-10-14"</f>
        <v>1993-10-14</v>
      </c>
      <c r="E1116" s="6" t="str">
        <f t="shared" si="589"/>
        <v>本科</v>
      </c>
      <c r="F1116" s="6" t="str">
        <f>"农学学士"</f>
        <v>农学学士</v>
      </c>
      <c r="G1116" s="6" t="str">
        <f>"园林"</f>
        <v>园林</v>
      </c>
      <c r="H1116" s="7" t="s">
        <v>9</v>
      </c>
    </row>
    <row r="1117" spans="1:8" ht="15" customHeight="1">
      <c r="A1117" s="5">
        <v>1115</v>
      </c>
      <c r="B1117" s="6" t="str">
        <f>"陈廷旭"</f>
        <v>陈廷旭</v>
      </c>
      <c r="C1117" s="6" t="str">
        <f t="shared" si="590"/>
        <v>男</v>
      </c>
      <c r="D1117" s="6" t="str">
        <f>"1997-06-01"</f>
        <v>1997-06-01</v>
      </c>
      <c r="E1117" s="6" t="str">
        <f t="shared" si="589"/>
        <v>本科</v>
      </c>
      <c r="F1117" s="6" t="str">
        <f t="shared" si="591"/>
        <v>管理学学士</v>
      </c>
      <c r="G1117" s="6" t="str">
        <f>"电子商务"</f>
        <v>电子商务</v>
      </c>
      <c r="H1117" s="7" t="s">
        <v>9</v>
      </c>
    </row>
    <row r="1118" spans="1:8" ht="15" customHeight="1">
      <c r="A1118" s="5">
        <v>1116</v>
      </c>
      <c r="B1118" s="6" t="str">
        <f>"邢丁尹"</f>
        <v>邢丁尹</v>
      </c>
      <c r="C1118" s="6" t="str">
        <f aca="true" t="shared" si="592" ref="C1118:C1121">"女"</f>
        <v>女</v>
      </c>
      <c r="D1118" s="6" t="str">
        <f>"1997-04-09"</f>
        <v>1997-04-09</v>
      </c>
      <c r="E1118" s="6" t="str">
        <f t="shared" si="589"/>
        <v>本科</v>
      </c>
      <c r="F1118" s="6" t="str">
        <f>"学士"</f>
        <v>学士</v>
      </c>
      <c r="G1118" s="6" t="str">
        <f>"汉语言文学"</f>
        <v>汉语言文学</v>
      </c>
      <c r="H1118" s="7" t="s">
        <v>9</v>
      </c>
    </row>
    <row r="1119" spans="1:8" ht="15" customHeight="1">
      <c r="A1119" s="5">
        <v>1117</v>
      </c>
      <c r="B1119" s="6" t="str">
        <f>"王升俊"</f>
        <v>王升俊</v>
      </c>
      <c r="C1119" s="6" t="str">
        <f>"男"</f>
        <v>男</v>
      </c>
      <c r="D1119" s="6" t="str">
        <f>"2000-06-02"</f>
        <v>2000-06-02</v>
      </c>
      <c r="E1119" s="6" t="str">
        <f>"本科学历"</f>
        <v>本科学历</v>
      </c>
      <c r="F1119" s="6" t="str">
        <f aca="true" t="shared" si="593" ref="F1119:F1123">"管理学学士"</f>
        <v>管理学学士</v>
      </c>
      <c r="G1119" s="6" t="str">
        <f>"物流管理"</f>
        <v>物流管理</v>
      </c>
      <c r="H1119" s="7" t="s">
        <v>9</v>
      </c>
    </row>
    <row r="1120" spans="1:8" ht="15" customHeight="1">
      <c r="A1120" s="5">
        <v>1118</v>
      </c>
      <c r="B1120" s="6" t="str">
        <f>"吴晓慧"</f>
        <v>吴晓慧</v>
      </c>
      <c r="C1120" s="6" t="str">
        <f t="shared" si="592"/>
        <v>女</v>
      </c>
      <c r="D1120" s="6" t="str">
        <f>"1998-06-23"</f>
        <v>1998-06-23</v>
      </c>
      <c r="E1120" s="6" t="str">
        <f aca="true" t="shared" si="594" ref="E1120:E1133">"本科"</f>
        <v>本科</v>
      </c>
      <c r="F1120" s="6" t="str">
        <f>"经济学学士"</f>
        <v>经济学学士</v>
      </c>
      <c r="G1120" s="6" t="str">
        <f>"财政学"</f>
        <v>财政学</v>
      </c>
      <c r="H1120" s="7" t="s">
        <v>9</v>
      </c>
    </row>
    <row r="1121" spans="1:8" ht="15" customHeight="1">
      <c r="A1121" s="5">
        <v>1119</v>
      </c>
      <c r="B1121" s="6" t="str">
        <f>"林小芳"</f>
        <v>林小芳</v>
      </c>
      <c r="C1121" s="6" t="str">
        <f t="shared" si="592"/>
        <v>女</v>
      </c>
      <c r="D1121" s="6" t="str">
        <f>"1998-03-29"</f>
        <v>1998-03-29</v>
      </c>
      <c r="E1121" s="6" t="str">
        <f t="shared" si="594"/>
        <v>本科</v>
      </c>
      <c r="F1121" s="6" t="str">
        <f>"工学学士"</f>
        <v>工学学士</v>
      </c>
      <c r="G1121" s="6" t="str">
        <f>"物联网工程"</f>
        <v>物联网工程</v>
      </c>
      <c r="H1121" s="7" t="s">
        <v>9</v>
      </c>
    </row>
    <row r="1122" spans="1:8" ht="15" customHeight="1">
      <c r="A1122" s="5">
        <v>1120</v>
      </c>
      <c r="B1122" s="6" t="str">
        <f>"陈宇"</f>
        <v>陈宇</v>
      </c>
      <c r="C1122" s="6" t="str">
        <f>"男"</f>
        <v>男</v>
      </c>
      <c r="D1122" s="6" t="str">
        <f>"1998-09-12"</f>
        <v>1998-09-12</v>
      </c>
      <c r="E1122" s="6" t="str">
        <f>"大学本科"</f>
        <v>大学本科</v>
      </c>
      <c r="F1122" s="6" t="str">
        <f t="shared" si="593"/>
        <v>管理学学士</v>
      </c>
      <c r="G1122" s="6" t="str">
        <f>"酒店管理"</f>
        <v>酒店管理</v>
      </c>
      <c r="H1122" s="7" t="s">
        <v>9</v>
      </c>
    </row>
    <row r="1123" spans="1:8" ht="15" customHeight="1">
      <c r="A1123" s="5">
        <v>1121</v>
      </c>
      <c r="B1123" s="6" t="str">
        <f>"刘旭丽"</f>
        <v>刘旭丽</v>
      </c>
      <c r="C1123" s="6" t="str">
        <f aca="true" t="shared" si="595" ref="C1123:C1129">"女"</f>
        <v>女</v>
      </c>
      <c r="D1123" s="6" t="str">
        <f>"1990-11-11"</f>
        <v>1990-11-11</v>
      </c>
      <c r="E1123" s="6" t="str">
        <f t="shared" si="594"/>
        <v>本科</v>
      </c>
      <c r="F1123" s="6" t="str">
        <f t="shared" si="593"/>
        <v>管理学学士</v>
      </c>
      <c r="G1123" s="6" t="str">
        <f>"会计学（注册会计师方向）"</f>
        <v>会计学（注册会计师方向）</v>
      </c>
      <c r="H1123" s="7" t="s">
        <v>9</v>
      </c>
    </row>
    <row r="1124" spans="1:8" ht="15" customHeight="1">
      <c r="A1124" s="5">
        <v>1122</v>
      </c>
      <c r="B1124" s="6" t="str">
        <f>"吴小妹"</f>
        <v>吴小妹</v>
      </c>
      <c r="C1124" s="6" t="str">
        <f t="shared" si="595"/>
        <v>女</v>
      </c>
      <c r="D1124" s="6" t="str">
        <f>"1998-10-17"</f>
        <v>1998-10-17</v>
      </c>
      <c r="E1124" s="6" t="str">
        <f t="shared" si="594"/>
        <v>本科</v>
      </c>
      <c r="F1124" s="6" t="str">
        <f>"学士"</f>
        <v>学士</v>
      </c>
      <c r="G1124" s="6" t="str">
        <f>"旅游管理"</f>
        <v>旅游管理</v>
      </c>
      <c r="H1124" s="7" t="s">
        <v>9</v>
      </c>
    </row>
    <row r="1125" spans="1:8" ht="15" customHeight="1">
      <c r="A1125" s="5">
        <v>1123</v>
      </c>
      <c r="B1125" s="6" t="str">
        <f>"林诗境"</f>
        <v>林诗境</v>
      </c>
      <c r="C1125" s="6" t="str">
        <f>"男"</f>
        <v>男</v>
      </c>
      <c r="D1125" s="6" t="str">
        <f>"1993-06-14"</f>
        <v>1993-06-14</v>
      </c>
      <c r="E1125" s="6" t="str">
        <f t="shared" si="594"/>
        <v>本科</v>
      </c>
      <c r="F1125" s="6" t="str">
        <f>"工学学士"</f>
        <v>工学学士</v>
      </c>
      <c r="G1125" s="6" t="str">
        <f>"计算机科学与技术专业"</f>
        <v>计算机科学与技术专业</v>
      </c>
      <c r="H1125" s="7" t="s">
        <v>9</v>
      </c>
    </row>
    <row r="1126" spans="1:8" ht="15" customHeight="1">
      <c r="A1126" s="5">
        <v>1124</v>
      </c>
      <c r="B1126" s="6" t="str">
        <f>"梁芯蕾"</f>
        <v>梁芯蕾</v>
      </c>
      <c r="C1126" s="6" t="str">
        <f t="shared" si="595"/>
        <v>女</v>
      </c>
      <c r="D1126" s="6" t="str">
        <f>"2001-02-01"</f>
        <v>2001-02-01</v>
      </c>
      <c r="E1126" s="6" t="str">
        <f t="shared" si="594"/>
        <v>本科</v>
      </c>
      <c r="F1126" s="6" t="str">
        <f aca="true" t="shared" si="596" ref="F1126:F1128">"管理学学士"</f>
        <v>管理学学士</v>
      </c>
      <c r="G1126" s="6" t="str">
        <f>"会计学"</f>
        <v>会计学</v>
      </c>
      <c r="H1126" s="7" t="s">
        <v>9</v>
      </c>
    </row>
    <row r="1127" spans="1:8" ht="15" customHeight="1">
      <c r="A1127" s="5">
        <v>1125</v>
      </c>
      <c r="B1127" s="6" t="str">
        <f>"王钧遐"</f>
        <v>王钧遐</v>
      </c>
      <c r="C1127" s="6" t="str">
        <f t="shared" si="595"/>
        <v>女</v>
      </c>
      <c r="D1127" s="6" t="str">
        <f>"1998-05-04"</f>
        <v>1998-05-04</v>
      </c>
      <c r="E1127" s="6" t="str">
        <f t="shared" si="594"/>
        <v>本科</v>
      </c>
      <c r="F1127" s="6" t="str">
        <f t="shared" si="596"/>
        <v>管理学学士</v>
      </c>
      <c r="G1127" s="6" t="str">
        <f>"物流管理"</f>
        <v>物流管理</v>
      </c>
      <c r="H1127" s="7" t="s">
        <v>9</v>
      </c>
    </row>
    <row r="1128" spans="1:8" ht="15" customHeight="1">
      <c r="A1128" s="5">
        <v>1126</v>
      </c>
      <c r="B1128" s="6" t="str">
        <f>"符秀坤"</f>
        <v>符秀坤</v>
      </c>
      <c r="C1128" s="6" t="str">
        <f t="shared" si="595"/>
        <v>女</v>
      </c>
      <c r="D1128" s="6" t="str">
        <f>"1993-10-27"</f>
        <v>1993-10-27</v>
      </c>
      <c r="E1128" s="6" t="str">
        <f t="shared" si="594"/>
        <v>本科</v>
      </c>
      <c r="F1128" s="6" t="str">
        <f t="shared" si="596"/>
        <v>管理学学士</v>
      </c>
      <c r="G1128" s="6" t="str">
        <f>"工商管理专业"</f>
        <v>工商管理专业</v>
      </c>
      <c r="H1128" s="7" t="s">
        <v>9</v>
      </c>
    </row>
    <row r="1129" spans="1:8" ht="15" customHeight="1">
      <c r="A1129" s="5">
        <v>1127</v>
      </c>
      <c r="B1129" s="6" t="str">
        <f>"陆珍"</f>
        <v>陆珍</v>
      </c>
      <c r="C1129" s="6" t="str">
        <f t="shared" si="595"/>
        <v>女</v>
      </c>
      <c r="D1129" s="6" t="str">
        <f>"2001-07-01"</f>
        <v>2001-07-01</v>
      </c>
      <c r="E1129" s="6" t="str">
        <f t="shared" si="594"/>
        <v>本科</v>
      </c>
      <c r="F1129" s="6" t="str">
        <f>"无"</f>
        <v>无</v>
      </c>
      <c r="G1129" s="6" t="str">
        <f>"工商管理"</f>
        <v>工商管理</v>
      </c>
      <c r="H1129" s="7" t="s">
        <v>9</v>
      </c>
    </row>
    <row r="1130" spans="1:8" ht="15" customHeight="1">
      <c r="A1130" s="5">
        <v>1128</v>
      </c>
      <c r="B1130" s="6" t="str">
        <f>"王川炳"</f>
        <v>王川炳</v>
      </c>
      <c r="C1130" s="6" t="str">
        <f aca="true" t="shared" si="597" ref="C1130:C1133">"男"</f>
        <v>男</v>
      </c>
      <c r="D1130" s="6" t="str">
        <f>"1995-12-12"</f>
        <v>1995-12-12</v>
      </c>
      <c r="E1130" s="6" t="str">
        <f t="shared" si="594"/>
        <v>本科</v>
      </c>
      <c r="F1130" s="6" t="str">
        <f>"理学学士"</f>
        <v>理学学士</v>
      </c>
      <c r="G1130" s="6" t="str">
        <f>"环境科学"</f>
        <v>环境科学</v>
      </c>
      <c r="H1130" s="7" t="s">
        <v>9</v>
      </c>
    </row>
    <row r="1131" spans="1:8" ht="15" customHeight="1">
      <c r="A1131" s="5">
        <v>1129</v>
      </c>
      <c r="B1131" s="6" t="str">
        <f>"王现"</f>
        <v>王现</v>
      </c>
      <c r="C1131" s="6" t="str">
        <f aca="true" t="shared" si="598" ref="C1131:C1136">"女"</f>
        <v>女</v>
      </c>
      <c r="D1131" s="6" t="str">
        <f>"1996-01-07"</f>
        <v>1996-01-07</v>
      </c>
      <c r="E1131" s="6" t="str">
        <f t="shared" si="594"/>
        <v>本科</v>
      </c>
      <c r="F1131" s="6" t="str">
        <f>"学士"</f>
        <v>学士</v>
      </c>
      <c r="G1131" s="6" t="str">
        <f>"计算机科学与技术"</f>
        <v>计算机科学与技术</v>
      </c>
      <c r="H1131" s="7" t="s">
        <v>9</v>
      </c>
    </row>
    <row r="1132" spans="1:8" ht="15" customHeight="1">
      <c r="A1132" s="5">
        <v>1130</v>
      </c>
      <c r="B1132" s="6" t="str">
        <f>"廖红星"</f>
        <v>廖红星</v>
      </c>
      <c r="C1132" s="6" t="str">
        <f t="shared" si="597"/>
        <v>男</v>
      </c>
      <c r="D1132" s="6" t="str">
        <f>"1998-10-31"</f>
        <v>1998-10-31</v>
      </c>
      <c r="E1132" s="6" t="str">
        <f t="shared" si="594"/>
        <v>本科</v>
      </c>
      <c r="F1132" s="6" t="str">
        <f>"管理学学士"</f>
        <v>管理学学士</v>
      </c>
      <c r="G1132" s="6" t="str">
        <f>"行政管理"</f>
        <v>行政管理</v>
      </c>
      <c r="H1132" s="7" t="s">
        <v>9</v>
      </c>
    </row>
    <row r="1133" spans="1:8" ht="15" customHeight="1">
      <c r="A1133" s="5">
        <v>1131</v>
      </c>
      <c r="B1133" s="6" t="str">
        <f>"曾祥程"</f>
        <v>曾祥程</v>
      </c>
      <c r="C1133" s="6" t="str">
        <f t="shared" si="597"/>
        <v>男</v>
      </c>
      <c r="D1133" s="6" t="str">
        <f>"1995-04-05"</f>
        <v>1995-04-05</v>
      </c>
      <c r="E1133" s="6" t="str">
        <f t="shared" si="594"/>
        <v>本科</v>
      </c>
      <c r="F1133" s="6" t="str">
        <f>"工学学士"</f>
        <v>工学学士</v>
      </c>
      <c r="G1133" s="6" t="str">
        <f>"计算机科学与技术"</f>
        <v>计算机科学与技术</v>
      </c>
      <c r="H1133" s="7" t="s">
        <v>9</v>
      </c>
    </row>
    <row r="1134" spans="1:8" ht="15" customHeight="1">
      <c r="A1134" s="5">
        <v>1132</v>
      </c>
      <c r="B1134" s="6" t="str">
        <f>"王慧"</f>
        <v>王慧</v>
      </c>
      <c r="C1134" s="6" t="str">
        <f t="shared" si="598"/>
        <v>女</v>
      </c>
      <c r="D1134" s="6" t="str">
        <f>"1996-10-28"</f>
        <v>1996-10-28</v>
      </c>
      <c r="E1134" s="6" t="str">
        <f aca="true" t="shared" si="599" ref="E1134:E1139">"大学本科"</f>
        <v>大学本科</v>
      </c>
      <c r="F1134" s="6" t="str">
        <f>"学士学位"</f>
        <v>学士学位</v>
      </c>
      <c r="G1134" s="6" t="str">
        <f>"会计学（注册会计师方向）"</f>
        <v>会计学（注册会计师方向）</v>
      </c>
      <c r="H1134" s="7" t="s">
        <v>9</v>
      </c>
    </row>
    <row r="1135" spans="1:8" ht="15" customHeight="1">
      <c r="A1135" s="5">
        <v>1133</v>
      </c>
      <c r="B1135" s="6" t="str">
        <f>"赵日环"</f>
        <v>赵日环</v>
      </c>
      <c r="C1135" s="6" t="str">
        <f aca="true" t="shared" si="600" ref="C1135:C1138">"男"</f>
        <v>男</v>
      </c>
      <c r="D1135" s="6" t="str">
        <f>"2000-10-13"</f>
        <v>2000-10-13</v>
      </c>
      <c r="E1135" s="6" t="str">
        <f aca="true" t="shared" si="601" ref="E1135:E1138">"本科"</f>
        <v>本科</v>
      </c>
      <c r="F1135" s="6" t="str">
        <f>"管理学学士"</f>
        <v>管理学学士</v>
      </c>
      <c r="G1135" s="6" t="str">
        <f>"工商管理"</f>
        <v>工商管理</v>
      </c>
      <c r="H1135" s="7" t="s">
        <v>9</v>
      </c>
    </row>
    <row r="1136" spans="1:8" ht="15" customHeight="1">
      <c r="A1136" s="5">
        <v>1134</v>
      </c>
      <c r="B1136" s="6" t="str">
        <f>"骆美明"</f>
        <v>骆美明</v>
      </c>
      <c r="C1136" s="6" t="str">
        <f t="shared" si="598"/>
        <v>女</v>
      </c>
      <c r="D1136" s="6" t="str">
        <f>"1996-04-18"</f>
        <v>1996-04-18</v>
      </c>
      <c r="E1136" s="6" t="str">
        <f t="shared" si="601"/>
        <v>本科</v>
      </c>
      <c r="F1136" s="6" t="str">
        <f>"工学学位"</f>
        <v>工学学位</v>
      </c>
      <c r="G1136" s="6" t="str">
        <f>"环境工程"</f>
        <v>环境工程</v>
      </c>
      <c r="H1136" s="7" t="s">
        <v>9</v>
      </c>
    </row>
    <row r="1137" spans="1:8" ht="15" customHeight="1">
      <c r="A1137" s="5">
        <v>1135</v>
      </c>
      <c r="B1137" s="6" t="str">
        <f>"符传明"</f>
        <v>符传明</v>
      </c>
      <c r="C1137" s="6" t="str">
        <f t="shared" si="600"/>
        <v>男</v>
      </c>
      <c r="D1137" s="6" t="str">
        <f>"1995-08-23"</f>
        <v>1995-08-23</v>
      </c>
      <c r="E1137" s="6" t="str">
        <f t="shared" si="599"/>
        <v>大学本科</v>
      </c>
      <c r="F1137" s="6" t="str">
        <f>"理学学士"</f>
        <v>理学学士</v>
      </c>
      <c r="G1137" s="6" t="str">
        <f>"计算机科学与技术"</f>
        <v>计算机科学与技术</v>
      </c>
      <c r="H1137" s="7" t="s">
        <v>9</v>
      </c>
    </row>
    <row r="1138" spans="1:8" ht="15" customHeight="1">
      <c r="A1138" s="5">
        <v>1136</v>
      </c>
      <c r="B1138" s="6" t="str">
        <f>"蒙长顺"</f>
        <v>蒙长顺</v>
      </c>
      <c r="C1138" s="6" t="str">
        <f t="shared" si="600"/>
        <v>男</v>
      </c>
      <c r="D1138" s="6" t="str">
        <f>"1987-07-06"</f>
        <v>1987-07-06</v>
      </c>
      <c r="E1138" s="6" t="str">
        <f t="shared" si="601"/>
        <v>本科</v>
      </c>
      <c r="F1138" s="6" t="str">
        <f>"工学学士"</f>
        <v>工学学士</v>
      </c>
      <c r="G1138" s="6" t="str">
        <f>"土木工程"</f>
        <v>土木工程</v>
      </c>
      <c r="H1138" s="7" t="s">
        <v>9</v>
      </c>
    </row>
    <row r="1139" spans="1:8" ht="15" customHeight="1">
      <c r="A1139" s="5">
        <v>1137</v>
      </c>
      <c r="B1139" s="6" t="str">
        <f>"梁芳凤"</f>
        <v>梁芳凤</v>
      </c>
      <c r="C1139" s="6" t="str">
        <f aca="true" t="shared" si="602" ref="C1139:C1141">"女"</f>
        <v>女</v>
      </c>
      <c r="D1139" s="6" t="str">
        <f>"1996-05-07"</f>
        <v>1996-05-07</v>
      </c>
      <c r="E1139" s="6" t="str">
        <f t="shared" si="599"/>
        <v>大学本科</v>
      </c>
      <c r="F1139" s="6" t="str">
        <f>"管理学学士"</f>
        <v>管理学学士</v>
      </c>
      <c r="G1139" s="6" t="str">
        <f>"行政管理"</f>
        <v>行政管理</v>
      </c>
      <c r="H1139" s="7" t="s">
        <v>9</v>
      </c>
    </row>
    <row r="1140" spans="1:8" ht="15" customHeight="1">
      <c r="A1140" s="5">
        <v>1138</v>
      </c>
      <c r="B1140" s="6" t="str">
        <f>"李振丽"</f>
        <v>李振丽</v>
      </c>
      <c r="C1140" s="6" t="str">
        <f t="shared" si="602"/>
        <v>女</v>
      </c>
      <c r="D1140" s="6" t="str">
        <f>"1993-08-06"</f>
        <v>1993-08-06</v>
      </c>
      <c r="E1140" s="6" t="str">
        <f aca="true" t="shared" si="603" ref="E1140:E1149">"本科"</f>
        <v>本科</v>
      </c>
      <c r="F1140" s="6" t="str">
        <f>"经济学学士"</f>
        <v>经济学学士</v>
      </c>
      <c r="G1140" s="6" t="str">
        <f>"经济学"</f>
        <v>经济学</v>
      </c>
      <c r="H1140" s="7" t="s">
        <v>9</v>
      </c>
    </row>
    <row r="1141" spans="1:8" ht="15" customHeight="1">
      <c r="A1141" s="5">
        <v>1139</v>
      </c>
      <c r="B1141" s="6" t="str">
        <f>"劳赛芳"</f>
        <v>劳赛芳</v>
      </c>
      <c r="C1141" s="6" t="str">
        <f t="shared" si="602"/>
        <v>女</v>
      </c>
      <c r="D1141" s="6" t="str">
        <f>"1996-04-01"</f>
        <v>1996-04-01</v>
      </c>
      <c r="E1141" s="6" t="str">
        <f>"大学本科学历"</f>
        <v>大学本科学历</v>
      </c>
      <c r="F1141" s="6" t="str">
        <f>"管理学学士"</f>
        <v>管理学学士</v>
      </c>
      <c r="G1141" s="6" t="str">
        <f>"物流管理"</f>
        <v>物流管理</v>
      </c>
      <c r="H1141" s="7" t="s">
        <v>9</v>
      </c>
    </row>
    <row r="1142" spans="1:8" ht="15" customHeight="1">
      <c r="A1142" s="5">
        <v>1140</v>
      </c>
      <c r="B1142" s="6" t="str">
        <f>"陈有锦"</f>
        <v>陈有锦</v>
      </c>
      <c r="C1142" s="6" t="str">
        <f aca="true" t="shared" si="604" ref="C1142:C1147">"男"</f>
        <v>男</v>
      </c>
      <c r="D1142" s="6" t="str">
        <f>"1995-09-28"</f>
        <v>1995-09-28</v>
      </c>
      <c r="E1142" s="6" t="str">
        <f>"本科学历"</f>
        <v>本科学历</v>
      </c>
      <c r="F1142" s="6" t="str">
        <f>"工学学士"</f>
        <v>工学学士</v>
      </c>
      <c r="G1142" s="6" t="str">
        <f>"风景园林"</f>
        <v>风景园林</v>
      </c>
      <c r="H1142" s="7" t="s">
        <v>9</v>
      </c>
    </row>
    <row r="1143" spans="1:8" ht="15" customHeight="1">
      <c r="A1143" s="5">
        <v>1141</v>
      </c>
      <c r="B1143" s="6" t="str">
        <f>"符诒洪"</f>
        <v>符诒洪</v>
      </c>
      <c r="C1143" s="6" t="str">
        <f t="shared" si="604"/>
        <v>男</v>
      </c>
      <c r="D1143" s="6" t="str">
        <f>"1999-12-09"</f>
        <v>1999-12-09</v>
      </c>
      <c r="E1143" s="6" t="str">
        <f t="shared" si="603"/>
        <v>本科</v>
      </c>
      <c r="F1143" s="6" t="str">
        <f>"农学学士"</f>
        <v>农学学士</v>
      </c>
      <c r="G1143" s="6" t="str">
        <f>"园林"</f>
        <v>园林</v>
      </c>
      <c r="H1143" s="7" t="s">
        <v>9</v>
      </c>
    </row>
    <row r="1144" spans="1:8" ht="15" customHeight="1">
      <c r="A1144" s="5">
        <v>1142</v>
      </c>
      <c r="B1144" s="6" t="str">
        <f>"蒋颖颖"</f>
        <v>蒋颖颖</v>
      </c>
      <c r="C1144" s="6" t="str">
        <f aca="true" t="shared" si="605" ref="C1144:C1149">"女"</f>
        <v>女</v>
      </c>
      <c r="D1144" s="6" t="str">
        <f>"1999-10-08"</f>
        <v>1999-10-08</v>
      </c>
      <c r="E1144" s="6" t="str">
        <f t="shared" si="603"/>
        <v>本科</v>
      </c>
      <c r="F1144" s="6" t="str">
        <f>"学士"</f>
        <v>学士</v>
      </c>
      <c r="G1144" s="6" t="str">
        <f>"野生动物与自然保护区管理"</f>
        <v>野生动物与自然保护区管理</v>
      </c>
      <c r="H1144" s="7" t="s">
        <v>9</v>
      </c>
    </row>
    <row r="1145" spans="1:8" ht="15" customHeight="1">
      <c r="A1145" s="5">
        <v>1143</v>
      </c>
      <c r="B1145" s="6" t="str">
        <f>"黎隆茂"</f>
        <v>黎隆茂</v>
      </c>
      <c r="C1145" s="6" t="str">
        <f t="shared" si="604"/>
        <v>男</v>
      </c>
      <c r="D1145" s="6" t="str">
        <f>"1992-08-26"</f>
        <v>1992-08-26</v>
      </c>
      <c r="E1145" s="6" t="str">
        <f t="shared" si="603"/>
        <v>本科</v>
      </c>
      <c r="F1145" s="6" t="str">
        <f>"文学学士"</f>
        <v>文学学士</v>
      </c>
      <c r="G1145" s="6" t="str">
        <f>"汉语言"</f>
        <v>汉语言</v>
      </c>
      <c r="H1145" s="7" t="s">
        <v>9</v>
      </c>
    </row>
    <row r="1146" spans="1:8" ht="15" customHeight="1">
      <c r="A1146" s="5">
        <v>1144</v>
      </c>
      <c r="B1146" s="6" t="str">
        <f>"邱洪威"</f>
        <v>邱洪威</v>
      </c>
      <c r="C1146" s="6" t="str">
        <f t="shared" si="604"/>
        <v>男</v>
      </c>
      <c r="D1146" s="6" t="str">
        <f>"1996-11-05"</f>
        <v>1996-11-05</v>
      </c>
      <c r="E1146" s="6" t="str">
        <f t="shared" si="603"/>
        <v>本科</v>
      </c>
      <c r="F1146" s="6" t="str">
        <f>"学士"</f>
        <v>学士</v>
      </c>
      <c r="G1146" s="6" t="str">
        <f>"会计学"</f>
        <v>会计学</v>
      </c>
      <c r="H1146" s="7" t="s">
        <v>9</v>
      </c>
    </row>
    <row r="1147" spans="1:8" ht="15" customHeight="1">
      <c r="A1147" s="5">
        <v>1145</v>
      </c>
      <c r="B1147" s="6" t="str">
        <f>"王超"</f>
        <v>王超</v>
      </c>
      <c r="C1147" s="6" t="str">
        <f t="shared" si="604"/>
        <v>男</v>
      </c>
      <c r="D1147" s="6" t="str">
        <f>"1998-11-13"</f>
        <v>1998-11-13</v>
      </c>
      <c r="E1147" s="6" t="str">
        <f t="shared" si="603"/>
        <v>本科</v>
      </c>
      <c r="F1147" s="6" t="str">
        <f>"管理学学士"</f>
        <v>管理学学士</v>
      </c>
      <c r="G1147" s="6" t="str">
        <f>"电子商务"</f>
        <v>电子商务</v>
      </c>
      <c r="H1147" s="7" t="s">
        <v>9</v>
      </c>
    </row>
    <row r="1148" spans="1:8" ht="15" customHeight="1">
      <c r="A1148" s="5">
        <v>1146</v>
      </c>
      <c r="B1148" s="6" t="str">
        <f>"蒋先曼"</f>
        <v>蒋先曼</v>
      </c>
      <c r="C1148" s="6" t="str">
        <f t="shared" si="605"/>
        <v>女</v>
      </c>
      <c r="D1148" s="6" t="str">
        <f>"1999-02-28"</f>
        <v>1999-02-28</v>
      </c>
      <c r="E1148" s="6" t="str">
        <f t="shared" si="603"/>
        <v>本科</v>
      </c>
      <c r="F1148" s="6" t="str">
        <f aca="true" t="shared" si="606" ref="F1148:F1152">"工学学士"</f>
        <v>工学学士</v>
      </c>
      <c r="G1148" s="6" t="str">
        <f>"工程管理"</f>
        <v>工程管理</v>
      </c>
      <c r="H1148" s="7" t="s">
        <v>9</v>
      </c>
    </row>
    <row r="1149" spans="1:8" ht="15" customHeight="1">
      <c r="A1149" s="5">
        <v>1147</v>
      </c>
      <c r="B1149" s="6" t="str">
        <f>"李选丽"</f>
        <v>李选丽</v>
      </c>
      <c r="C1149" s="6" t="str">
        <f t="shared" si="605"/>
        <v>女</v>
      </c>
      <c r="D1149" s="6" t="str">
        <f>"1997-10-24"</f>
        <v>1997-10-24</v>
      </c>
      <c r="E1149" s="6" t="str">
        <f t="shared" si="603"/>
        <v>本科</v>
      </c>
      <c r="F1149" s="6" t="str">
        <f>"管理学学士"</f>
        <v>管理学学士</v>
      </c>
      <c r="G1149" s="6" t="str">
        <f>"财务管理专业"</f>
        <v>财务管理专业</v>
      </c>
      <c r="H1149" s="7" t="s">
        <v>9</v>
      </c>
    </row>
    <row r="1150" spans="1:8" ht="15" customHeight="1">
      <c r="A1150" s="5">
        <v>1148</v>
      </c>
      <c r="B1150" s="6" t="str">
        <f>"叶保浩"</f>
        <v>叶保浩</v>
      </c>
      <c r="C1150" s="6" t="str">
        <f aca="true" t="shared" si="607" ref="C1150:C1152">"男"</f>
        <v>男</v>
      </c>
      <c r="D1150" s="6" t="str">
        <f>"1994-05-28"</f>
        <v>1994-05-28</v>
      </c>
      <c r="E1150" s="6" t="str">
        <f>"大学本科学历"</f>
        <v>大学本科学历</v>
      </c>
      <c r="F1150" s="6" t="str">
        <f>"管理学士"</f>
        <v>管理学士</v>
      </c>
      <c r="G1150" s="6" t="str">
        <f>"工程管理"</f>
        <v>工程管理</v>
      </c>
      <c r="H1150" s="7" t="s">
        <v>9</v>
      </c>
    </row>
    <row r="1151" spans="1:8" ht="15" customHeight="1">
      <c r="A1151" s="5">
        <v>1149</v>
      </c>
      <c r="B1151" s="6" t="str">
        <f>"王千豪"</f>
        <v>王千豪</v>
      </c>
      <c r="C1151" s="6" t="str">
        <f t="shared" si="607"/>
        <v>男</v>
      </c>
      <c r="D1151" s="6" t="str">
        <f>"1992-09-30"</f>
        <v>1992-09-30</v>
      </c>
      <c r="E1151" s="6" t="str">
        <f aca="true" t="shared" si="608" ref="E1151:E1155">"大学本科"</f>
        <v>大学本科</v>
      </c>
      <c r="F1151" s="6" t="str">
        <f t="shared" si="606"/>
        <v>工学学士</v>
      </c>
      <c r="G1151" s="6" t="str">
        <f>"城市规划"</f>
        <v>城市规划</v>
      </c>
      <c r="H1151" s="7" t="s">
        <v>9</v>
      </c>
    </row>
    <row r="1152" spans="1:8" ht="15" customHeight="1">
      <c r="A1152" s="5">
        <v>1150</v>
      </c>
      <c r="B1152" s="6" t="str">
        <f>"李方凯"</f>
        <v>李方凯</v>
      </c>
      <c r="C1152" s="6" t="str">
        <f t="shared" si="607"/>
        <v>男</v>
      </c>
      <c r="D1152" s="6" t="str">
        <f>"1996-11-17"</f>
        <v>1996-11-17</v>
      </c>
      <c r="E1152" s="6" t="str">
        <f t="shared" si="608"/>
        <v>大学本科</v>
      </c>
      <c r="F1152" s="6" t="str">
        <f t="shared" si="606"/>
        <v>工学学士</v>
      </c>
      <c r="G1152" s="6" t="str">
        <f>"土木工程"</f>
        <v>土木工程</v>
      </c>
      <c r="H1152" s="7" t="s">
        <v>9</v>
      </c>
    </row>
    <row r="1153" spans="1:8" ht="15" customHeight="1">
      <c r="A1153" s="5">
        <v>1151</v>
      </c>
      <c r="B1153" s="6" t="str">
        <f>"吴彩云"</f>
        <v>吴彩云</v>
      </c>
      <c r="C1153" s="6" t="str">
        <f aca="true" t="shared" si="609" ref="C1153:C1157">"女"</f>
        <v>女</v>
      </c>
      <c r="D1153" s="6" t="str">
        <f>"1991-10-23"</f>
        <v>1991-10-23</v>
      </c>
      <c r="E1153" s="6" t="str">
        <f>"全日制大学本科"</f>
        <v>全日制大学本科</v>
      </c>
      <c r="F1153" s="6" t="str">
        <f>"农学学士"</f>
        <v>农学学士</v>
      </c>
      <c r="G1153" s="6" t="str">
        <f>"农学"</f>
        <v>农学</v>
      </c>
      <c r="H1153" s="7" t="s">
        <v>9</v>
      </c>
    </row>
    <row r="1154" spans="1:8" ht="15" customHeight="1">
      <c r="A1154" s="5">
        <v>1152</v>
      </c>
      <c r="B1154" s="6" t="str">
        <f>"林和欢"</f>
        <v>林和欢</v>
      </c>
      <c r="C1154" s="6" t="str">
        <f t="shared" si="609"/>
        <v>女</v>
      </c>
      <c r="D1154" s="6" t="str">
        <f>"1999-09-13"</f>
        <v>1999-09-13</v>
      </c>
      <c r="E1154" s="6" t="str">
        <f aca="true" t="shared" si="610" ref="E1154:E1163">"本科"</f>
        <v>本科</v>
      </c>
      <c r="F1154" s="6" t="str">
        <f>"管理学学士"</f>
        <v>管理学学士</v>
      </c>
      <c r="G1154" s="6" t="str">
        <f>"旅游管理"</f>
        <v>旅游管理</v>
      </c>
      <c r="H1154" s="7" t="s">
        <v>9</v>
      </c>
    </row>
    <row r="1155" spans="1:8" ht="15" customHeight="1">
      <c r="A1155" s="5">
        <v>1153</v>
      </c>
      <c r="B1155" s="6" t="str">
        <f>"卓海滨"</f>
        <v>卓海滨</v>
      </c>
      <c r="C1155" s="6" t="str">
        <f>"男"</f>
        <v>男</v>
      </c>
      <c r="D1155" s="6" t="str">
        <f>"1999-07-01"</f>
        <v>1999-07-01</v>
      </c>
      <c r="E1155" s="6" t="str">
        <f t="shared" si="608"/>
        <v>大学本科</v>
      </c>
      <c r="F1155" s="6" t="str">
        <f>"工学学士"</f>
        <v>工学学士</v>
      </c>
      <c r="G1155" s="6" t="str">
        <f>"信息安全专业"</f>
        <v>信息安全专业</v>
      </c>
      <c r="H1155" s="7" t="s">
        <v>9</v>
      </c>
    </row>
    <row r="1156" spans="1:8" ht="15" customHeight="1">
      <c r="A1156" s="5">
        <v>1154</v>
      </c>
      <c r="B1156" s="6" t="str">
        <f>"陈名丽"</f>
        <v>陈名丽</v>
      </c>
      <c r="C1156" s="6" t="str">
        <f t="shared" si="609"/>
        <v>女</v>
      </c>
      <c r="D1156" s="6" t="str">
        <f>"1994-05-18"</f>
        <v>1994-05-18</v>
      </c>
      <c r="E1156" s="6" t="str">
        <f>"大学本科学历"</f>
        <v>大学本科学历</v>
      </c>
      <c r="F1156" s="6" t="str">
        <f>"理学学士"</f>
        <v>理学学士</v>
      </c>
      <c r="G1156" s="6" t="str">
        <f>"计算机科学与技术（师范）"</f>
        <v>计算机科学与技术（师范）</v>
      </c>
      <c r="H1156" s="7" t="s">
        <v>9</v>
      </c>
    </row>
    <row r="1157" spans="1:8" ht="15" customHeight="1">
      <c r="A1157" s="5">
        <v>1155</v>
      </c>
      <c r="B1157" s="6" t="str">
        <f>"吴文君"</f>
        <v>吴文君</v>
      </c>
      <c r="C1157" s="6" t="str">
        <f t="shared" si="609"/>
        <v>女</v>
      </c>
      <c r="D1157" s="6" t="str">
        <f>"1998-02-07"</f>
        <v>1998-02-07</v>
      </c>
      <c r="E1157" s="6" t="str">
        <f t="shared" si="610"/>
        <v>本科</v>
      </c>
      <c r="F1157" s="6" t="str">
        <f>"文学学士"</f>
        <v>文学学士</v>
      </c>
      <c r="G1157" s="6" t="str">
        <f>"汉语言文学专业"</f>
        <v>汉语言文学专业</v>
      </c>
      <c r="H1157" s="7" t="s">
        <v>9</v>
      </c>
    </row>
    <row r="1158" spans="1:8" ht="15" customHeight="1">
      <c r="A1158" s="5">
        <v>1156</v>
      </c>
      <c r="B1158" s="6" t="str">
        <f>"周斌"</f>
        <v>周斌</v>
      </c>
      <c r="C1158" s="6" t="str">
        <f>"男"</f>
        <v>男</v>
      </c>
      <c r="D1158" s="6" t="str">
        <f>"2000-06-19"</f>
        <v>2000-06-19</v>
      </c>
      <c r="E1158" s="6" t="str">
        <f>"大学本科学历"</f>
        <v>大学本科学历</v>
      </c>
      <c r="F1158" s="6" t="str">
        <f>"农学学士"</f>
        <v>农学学士</v>
      </c>
      <c r="G1158" s="6" t="str">
        <f>"园林"</f>
        <v>园林</v>
      </c>
      <c r="H1158" s="7" t="s">
        <v>9</v>
      </c>
    </row>
    <row r="1159" spans="1:8" ht="15" customHeight="1">
      <c r="A1159" s="5">
        <v>1157</v>
      </c>
      <c r="B1159" s="6" t="str">
        <f>"刘珊珊"</f>
        <v>刘珊珊</v>
      </c>
      <c r="C1159" s="6" t="str">
        <f aca="true" t="shared" si="611" ref="C1159:C1162">"女"</f>
        <v>女</v>
      </c>
      <c r="D1159" s="6" t="str">
        <f>"2000-03-18"</f>
        <v>2000-03-18</v>
      </c>
      <c r="E1159" s="6" t="str">
        <f t="shared" si="610"/>
        <v>本科</v>
      </c>
      <c r="F1159" s="6" t="str">
        <f>"文学学士"</f>
        <v>文学学士</v>
      </c>
      <c r="G1159" s="6" t="str">
        <f>"汉语言文学"</f>
        <v>汉语言文学</v>
      </c>
      <c r="H1159" s="7" t="s">
        <v>9</v>
      </c>
    </row>
    <row r="1160" spans="1:8" ht="15" customHeight="1">
      <c r="A1160" s="5">
        <v>1158</v>
      </c>
      <c r="B1160" s="6" t="str">
        <f>"刘生优"</f>
        <v>刘生优</v>
      </c>
      <c r="C1160" s="6" t="str">
        <f t="shared" si="611"/>
        <v>女</v>
      </c>
      <c r="D1160" s="6" t="str">
        <f>"1994-06-08"</f>
        <v>1994-06-08</v>
      </c>
      <c r="E1160" s="6" t="str">
        <f t="shared" si="610"/>
        <v>本科</v>
      </c>
      <c r="F1160" s="6" t="str">
        <f>"学士学位"</f>
        <v>学士学位</v>
      </c>
      <c r="G1160" s="6" t="str">
        <f>"经济学"</f>
        <v>经济学</v>
      </c>
      <c r="H1160" s="7" t="s">
        <v>9</v>
      </c>
    </row>
    <row r="1161" spans="1:8" ht="15" customHeight="1">
      <c r="A1161" s="5">
        <v>1159</v>
      </c>
      <c r="B1161" s="6" t="str">
        <f>"王翠丽"</f>
        <v>王翠丽</v>
      </c>
      <c r="C1161" s="6" t="str">
        <f t="shared" si="611"/>
        <v>女</v>
      </c>
      <c r="D1161" s="6" t="str">
        <f>"1997-10-20"</f>
        <v>1997-10-20</v>
      </c>
      <c r="E1161" s="6" t="str">
        <f t="shared" si="610"/>
        <v>本科</v>
      </c>
      <c r="F1161" s="6" t="str">
        <f>"经济学学士"</f>
        <v>经济学学士</v>
      </c>
      <c r="G1161" s="6" t="str">
        <f>"经济学"</f>
        <v>经济学</v>
      </c>
      <c r="H1161" s="7" t="s">
        <v>9</v>
      </c>
    </row>
    <row r="1162" spans="1:8" ht="15" customHeight="1">
      <c r="A1162" s="5">
        <v>1160</v>
      </c>
      <c r="B1162" s="6" t="str">
        <f>"吴汉珍"</f>
        <v>吴汉珍</v>
      </c>
      <c r="C1162" s="6" t="str">
        <f t="shared" si="611"/>
        <v>女</v>
      </c>
      <c r="D1162" s="6" t="str">
        <f>"1999-06-06"</f>
        <v>1999-06-06</v>
      </c>
      <c r="E1162" s="6" t="str">
        <f t="shared" si="610"/>
        <v>本科</v>
      </c>
      <c r="F1162" s="6" t="str">
        <f>"管理学学士"</f>
        <v>管理学学士</v>
      </c>
      <c r="G1162" s="6" t="str">
        <f>"工商管理"</f>
        <v>工商管理</v>
      </c>
      <c r="H1162" s="7" t="s">
        <v>9</v>
      </c>
    </row>
    <row r="1163" spans="1:8" ht="15" customHeight="1">
      <c r="A1163" s="5">
        <v>1161</v>
      </c>
      <c r="B1163" s="6" t="str">
        <f>"李圣威"</f>
        <v>李圣威</v>
      </c>
      <c r="C1163" s="6" t="str">
        <f aca="true" t="shared" si="612" ref="C1163:C1165">"男"</f>
        <v>男</v>
      </c>
      <c r="D1163" s="6" t="str">
        <f>"1992-01-01"</f>
        <v>1992-01-01</v>
      </c>
      <c r="E1163" s="6" t="str">
        <f t="shared" si="610"/>
        <v>本科</v>
      </c>
      <c r="F1163" s="6" t="str">
        <f>"学士"</f>
        <v>学士</v>
      </c>
      <c r="G1163" s="6" t="str">
        <f>"汉语言文学"</f>
        <v>汉语言文学</v>
      </c>
      <c r="H1163" s="7" t="s">
        <v>9</v>
      </c>
    </row>
    <row r="1164" spans="1:8" ht="15" customHeight="1">
      <c r="A1164" s="5">
        <v>1162</v>
      </c>
      <c r="B1164" s="6" t="str">
        <f>"郑必高"</f>
        <v>郑必高</v>
      </c>
      <c r="C1164" s="6" t="str">
        <f t="shared" si="612"/>
        <v>男</v>
      </c>
      <c r="D1164" s="6" t="str">
        <f>"2000-10-06"</f>
        <v>2000-10-06</v>
      </c>
      <c r="E1164" s="6" t="str">
        <f>"大学本科"</f>
        <v>大学本科</v>
      </c>
      <c r="F1164" s="6" t="str">
        <f>"农学学士"</f>
        <v>农学学士</v>
      </c>
      <c r="G1164" s="6" t="str">
        <f>"动物科学"</f>
        <v>动物科学</v>
      </c>
      <c r="H1164" s="7" t="s">
        <v>9</v>
      </c>
    </row>
    <row r="1165" spans="1:8" ht="15" customHeight="1">
      <c r="A1165" s="5">
        <v>1163</v>
      </c>
      <c r="B1165" s="6" t="str">
        <f>"李永鹏"</f>
        <v>李永鹏</v>
      </c>
      <c r="C1165" s="6" t="str">
        <f t="shared" si="612"/>
        <v>男</v>
      </c>
      <c r="D1165" s="6" t="str">
        <f>"1994-03-08"</f>
        <v>1994-03-08</v>
      </c>
      <c r="E1165" s="6" t="str">
        <f aca="true" t="shared" si="613" ref="E1165:E1167">"本科"</f>
        <v>本科</v>
      </c>
      <c r="F1165" s="6" t="str">
        <f>"学士"</f>
        <v>学士</v>
      </c>
      <c r="G1165" s="6" t="str">
        <f>"旅游管理"</f>
        <v>旅游管理</v>
      </c>
      <c r="H1165" s="7" t="s">
        <v>9</v>
      </c>
    </row>
    <row r="1166" spans="1:8" ht="15" customHeight="1">
      <c r="A1166" s="5">
        <v>1164</v>
      </c>
      <c r="B1166" s="6" t="str">
        <f>"陈少珠"</f>
        <v>陈少珠</v>
      </c>
      <c r="C1166" s="6" t="str">
        <f>"女"</f>
        <v>女</v>
      </c>
      <c r="D1166" s="6" t="str">
        <f>"1997-03-07"</f>
        <v>1997-03-07</v>
      </c>
      <c r="E1166" s="6" t="str">
        <f t="shared" si="613"/>
        <v>本科</v>
      </c>
      <c r="F1166" s="6" t="str">
        <f aca="true" t="shared" si="614" ref="F1166:F1171">"管理学学士"</f>
        <v>管理学学士</v>
      </c>
      <c r="G1166" s="6" t="str">
        <f>"旅游管理"</f>
        <v>旅游管理</v>
      </c>
      <c r="H1166" s="7" t="s">
        <v>9</v>
      </c>
    </row>
    <row r="1167" spans="1:8" ht="15" customHeight="1">
      <c r="A1167" s="5">
        <v>1165</v>
      </c>
      <c r="B1167" s="6" t="str">
        <f>"罗洪岩"</f>
        <v>罗洪岩</v>
      </c>
      <c r="C1167" s="6" t="str">
        <f aca="true" t="shared" si="615" ref="C1167:C1169">"男"</f>
        <v>男</v>
      </c>
      <c r="D1167" s="6" t="str">
        <f>"1998-05-30"</f>
        <v>1998-05-30</v>
      </c>
      <c r="E1167" s="6" t="str">
        <f t="shared" si="613"/>
        <v>本科</v>
      </c>
      <c r="F1167" s="6" t="str">
        <f>"学士学位"</f>
        <v>学士学位</v>
      </c>
      <c r="G1167" s="6" t="str">
        <f>"土木工程"</f>
        <v>土木工程</v>
      </c>
      <c r="H1167" s="7" t="s">
        <v>9</v>
      </c>
    </row>
    <row r="1168" spans="1:8" ht="15" customHeight="1">
      <c r="A1168" s="5">
        <v>1166</v>
      </c>
      <c r="B1168" s="6" t="str">
        <f>"李健伟"</f>
        <v>李健伟</v>
      </c>
      <c r="C1168" s="6" t="str">
        <f t="shared" si="615"/>
        <v>男</v>
      </c>
      <c r="D1168" s="6" t="str">
        <f>"1992-10-11"</f>
        <v>1992-10-11</v>
      </c>
      <c r="E1168" s="6" t="str">
        <f>"大学本科"</f>
        <v>大学本科</v>
      </c>
      <c r="F1168" s="6" t="str">
        <f>"工学学士"</f>
        <v>工学学士</v>
      </c>
      <c r="G1168" s="6" t="str">
        <f>"土木工程"</f>
        <v>土木工程</v>
      </c>
      <c r="H1168" s="7" t="s">
        <v>9</v>
      </c>
    </row>
    <row r="1169" spans="1:8" ht="15" customHeight="1">
      <c r="A1169" s="5">
        <v>1167</v>
      </c>
      <c r="B1169" s="6" t="str">
        <f>"刘峻"</f>
        <v>刘峻</v>
      </c>
      <c r="C1169" s="6" t="str">
        <f t="shared" si="615"/>
        <v>男</v>
      </c>
      <c r="D1169" s="6" t="str">
        <f>"1990-05-19"</f>
        <v>1990-05-19</v>
      </c>
      <c r="E1169" s="6" t="str">
        <f aca="true" t="shared" si="616" ref="E1169:E1173">"本科"</f>
        <v>本科</v>
      </c>
      <c r="F1169" s="6" t="str">
        <f t="shared" si="614"/>
        <v>管理学学士</v>
      </c>
      <c r="G1169" s="6" t="str">
        <f>"公共事业管理"</f>
        <v>公共事业管理</v>
      </c>
      <c r="H1169" s="7" t="s">
        <v>9</v>
      </c>
    </row>
    <row r="1170" spans="1:8" ht="15" customHeight="1">
      <c r="A1170" s="5">
        <v>1168</v>
      </c>
      <c r="B1170" s="6" t="str">
        <f>"陈燕萍"</f>
        <v>陈燕萍</v>
      </c>
      <c r="C1170" s="6" t="str">
        <f>"女"</f>
        <v>女</v>
      </c>
      <c r="D1170" s="6" t="str">
        <f>"1988-03-17"</f>
        <v>1988-03-17</v>
      </c>
      <c r="E1170" s="6" t="str">
        <f t="shared" si="616"/>
        <v>本科</v>
      </c>
      <c r="F1170" s="6" t="str">
        <f>"工学学士"</f>
        <v>工学学士</v>
      </c>
      <c r="G1170" s="6" t="str">
        <f>"计算机科学与技术"</f>
        <v>计算机科学与技术</v>
      </c>
      <c r="H1170" s="7" t="s">
        <v>9</v>
      </c>
    </row>
    <row r="1171" spans="1:8" ht="15" customHeight="1">
      <c r="A1171" s="5">
        <v>1169</v>
      </c>
      <c r="B1171" s="6" t="str">
        <f>"钟文泽"</f>
        <v>钟文泽</v>
      </c>
      <c r="C1171" s="6" t="str">
        <f aca="true" t="shared" si="617" ref="C1171:C1174">"男"</f>
        <v>男</v>
      </c>
      <c r="D1171" s="6" t="str">
        <f>"2000-03-01"</f>
        <v>2000-03-01</v>
      </c>
      <c r="E1171" s="6" t="str">
        <f t="shared" si="616"/>
        <v>本科</v>
      </c>
      <c r="F1171" s="6" t="str">
        <f t="shared" si="614"/>
        <v>管理学学士</v>
      </c>
      <c r="G1171" s="6" t="str">
        <f>"物流管理"</f>
        <v>物流管理</v>
      </c>
      <c r="H1171" s="7" t="s">
        <v>9</v>
      </c>
    </row>
    <row r="1172" spans="1:8" ht="15" customHeight="1">
      <c r="A1172" s="5">
        <v>1170</v>
      </c>
      <c r="B1172" s="6" t="str">
        <f>"洪杰英"</f>
        <v>洪杰英</v>
      </c>
      <c r="C1172" s="6" t="str">
        <f t="shared" si="617"/>
        <v>男</v>
      </c>
      <c r="D1172" s="6" t="str">
        <f>"1997-09-19"</f>
        <v>1997-09-19</v>
      </c>
      <c r="E1172" s="6" t="str">
        <f t="shared" si="616"/>
        <v>本科</v>
      </c>
      <c r="F1172" s="6" t="str">
        <f>"文学学士"</f>
        <v>文学学士</v>
      </c>
      <c r="G1172" s="6" t="str">
        <f>"汉语言文学"</f>
        <v>汉语言文学</v>
      </c>
      <c r="H1172" s="7" t="s">
        <v>9</v>
      </c>
    </row>
    <row r="1173" spans="1:8" ht="15" customHeight="1">
      <c r="A1173" s="5">
        <v>1171</v>
      </c>
      <c r="B1173" s="6" t="str">
        <f>"陈受宣"</f>
        <v>陈受宣</v>
      </c>
      <c r="C1173" s="6" t="str">
        <f t="shared" si="617"/>
        <v>男</v>
      </c>
      <c r="D1173" s="6" t="str">
        <f>"1990-12-13"</f>
        <v>1990-12-13</v>
      </c>
      <c r="E1173" s="6" t="str">
        <f t="shared" si="616"/>
        <v>本科</v>
      </c>
      <c r="F1173" s="6" t="str">
        <f>"学士"</f>
        <v>学士</v>
      </c>
      <c r="G1173" s="6" t="str">
        <f>"城市规划"</f>
        <v>城市规划</v>
      </c>
      <c r="H1173" s="7" t="s">
        <v>9</v>
      </c>
    </row>
    <row r="1174" spans="1:8" ht="15" customHeight="1">
      <c r="A1174" s="5">
        <v>1172</v>
      </c>
      <c r="B1174" s="6" t="str">
        <f>"韦良宗"</f>
        <v>韦良宗</v>
      </c>
      <c r="C1174" s="6" t="str">
        <f t="shared" si="617"/>
        <v>男</v>
      </c>
      <c r="D1174" s="6" t="str">
        <f>"1996-04-27"</f>
        <v>1996-04-27</v>
      </c>
      <c r="E1174" s="6" t="str">
        <f aca="true" t="shared" si="618" ref="E1174:E1180">"大学本科"</f>
        <v>大学本科</v>
      </c>
      <c r="F1174" s="6" t="str">
        <f>"管理学士"</f>
        <v>管理学士</v>
      </c>
      <c r="G1174" s="6" t="str">
        <f>"财务管理"</f>
        <v>财务管理</v>
      </c>
      <c r="H1174" s="7" t="s">
        <v>9</v>
      </c>
    </row>
    <row r="1175" spans="1:8" ht="15" customHeight="1">
      <c r="A1175" s="5">
        <v>1173</v>
      </c>
      <c r="B1175" s="6" t="str">
        <f>"骆金凤"</f>
        <v>骆金凤</v>
      </c>
      <c r="C1175" s="6" t="str">
        <f aca="true" t="shared" si="619" ref="C1175:C1180">"女"</f>
        <v>女</v>
      </c>
      <c r="D1175" s="6" t="str">
        <f>"2000-02-25"</f>
        <v>2000-02-25</v>
      </c>
      <c r="E1175" s="6" t="str">
        <f>"本科"</f>
        <v>本科</v>
      </c>
      <c r="F1175" s="6" t="str">
        <f>"理学学士"</f>
        <v>理学学士</v>
      </c>
      <c r="G1175" s="6" t="str">
        <f>"环境科学"</f>
        <v>环境科学</v>
      </c>
      <c r="H1175" s="7" t="s">
        <v>9</v>
      </c>
    </row>
    <row r="1176" spans="1:8" ht="15" customHeight="1">
      <c r="A1176" s="5">
        <v>1174</v>
      </c>
      <c r="B1176" s="6" t="str">
        <f>"杨颖"</f>
        <v>杨颖</v>
      </c>
      <c r="C1176" s="6" t="str">
        <f t="shared" si="619"/>
        <v>女</v>
      </c>
      <c r="D1176" s="6" t="str">
        <f>"1991-09-25"</f>
        <v>1991-09-25</v>
      </c>
      <c r="E1176" s="6" t="str">
        <f>"大学本科学历"</f>
        <v>大学本科学历</v>
      </c>
      <c r="F1176" s="6" t="str">
        <f>"管理学学士"</f>
        <v>管理学学士</v>
      </c>
      <c r="G1176" s="6" t="str">
        <f>"土地资源管理"</f>
        <v>土地资源管理</v>
      </c>
      <c r="H1176" s="7" t="s">
        <v>9</v>
      </c>
    </row>
    <row r="1177" spans="1:8" ht="15" customHeight="1">
      <c r="A1177" s="5">
        <v>1175</v>
      </c>
      <c r="B1177" s="6" t="str">
        <f>"王勇衡"</f>
        <v>王勇衡</v>
      </c>
      <c r="C1177" s="6" t="str">
        <f aca="true" t="shared" si="620" ref="C1177:C1181">"男"</f>
        <v>男</v>
      </c>
      <c r="D1177" s="6" t="str">
        <f>"1995-01-10"</f>
        <v>1995-01-10</v>
      </c>
      <c r="E1177" s="6" t="str">
        <f aca="true" t="shared" si="621" ref="E1177:E1182">"本科"</f>
        <v>本科</v>
      </c>
      <c r="F1177" s="6" t="str">
        <f>"学士学位"</f>
        <v>学士学位</v>
      </c>
      <c r="G1177" s="6" t="str">
        <f>"建筑学"</f>
        <v>建筑学</v>
      </c>
      <c r="H1177" s="7" t="s">
        <v>9</v>
      </c>
    </row>
    <row r="1178" spans="1:8" ht="15" customHeight="1">
      <c r="A1178" s="5">
        <v>1176</v>
      </c>
      <c r="B1178" s="6" t="str">
        <f>"林强"</f>
        <v>林强</v>
      </c>
      <c r="C1178" s="6" t="str">
        <f t="shared" si="620"/>
        <v>男</v>
      </c>
      <c r="D1178" s="6" t="str">
        <f>"1996-02-25"</f>
        <v>1996-02-25</v>
      </c>
      <c r="E1178" s="6" t="str">
        <f t="shared" si="618"/>
        <v>大学本科</v>
      </c>
      <c r="F1178" s="6" t="str">
        <f>"工学学士"</f>
        <v>工学学士</v>
      </c>
      <c r="G1178" s="6" t="str">
        <f>"物联网工程"</f>
        <v>物联网工程</v>
      </c>
      <c r="H1178" s="7" t="s">
        <v>9</v>
      </c>
    </row>
    <row r="1179" spans="1:8" ht="15" customHeight="1">
      <c r="A1179" s="5">
        <v>1177</v>
      </c>
      <c r="B1179" s="6" t="str">
        <f>"符雯蓉"</f>
        <v>符雯蓉</v>
      </c>
      <c r="C1179" s="6" t="str">
        <f t="shared" si="619"/>
        <v>女</v>
      </c>
      <c r="D1179" s="6" t="str">
        <f>"2000-08-28"</f>
        <v>2000-08-28</v>
      </c>
      <c r="E1179" s="6" t="str">
        <f t="shared" si="618"/>
        <v>大学本科</v>
      </c>
      <c r="F1179" s="6" t="str">
        <f>"管理学学士"</f>
        <v>管理学学士</v>
      </c>
      <c r="G1179" s="6" t="str">
        <f>"劳动与社会保障"</f>
        <v>劳动与社会保障</v>
      </c>
      <c r="H1179" s="7" t="s">
        <v>9</v>
      </c>
    </row>
    <row r="1180" spans="1:8" ht="15" customHeight="1">
      <c r="A1180" s="5">
        <v>1178</v>
      </c>
      <c r="B1180" s="6" t="str">
        <f>"江小妹"</f>
        <v>江小妹</v>
      </c>
      <c r="C1180" s="6" t="str">
        <f t="shared" si="619"/>
        <v>女</v>
      </c>
      <c r="D1180" s="6" t="str">
        <f>"1994-08-07"</f>
        <v>1994-08-07</v>
      </c>
      <c r="E1180" s="6" t="str">
        <f t="shared" si="618"/>
        <v>大学本科</v>
      </c>
      <c r="F1180" s="6" t="str">
        <f>"工学学位"</f>
        <v>工学学位</v>
      </c>
      <c r="G1180" s="6" t="str">
        <f>"环境工程"</f>
        <v>环境工程</v>
      </c>
      <c r="H1180" s="7" t="s">
        <v>9</v>
      </c>
    </row>
    <row r="1181" spans="1:8" ht="15" customHeight="1">
      <c r="A1181" s="5">
        <v>1179</v>
      </c>
      <c r="B1181" s="6" t="str">
        <f>"卓多豹"</f>
        <v>卓多豹</v>
      </c>
      <c r="C1181" s="6" t="str">
        <f t="shared" si="620"/>
        <v>男</v>
      </c>
      <c r="D1181" s="6" t="str">
        <f>"1997-10-28"</f>
        <v>1997-10-28</v>
      </c>
      <c r="E1181" s="6" t="str">
        <f t="shared" si="621"/>
        <v>本科</v>
      </c>
      <c r="F1181" s="6" t="str">
        <f>"管理学学士学位"</f>
        <v>管理学学士学位</v>
      </c>
      <c r="G1181" s="6" t="str">
        <f>"财务管理"</f>
        <v>财务管理</v>
      </c>
      <c r="H1181" s="7" t="s">
        <v>9</v>
      </c>
    </row>
    <row r="1182" spans="1:8" ht="15" customHeight="1">
      <c r="A1182" s="5">
        <v>1180</v>
      </c>
      <c r="B1182" s="6" t="str">
        <f>"刘颜"</f>
        <v>刘颜</v>
      </c>
      <c r="C1182" s="6" t="str">
        <f aca="true" t="shared" si="622" ref="C1182:C1193">"女"</f>
        <v>女</v>
      </c>
      <c r="D1182" s="6" t="str">
        <f>"1998-10-07"</f>
        <v>1998-10-07</v>
      </c>
      <c r="E1182" s="6" t="str">
        <f t="shared" si="621"/>
        <v>本科</v>
      </c>
      <c r="F1182" s="6" t="str">
        <f>"理学学士"</f>
        <v>理学学士</v>
      </c>
      <c r="G1182" s="6" t="str">
        <f>"环境科学"</f>
        <v>环境科学</v>
      </c>
      <c r="H1182" s="7" t="s">
        <v>9</v>
      </c>
    </row>
    <row r="1183" spans="1:8" ht="15" customHeight="1">
      <c r="A1183" s="5">
        <v>1181</v>
      </c>
      <c r="B1183" s="6" t="str">
        <f>"王朝斌"</f>
        <v>王朝斌</v>
      </c>
      <c r="C1183" s="6" t="str">
        <f>"男"</f>
        <v>男</v>
      </c>
      <c r="D1183" s="6" t="str">
        <f>"1996-02-09"</f>
        <v>1996-02-09</v>
      </c>
      <c r="E1183" s="6" t="str">
        <f>"大学本科"</f>
        <v>大学本科</v>
      </c>
      <c r="F1183" s="6" t="str">
        <f>"工学学士"</f>
        <v>工学学士</v>
      </c>
      <c r="G1183" s="6" t="str">
        <f>"信息安全"</f>
        <v>信息安全</v>
      </c>
      <c r="H1183" s="7" t="s">
        <v>9</v>
      </c>
    </row>
    <row r="1184" spans="1:8" ht="15" customHeight="1">
      <c r="A1184" s="5">
        <v>1182</v>
      </c>
      <c r="B1184" s="6" t="str">
        <f>"刘冰冰"</f>
        <v>刘冰冰</v>
      </c>
      <c r="C1184" s="6" t="str">
        <f t="shared" si="622"/>
        <v>女</v>
      </c>
      <c r="D1184" s="6" t="str">
        <f>"1997-08-05"</f>
        <v>1997-08-05</v>
      </c>
      <c r="E1184" s="6" t="str">
        <f>"本科"</f>
        <v>本科</v>
      </c>
      <c r="F1184" s="6" t="str">
        <f aca="true" t="shared" si="623" ref="F1184:F1188">"管理学学士"</f>
        <v>管理学学士</v>
      </c>
      <c r="G1184" s="6" t="str">
        <f>"电子商务"</f>
        <v>电子商务</v>
      </c>
      <c r="H1184" s="7" t="s">
        <v>9</v>
      </c>
    </row>
    <row r="1185" spans="1:8" ht="15" customHeight="1">
      <c r="A1185" s="5">
        <v>1183</v>
      </c>
      <c r="B1185" s="6" t="str">
        <f>"林义柳"</f>
        <v>林义柳</v>
      </c>
      <c r="C1185" s="6" t="str">
        <f>"男"</f>
        <v>男</v>
      </c>
      <c r="D1185" s="6" t="str">
        <f>"1995-06-10"</f>
        <v>1995-06-10</v>
      </c>
      <c r="E1185" s="6" t="str">
        <f>"大学本科学历"</f>
        <v>大学本科学历</v>
      </c>
      <c r="F1185" s="6" t="str">
        <f>"学士学位"</f>
        <v>学士学位</v>
      </c>
      <c r="G1185" s="6" t="str">
        <f>"土木工程"</f>
        <v>土木工程</v>
      </c>
      <c r="H1185" s="7" t="s">
        <v>9</v>
      </c>
    </row>
    <row r="1186" spans="1:8" ht="15" customHeight="1">
      <c r="A1186" s="5">
        <v>1184</v>
      </c>
      <c r="B1186" s="6" t="str">
        <f>"陈彩彩"</f>
        <v>陈彩彩</v>
      </c>
      <c r="C1186" s="6" t="str">
        <f t="shared" si="622"/>
        <v>女</v>
      </c>
      <c r="D1186" s="6" t="str">
        <f>"1989-01-12"</f>
        <v>1989-01-12</v>
      </c>
      <c r="E1186" s="6" t="str">
        <f>"本科 "</f>
        <v>本科 </v>
      </c>
      <c r="F1186" s="6" t="str">
        <f t="shared" si="623"/>
        <v>管理学学士</v>
      </c>
      <c r="G1186" s="6" t="str">
        <f>"会计学"</f>
        <v>会计学</v>
      </c>
      <c r="H1186" s="7" t="s">
        <v>9</v>
      </c>
    </row>
    <row r="1187" spans="1:8" ht="15" customHeight="1">
      <c r="A1187" s="5">
        <v>1185</v>
      </c>
      <c r="B1187" s="6" t="str">
        <f>"周佳浅"</f>
        <v>周佳浅</v>
      </c>
      <c r="C1187" s="6" t="str">
        <f t="shared" si="622"/>
        <v>女</v>
      </c>
      <c r="D1187" s="6" t="str">
        <f>"1993-04-23"</f>
        <v>1993-04-23</v>
      </c>
      <c r="E1187" s="6" t="str">
        <f>"全日制本科"</f>
        <v>全日制本科</v>
      </c>
      <c r="F1187" s="6" t="str">
        <f>"经济学学士"</f>
        <v>经济学学士</v>
      </c>
      <c r="G1187" s="6" t="str">
        <f>"经济学"</f>
        <v>经济学</v>
      </c>
      <c r="H1187" s="7" t="s">
        <v>9</v>
      </c>
    </row>
    <row r="1188" spans="1:8" ht="15" customHeight="1">
      <c r="A1188" s="5">
        <v>1186</v>
      </c>
      <c r="B1188" s="6" t="str">
        <f>"李佳凝"</f>
        <v>李佳凝</v>
      </c>
      <c r="C1188" s="6" t="str">
        <f t="shared" si="622"/>
        <v>女</v>
      </c>
      <c r="D1188" s="6" t="str">
        <f>"1999-04-03"</f>
        <v>1999-04-03</v>
      </c>
      <c r="E1188" s="6" t="str">
        <f>"大学本科学历"</f>
        <v>大学本科学历</v>
      </c>
      <c r="F1188" s="6" t="str">
        <f t="shared" si="623"/>
        <v>管理学学士</v>
      </c>
      <c r="G1188" s="6" t="str">
        <f>"财务管理"</f>
        <v>财务管理</v>
      </c>
      <c r="H1188" s="7" t="s">
        <v>9</v>
      </c>
    </row>
    <row r="1189" spans="1:8" ht="15" customHeight="1">
      <c r="A1189" s="5">
        <v>1187</v>
      </c>
      <c r="B1189" s="6" t="str">
        <f>"黎明竹"</f>
        <v>黎明竹</v>
      </c>
      <c r="C1189" s="6" t="str">
        <f t="shared" si="622"/>
        <v>女</v>
      </c>
      <c r="D1189" s="6" t="str">
        <f>"1994-09-10"</f>
        <v>1994-09-10</v>
      </c>
      <c r="E1189" s="6" t="str">
        <f aca="true" t="shared" si="624" ref="E1189:E1197">"本科"</f>
        <v>本科</v>
      </c>
      <c r="F1189" s="6" t="str">
        <f>"理学学士"</f>
        <v>理学学士</v>
      </c>
      <c r="G1189" s="6" t="str">
        <f>"生态学"</f>
        <v>生态学</v>
      </c>
      <c r="H1189" s="7" t="s">
        <v>9</v>
      </c>
    </row>
    <row r="1190" spans="1:8" ht="15" customHeight="1">
      <c r="A1190" s="5">
        <v>1188</v>
      </c>
      <c r="B1190" s="6" t="str">
        <f>"朱文秀"</f>
        <v>朱文秀</v>
      </c>
      <c r="C1190" s="6" t="str">
        <f t="shared" si="622"/>
        <v>女</v>
      </c>
      <c r="D1190" s="6" t="str">
        <f>"1993-05-02"</f>
        <v>1993-05-02</v>
      </c>
      <c r="E1190" s="6" t="str">
        <f t="shared" si="624"/>
        <v>本科</v>
      </c>
      <c r="F1190" s="6" t="str">
        <f aca="true" t="shared" si="625" ref="F1190:F1198">"管理学学士"</f>
        <v>管理学学士</v>
      </c>
      <c r="G1190" s="6" t="str">
        <f>"旅游管理专业"</f>
        <v>旅游管理专业</v>
      </c>
      <c r="H1190" s="7" t="s">
        <v>9</v>
      </c>
    </row>
    <row r="1191" spans="1:8" ht="15" customHeight="1">
      <c r="A1191" s="5">
        <v>1189</v>
      </c>
      <c r="B1191" s="6" t="str">
        <f>"胡华沅"</f>
        <v>胡华沅</v>
      </c>
      <c r="C1191" s="6" t="str">
        <f t="shared" si="622"/>
        <v>女</v>
      </c>
      <c r="D1191" s="6" t="str">
        <f>"1996-08-23"</f>
        <v>1996-08-23</v>
      </c>
      <c r="E1191" s="6" t="str">
        <f t="shared" si="624"/>
        <v>本科</v>
      </c>
      <c r="F1191" s="6" t="str">
        <f t="shared" si="625"/>
        <v>管理学学士</v>
      </c>
      <c r="G1191" s="6" t="str">
        <f>"农村区域发展"</f>
        <v>农村区域发展</v>
      </c>
      <c r="H1191" s="7" t="s">
        <v>9</v>
      </c>
    </row>
    <row r="1192" spans="1:8" ht="15" customHeight="1">
      <c r="A1192" s="5">
        <v>1190</v>
      </c>
      <c r="B1192" s="6" t="str">
        <f>"郭凤杉"</f>
        <v>郭凤杉</v>
      </c>
      <c r="C1192" s="6" t="str">
        <f t="shared" si="622"/>
        <v>女</v>
      </c>
      <c r="D1192" s="6" t="str">
        <f>"1996-08-26"</f>
        <v>1996-08-26</v>
      </c>
      <c r="E1192" s="6" t="str">
        <f t="shared" si="624"/>
        <v>本科</v>
      </c>
      <c r="F1192" s="6" t="str">
        <f>"农学学士"</f>
        <v>农学学士</v>
      </c>
      <c r="G1192" s="6" t="str">
        <f>"园艺（草坪科学与工程方向）"</f>
        <v>园艺（草坪科学与工程方向）</v>
      </c>
      <c r="H1192" s="7" t="s">
        <v>9</v>
      </c>
    </row>
    <row r="1193" spans="1:8" ht="15" customHeight="1">
      <c r="A1193" s="5">
        <v>1191</v>
      </c>
      <c r="B1193" s="6" t="str">
        <f>"黄丹凤"</f>
        <v>黄丹凤</v>
      </c>
      <c r="C1193" s="6" t="str">
        <f t="shared" si="622"/>
        <v>女</v>
      </c>
      <c r="D1193" s="6" t="str">
        <f>"1993-06-18"</f>
        <v>1993-06-18</v>
      </c>
      <c r="E1193" s="6" t="str">
        <f t="shared" si="624"/>
        <v>本科</v>
      </c>
      <c r="F1193" s="6" t="str">
        <f>"工学学士"</f>
        <v>工学学士</v>
      </c>
      <c r="G1193" s="6" t="str">
        <f>"计算机科学与技术"</f>
        <v>计算机科学与技术</v>
      </c>
      <c r="H1193" s="7" t="s">
        <v>9</v>
      </c>
    </row>
    <row r="1194" spans="1:8" ht="15" customHeight="1">
      <c r="A1194" s="5">
        <v>1192</v>
      </c>
      <c r="B1194" s="6" t="str">
        <f>"桑好男"</f>
        <v>桑好男</v>
      </c>
      <c r="C1194" s="6" t="str">
        <f aca="true" t="shared" si="626" ref="C1194:C1199">"男"</f>
        <v>男</v>
      </c>
      <c r="D1194" s="6" t="str">
        <f>"2000-01-02"</f>
        <v>2000-01-02</v>
      </c>
      <c r="E1194" s="6" t="str">
        <f t="shared" si="624"/>
        <v>本科</v>
      </c>
      <c r="F1194" s="6" t="str">
        <f>"工学学士"</f>
        <v>工学学士</v>
      </c>
      <c r="G1194" s="6" t="str">
        <f>"工程管理"</f>
        <v>工程管理</v>
      </c>
      <c r="H1194" s="7" t="s">
        <v>9</v>
      </c>
    </row>
    <row r="1195" spans="1:8" ht="15" customHeight="1">
      <c r="A1195" s="5">
        <v>1193</v>
      </c>
      <c r="B1195" s="6" t="str">
        <f>"黄麒睿"</f>
        <v>黄麒睿</v>
      </c>
      <c r="C1195" s="6" t="str">
        <f t="shared" si="626"/>
        <v>男</v>
      </c>
      <c r="D1195" s="6" t="str">
        <f>"1992-05-18"</f>
        <v>1992-05-18</v>
      </c>
      <c r="E1195" s="6" t="str">
        <f t="shared" si="624"/>
        <v>本科</v>
      </c>
      <c r="F1195" s="6" t="str">
        <f t="shared" si="625"/>
        <v>管理学学士</v>
      </c>
      <c r="G1195" s="6" t="str">
        <f>"工程管理"</f>
        <v>工程管理</v>
      </c>
      <c r="H1195" s="7" t="s">
        <v>9</v>
      </c>
    </row>
    <row r="1196" spans="1:8" ht="15" customHeight="1">
      <c r="A1196" s="5">
        <v>1194</v>
      </c>
      <c r="B1196" s="6" t="str">
        <f>"黄思思"</f>
        <v>黄思思</v>
      </c>
      <c r="C1196" s="6" t="str">
        <f>"女"</f>
        <v>女</v>
      </c>
      <c r="D1196" s="6" t="str">
        <f>"2000-10-02"</f>
        <v>2000-10-02</v>
      </c>
      <c r="E1196" s="6" t="str">
        <f t="shared" si="624"/>
        <v>本科</v>
      </c>
      <c r="F1196" s="6" t="str">
        <f t="shared" si="625"/>
        <v>管理学学士</v>
      </c>
      <c r="G1196" s="6" t="str">
        <f>"市场营销"</f>
        <v>市场营销</v>
      </c>
      <c r="H1196" s="7" t="s">
        <v>9</v>
      </c>
    </row>
    <row r="1197" spans="1:8" ht="15" customHeight="1">
      <c r="A1197" s="5">
        <v>1195</v>
      </c>
      <c r="B1197" s="6" t="str">
        <f>"王天"</f>
        <v>王天</v>
      </c>
      <c r="C1197" s="6" t="str">
        <f t="shared" si="626"/>
        <v>男</v>
      </c>
      <c r="D1197" s="6" t="str">
        <f>"1998-08-25"</f>
        <v>1998-08-25</v>
      </c>
      <c r="E1197" s="6" t="str">
        <f t="shared" si="624"/>
        <v>本科</v>
      </c>
      <c r="F1197" s="6" t="str">
        <f t="shared" si="625"/>
        <v>管理学学士</v>
      </c>
      <c r="G1197" s="6" t="str">
        <f>"行政管理"</f>
        <v>行政管理</v>
      </c>
      <c r="H1197" s="7" t="s">
        <v>9</v>
      </c>
    </row>
    <row r="1198" spans="1:8" ht="15" customHeight="1">
      <c r="A1198" s="5">
        <v>1196</v>
      </c>
      <c r="B1198" s="6" t="str">
        <f>"曾伟峭"</f>
        <v>曾伟峭</v>
      </c>
      <c r="C1198" s="6" t="str">
        <f t="shared" si="626"/>
        <v>男</v>
      </c>
      <c r="D1198" s="6" t="str">
        <f>"1999-09-09"</f>
        <v>1999-09-09</v>
      </c>
      <c r="E1198" s="6" t="str">
        <f>"大学本科"</f>
        <v>大学本科</v>
      </c>
      <c r="F1198" s="6" t="str">
        <f t="shared" si="625"/>
        <v>管理学学士</v>
      </c>
      <c r="G1198" s="6" t="str">
        <f>"工商管理"</f>
        <v>工商管理</v>
      </c>
      <c r="H1198" s="7" t="s">
        <v>9</v>
      </c>
    </row>
    <row r="1199" spans="1:8" ht="15" customHeight="1">
      <c r="A1199" s="5">
        <v>1197</v>
      </c>
      <c r="B1199" s="6" t="str">
        <f>"冯清朗"</f>
        <v>冯清朗</v>
      </c>
      <c r="C1199" s="6" t="str">
        <f t="shared" si="626"/>
        <v>男</v>
      </c>
      <c r="D1199" s="6" t="str">
        <f>"2001-04-23"</f>
        <v>2001-04-23</v>
      </c>
      <c r="E1199" s="6" t="str">
        <f aca="true" t="shared" si="627" ref="E1199:E1201">"本科"</f>
        <v>本科</v>
      </c>
      <c r="F1199" s="6" t="str">
        <f aca="true" t="shared" si="628" ref="F1199:F1202">"工学学士"</f>
        <v>工学学士</v>
      </c>
      <c r="G1199" s="6" t="str">
        <f>"网络工程"</f>
        <v>网络工程</v>
      </c>
      <c r="H1199" s="7" t="s">
        <v>9</v>
      </c>
    </row>
    <row r="1200" spans="1:8" ht="15" customHeight="1">
      <c r="A1200" s="5">
        <v>1198</v>
      </c>
      <c r="B1200" s="6" t="str">
        <f>"董朝咪"</f>
        <v>董朝咪</v>
      </c>
      <c r="C1200" s="6" t="str">
        <f aca="true" t="shared" si="629" ref="C1200:C1205">"女"</f>
        <v>女</v>
      </c>
      <c r="D1200" s="6" t="str">
        <f>"1994-07-18"</f>
        <v>1994-07-18</v>
      </c>
      <c r="E1200" s="6" t="str">
        <f t="shared" si="627"/>
        <v>本科</v>
      </c>
      <c r="F1200" s="6" t="str">
        <f>"学士"</f>
        <v>学士</v>
      </c>
      <c r="G1200" s="6" t="str">
        <f>"审计学"</f>
        <v>审计学</v>
      </c>
      <c r="H1200" s="7" t="s">
        <v>9</v>
      </c>
    </row>
    <row r="1201" spans="1:8" ht="15" customHeight="1">
      <c r="A1201" s="5">
        <v>1199</v>
      </c>
      <c r="B1201" s="6" t="str">
        <f>"黎焰焜"</f>
        <v>黎焰焜</v>
      </c>
      <c r="C1201" s="6" t="str">
        <f aca="true" t="shared" si="630" ref="C1201:C1206">"男"</f>
        <v>男</v>
      </c>
      <c r="D1201" s="6" t="str">
        <f>"1998-10-29"</f>
        <v>1998-10-29</v>
      </c>
      <c r="E1201" s="6" t="str">
        <f t="shared" si="627"/>
        <v>本科</v>
      </c>
      <c r="F1201" s="6" t="str">
        <f t="shared" si="628"/>
        <v>工学学士</v>
      </c>
      <c r="G1201" s="6" t="str">
        <f>"计算机科学与技术"</f>
        <v>计算机科学与技术</v>
      </c>
      <c r="H1201" s="7" t="s">
        <v>9</v>
      </c>
    </row>
    <row r="1202" spans="1:8" ht="15" customHeight="1">
      <c r="A1202" s="5">
        <v>1200</v>
      </c>
      <c r="B1202" s="6" t="str">
        <f>"吴海鹏"</f>
        <v>吴海鹏</v>
      </c>
      <c r="C1202" s="6" t="str">
        <f t="shared" si="630"/>
        <v>男</v>
      </c>
      <c r="D1202" s="6" t="str">
        <f>"1991-06-20"</f>
        <v>1991-06-20</v>
      </c>
      <c r="E1202" s="6" t="str">
        <f>"大学本科"</f>
        <v>大学本科</v>
      </c>
      <c r="F1202" s="6" t="str">
        <f t="shared" si="628"/>
        <v>工学学士</v>
      </c>
      <c r="G1202" s="6" t="str">
        <f>"土木工程（建筑工程方向）"</f>
        <v>土木工程（建筑工程方向）</v>
      </c>
      <c r="H1202" s="7" t="s">
        <v>9</v>
      </c>
    </row>
    <row r="1203" spans="1:8" ht="15" customHeight="1">
      <c r="A1203" s="5">
        <v>1201</v>
      </c>
      <c r="B1203" s="6" t="str">
        <f>"朱颖"</f>
        <v>朱颖</v>
      </c>
      <c r="C1203" s="6" t="str">
        <f t="shared" si="629"/>
        <v>女</v>
      </c>
      <c r="D1203" s="6" t="str">
        <f>"1997-01-20"</f>
        <v>1997-01-20</v>
      </c>
      <c r="E1203" s="6" t="str">
        <f aca="true" t="shared" si="631" ref="E1203:E1208">"本科"</f>
        <v>本科</v>
      </c>
      <c r="F1203" s="6" t="str">
        <f aca="true" t="shared" si="632" ref="F1203:F1207">"管理学学士"</f>
        <v>管理学学士</v>
      </c>
      <c r="G1203" s="6" t="str">
        <f>"人力资源管理"</f>
        <v>人力资源管理</v>
      </c>
      <c r="H1203" s="7" t="s">
        <v>9</v>
      </c>
    </row>
    <row r="1204" spans="1:8" ht="15" customHeight="1">
      <c r="A1204" s="5">
        <v>1202</v>
      </c>
      <c r="B1204" s="6" t="str">
        <f>"莫丽花"</f>
        <v>莫丽花</v>
      </c>
      <c r="C1204" s="6" t="str">
        <f t="shared" si="629"/>
        <v>女</v>
      </c>
      <c r="D1204" s="6" t="str">
        <f>"1993-01-15"</f>
        <v>1993-01-15</v>
      </c>
      <c r="E1204" s="6" t="str">
        <f t="shared" si="631"/>
        <v>本科</v>
      </c>
      <c r="F1204" s="6" t="str">
        <f>"文学学士"</f>
        <v>文学学士</v>
      </c>
      <c r="G1204" s="6" t="str">
        <f>"汉语言文学"</f>
        <v>汉语言文学</v>
      </c>
      <c r="H1204" s="7" t="s">
        <v>9</v>
      </c>
    </row>
    <row r="1205" spans="1:8" ht="15" customHeight="1">
      <c r="A1205" s="5">
        <v>1203</v>
      </c>
      <c r="B1205" s="6" t="str">
        <f>"梁倪铭"</f>
        <v>梁倪铭</v>
      </c>
      <c r="C1205" s="6" t="str">
        <f t="shared" si="629"/>
        <v>女</v>
      </c>
      <c r="D1205" s="6" t="str">
        <f>"1998-10-29"</f>
        <v>1998-10-29</v>
      </c>
      <c r="E1205" s="6" t="str">
        <f>"大学本科学历"</f>
        <v>大学本科学历</v>
      </c>
      <c r="F1205" s="6" t="str">
        <f t="shared" si="632"/>
        <v>管理学学士</v>
      </c>
      <c r="G1205" s="6" t="str">
        <f>"会计学"</f>
        <v>会计学</v>
      </c>
      <c r="H1205" s="7" t="s">
        <v>9</v>
      </c>
    </row>
    <row r="1206" spans="1:8" ht="15" customHeight="1">
      <c r="A1206" s="5">
        <v>1204</v>
      </c>
      <c r="B1206" s="6" t="str">
        <f>"王振宇"</f>
        <v>王振宇</v>
      </c>
      <c r="C1206" s="6" t="str">
        <f t="shared" si="630"/>
        <v>男</v>
      </c>
      <c r="D1206" s="6" t="str">
        <f>"1998-03-15"</f>
        <v>1998-03-15</v>
      </c>
      <c r="E1206" s="6" t="str">
        <f>"大学本科学历"</f>
        <v>大学本科学历</v>
      </c>
      <c r="F1206" s="6" t="str">
        <f>"农学学士"</f>
        <v>农学学士</v>
      </c>
      <c r="G1206" s="6" t="str">
        <f>"水产养殖学"</f>
        <v>水产养殖学</v>
      </c>
      <c r="H1206" s="7" t="s">
        <v>9</v>
      </c>
    </row>
    <row r="1207" spans="1:8" ht="15" customHeight="1">
      <c r="A1207" s="5">
        <v>1205</v>
      </c>
      <c r="B1207" s="6" t="str">
        <f>"牛小兰"</f>
        <v>牛小兰</v>
      </c>
      <c r="C1207" s="6" t="str">
        <f aca="true" t="shared" si="633" ref="C1207:C1211">"女"</f>
        <v>女</v>
      </c>
      <c r="D1207" s="6" t="str">
        <f>"2001-09-10"</f>
        <v>2001-09-10</v>
      </c>
      <c r="E1207" s="6" t="str">
        <f t="shared" si="631"/>
        <v>本科</v>
      </c>
      <c r="F1207" s="6" t="str">
        <f t="shared" si="632"/>
        <v>管理学学士</v>
      </c>
      <c r="G1207" s="6" t="str">
        <f>"农村区域发展"</f>
        <v>农村区域发展</v>
      </c>
      <c r="H1207" s="7" t="s">
        <v>9</v>
      </c>
    </row>
    <row r="1208" spans="1:8" ht="15" customHeight="1">
      <c r="A1208" s="5">
        <v>1206</v>
      </c>
      <c r="B1208" s="6" t="str">
        <f>"王小雁"</f>
        <v>王小雁</v>
      </c>
      <c r="C1208" s="6" t="str">
        <f t="shared" si="633"/>
        <v>女</v>
      </c>
      <c r="D1208" s="6" t="str">
        <f>"1994-09-08"</f>
        <v>1994-09-08</v>
      </c>
      <c r="E1208" s="6" t="str">
        <f t="shared" si="631"/>
        <v>本科</v>
      </c>
      <c r="F1208" s="6" t="str">
        <f>"学士学位"</f>
        <v>学士学位</v>
      </c>
      <c r="G1208" s="6" t="str">
        <f>"财务管理（企业理财方向）"</f>
        <v>财务管理（企业理财方向）</v>
      </c>
      <c r="H1208" s="7" t="s">
        <v>9</v>
      </c>
    </row>
    <row r="1209" spans="1:8" ht="15" customHeight="1">
      <c r="A1209" s="5">
        <v>1207</v>
      </c>
      <c r="B1209" s="6" t="str">
        <f>"邢维遵"</f>
        <v>邢维遵</v>
      </c>
      <c r="C1209" s="6" t="str">
        <f>"男"</f>
        <v>男</v>
      </c>
      <c r="D1209" s="6" t="str">
        <f>"1997-12-11"</f>
        <v>1997-12-11</v>
      </c>
      <c r="E1209" s="6" t="str">
        <f aca="true" t="shared" si="634" ref="E1209:E1214">"大学本科"</f>
        <v>大学本科</v>
      </c>
      <c r="F1209" s="6" t="str">
        <f>"工学学士"</f>
        <v>工学学士</v>
      </c>
      <c r="G1209" s="6" t="str">
        <f>"环境工程"</f>
        <v>环境工程</v>
      </c>
      <c r="H1209" s="7" t="s">
        <v>9</v>
      </c>
    </row>
    <row r="1210" spans="1:8" ht="15" customHeight="1">
      <c r="A1210" s="5">
        <v>1208</v>
      </c>
      <c r="B1210" s="6" t="str">
        <f>"黄彩媛"</f>
        <v>黄彩媛</v>
      </c>
      <c r="C1210" s="6" t="str">
        <f t="shared" si="633"/>
        <v>女</v>
      </c>
      <c r="D1210" s="6" t="str">
        <f>"1998-01-05"</f>
        <v>1998-01-05</v>
      </c>
      <c r="E1210" s="6" t="str">
        <f t="shared" si="634"/>
        <v>大学本科</v>
      </c>
      <c r="F1210" s="6" t="str">
        <f aca="true" t="shared" si="635" ref="F1210:F1215">"管理学学士"</f>
        <v>管理学学士</v>
      </c>
      <c r="G1210" s="6" t="str">
        <f>"电子商务"</f>
        <v>电子商务</v>
      </c>
      <c r="H1210" s="7" t="s">
        <v>9</v>
      </c>
    </row>
    <row r="1211" spans="1:8" ht="15" customHeight="1">
      <c r="A1211" s="5">
        <v>1209</v>
      </c>
      <c r="B1211" s="6" t="str">
        <f>"唐小妹"</f>
        <v>唐小妹</v>
      </c>
      <c r="C1211" s="6" t="str">
        <f t="shared" si="633"/>
        <v>女</v>
      </c>
      <c r="D1211" s="6" t="str">
        <f>"1990-12-26"</f>
        <v>1990-12-26</v>
      </c>
      <c r="E1211" s="6" t="str">
        <f>"本科"</f>
        <v>本科</v>
      </c>
      <c r="F1211" s="6" t="str">
        <f>"学士"</f>
        <v>学士</v>
      </c>
      <c r="G1211" s="6" t="str">
        <f>"市场营销"</f>
        <v>市场营销</v>
      </c>
      <c r="H1211" s="7" t="s">
        <v>9</v>
      </c>
    </row>
    <row r="1212" spans="1:8" ht="15" customHeight="1">
      <c r="A1212" s="5">
        <v>1210</v>
      </c>
      <c r="B1212" s="6" t="str">
        <f>"林正崇"</f>
        <v>林正崇</v>
      </c>
      <c r="C1212" s="6" t="str">
        <f>"男"</f>
        <v>男</v>
      </c>
      <c r="D1212" s="6" t="str">
        <f>"1993-03-20"</f>
        <v>1993-03-20</v>
      </c>
      <c r="E1212" s="6" t="str">
        <f>"本科"</f>
        <v>本科</v>
      </c>
      <c r="F1212" s="6" t="str">
        <f>"工学学士"</f>
        <v>工学学士</v>
      </c>
      <c r="G1212" s="6" t="str">
        <f>"网络工程"</f>
        <v>网络工程</v>
      </c>
      <c r="H1212" s="7" t="s">
        <v>9</v>
      </c>
    </row>
    <row r="1213" spans="1:8" ht="15" customHeight="1">
      <c r="A1213" s="5">
        <v>1211</v>
      </c>
      <c r="B1213" s="6" t="str">
        <f>"姚颖"</f>
        <v>姚颖</v>
      </c>
      <c r="C1213" s="6" t="str">
        <f aca="true" t="shared" si="636" ref="C1213:C1217">"女"</f>
        <v>女</v>
      </c>
      <c r="D1213" s="6" t="str">
        <f>"1997-06-30"</f>
        <v>1997-06-30</v>
      </c>
      <c r="E1213" s="6" t="str">
        <f>"大学本科学历"</f>
        <v>大学本科学历</v>
      </c>
      <c r="F1213" s="6" t="str">
        <f t="shared" si="635"/>
        <v>管理学学士</v>
      </c>
      <c r="G1213" s="6" t="str">
        <f>"会计学"</f>
        <v>会计学</v>
      </c>
      <c r="H1213" s="7" t="s">
        <v>9</v>
      </c>
    </row>
    <row r="1214" spans="1:8" ht="15" customHeight="1">
      <c r="A1214" s="5">
        <v>1212</v>
      </c>
      <c r="B1214" s="6" t="str">
        <f>"钟文莹"</f>
        <v>钟文莹</v>
      </c>
      <c r="C1214" s="6" t="str">
        <f t="shared" si="636"/>
        <v>女</v>
      </c>
      <c r="D1214" s="6" t="str">
        <f>"1996-07-15"</f>
        <v>1996-07-15</v>
      </c>
      <c r="E1214" s="6" t="str">
        <f t="shared" si="634"/>
        <v>大学本科</v>
      </c>
      <c r="F1214" s="6" t="str">
        <f t="shared" si="635"/>
        <v>管理学学士</v>
      </c>
      <c r="G1214" s="6" t="str">
        <f>"会展经济与管理"</f>
        <v>会展经济与管理</v>
      </c>
      <c r="H1214" s="7" t="s">
        <v>9</v>
      </c>
    </row>
    <row r="1215" spans="1:8" ht="15" customHeight="1">
      <c r="A1215" s="5">
        <v>1213</v>
      </c>
      <c r="B1215" s="6" t="str">
        <f>"黄婷"</f>
        <v>黄婷</v>
      </c>
      <c r="C1215" s="6" t="str">
        <f t="shared" si="636"/>
        <v>女</v>
      </c>
      <c r="D1215" s="6" t="str">
        <f>"1991-06-25"</f>
        <v>1991-06-25</v>
      </c>
      <c r="E1215" s="6" t="str">
        <f>"全日制本科"</f>
        <v>全日制本科</v>
      </c>
      <c r="F1215" s="6" t="str">
        <f t="shared" si="635"/>
        <v>管理学学士</v>
      </c>
      <c r="G1215" s="6" t="str">
        <f>"工程管理"</f>
        <v>工程管理</v>
      </c>
      <c r="H1215" s="7" t="s">
        <v>9</v>
      </c>
    </row>
    <row r="1216" spans="1:8" ht="15" customHeight="1">
      <c r="A1216" s="5">
        <v>1214</v>
      </c>
      <c r="B1216" s="6" t="str">
        <f>"王喆"</f>
        <v>王喆</v>
      </c>
      <c r="C1216" s="6" t="str">
        <f t="shared" si="636"/>
        <v>女</v>
      </c>
      <c r="D1216" s="6" t="str">
        <f>"1999-12-16"</f>
        <v>1999-12-16</v>
      </c>
      <c r="E1216" s="6" t="str">
        <f>"大学本科学历"</f>
        <v>大学本科学历</v>
      </c>
      <c r="F1216" s="6" t="str">
        <f>"工学学士"</f>
        <v>工学学士</v>
      </c>
      <c r="G1216" s="6" t="str">
        <f>"城乡规划"</f>
        <v>城乡规划</v>
      </c>
      <c r="H1216" s="7" t="s">
        <v>9</v>
      </c>
    </row>
    <row r="1217" spans="1:8" ht="15" customHeight="1">
      <c r="A1217" s="5">
        <v>1215</v>
      </c>
      <c r="B1217" s="6" t="str">
        <f>"马誉嘉"</f>
        <v>马誉嘉</v>
      </c>
      <c r="C1217" s="6" t="str">
        <f t="shared" si="636"/>
        <v>女</v>
      </c>
      <c r="D1217" s="6" t="str">
        <f>"1994-07-03"</f>
        <v>1994-07-03</v>
      </c>
      <c r="E1217" s="6" t="str">
        <f>"大学本科"</f>
        <v>大学本科</v>
      </c>
      <c r="F1217" s="6" t="str">
        <f>"学士学位"</f>
        <v>学士学位</v>
      </c>
      <c r="G1217" s="6" t="str">
        <f>"广播电视新闻学"</f>
        <v>广播电视新闻学</v>
      </c>
      <c r="H1217" s="7" t="s">
        <v>9</v>
      </c>
    </row>
    <row r="1218" spans="1:8" ht="15" customHeight="1">
      <c r="A1218" s="5">
        <v>1216</v>
      </c>
      <c r="B1218" s="6" t="str">
        <f>"何兴安"</f>
        <v>何兴安</v>
      </c>
      <c r="C1218" s="6" t="str">
        <f aca="true" t="shared" si="637" ref="C1218:C1221">"男"</f>
        <v>男</v>
      </c>
      <c r="D1218" s="6" t="str">
        <f>"1994-07-28"</f>
        <v>1994-07-28</v>
      </c>
      <c r="E1218" s="6" t="str">
        <f>"全日制本科"</f>
        <v>全日制本科</v>
      </c>
      <c r="F1218" s="6" t="str">
        <f>"管理学学士学位"</f>
        <v>管理学学士学位</v>
      </c>
      <c r="G1218" s="6" t="str">
        <f>"旅游管理"</f>
        <v>旅游管理</v>
      </c>
      <c r="H1218" s="7" t="s">
        <v>9</v>
      </c>
    </row>
    <row r="1219" spans="1:8" ht="15" customHeight="1">
      <c r="A1219" s="5">
        <v>1217</v>
      </c>
      <c r="B1219" s="6" t="str">
        <f>"龚晓刚"</f>
        <v>龚晓刚</v>
      </c>
      <c r="C1219" s="6" t="str">
        <f t="shared" si="637"/>
        <v>男</v>
      </c>
      <c r="D1219" s="6" t="str">
        <f>"2000-01-05"</f>
        <v>2000-01-05</v>
      </c>
      <c r="E1219" s="6" t="str">
        <f>"大学本科"</f>
        <v>大学本科</v>
      </c>
      <c r="F1219" s="6" t="str">
        <f>"管理学学士"</f>
        <v>管理学学士</v>
      </c>
      <c r="G1219" s="6" t="str">
        <f>"审计学"</f>
        <v>审计学</v>
      </c>
      <c r="H1219" s="7" t="s">
        <v>9</v>
      </c>
    </row>
    <row r="1220" spans="1:8" ht="15" customHeight="1">
      <c r="A1220" s="5">
        <v>1218</v>
      </c>
      <c r="B1220" s="6" t="str">
        <f>"吴家杰"</f>
        <v>吴家杰</v>
      </c>
      <c r="C1220" s="6" t="str">
        <f t="shared" si="637"/>
        <v>男</v>
      </c>
      <c r="D1220" s="6" t="str">
        <f>"2000-12-15"</f>
        <v>2000-12-15</v>
      </c>
      <c r="E1220" s="6" t="str">
        <f aca="true" t="shared" si="638" ref="E1220:E1223">"本科"</f>
        <v>本科</v>
      </c>
      <c r="F1220" s="6" t="str">
        <f>"农学学士"</f>
        <v>农学学士</v>
      </c>
      <c r="G1220" s="6" t="str">
        <f>"动物科学"</f>
        <v>动物科学</v>
      </c>
      <c r="H1220" s="7" t="s">
        <v>9</v>
      </c>
    </row>
    <row r="1221" spans="1:8" ht="15" customHeight="1">
      <c r="A1221" s="5">
        <v>1219</v>
      </c>
      <c r="B1221" s="6" t="str">
        <f>"秦子康"</f>
        <v>秦子康</v>
      </c>
      <c r="C1221" s="6" t="str">
        <f t="shared" si="637"/>
        <v>男</v>
      </c>
      <c r="D1221" s="6" t="str">
        <f>"1992-07-25"</f>
        <v>1992-07-25</v>
      </c>
      <c r="E1221" s="6" t="str">
        <f t="shared" si="638"/>
        <v>本科</v>
      </c>
      <c r="F1221" s="6" t="str">
        <f>"管理学学士"</f>
        <v>管理学学士</v>
      </c>
      <c r="G1221" s="6" t="str">
        <f>"行政管理"</f>
        <v>行政管理</v>
      </c>
      <c r="H1221" s="7" t="s">
        <v>9</v>
      </c>
    </row>
    <row r="1222" spans="1:8" ht="15" customHeight="1">
      <c r="A1222" s="5">
        <v>1220</v>
      </c>
      <c r="B1222" s="6" t="str">
        <f>"唐凤英"</f>
        <v>唐凤英</v>
      </c>
      <c r="C1222" s="6" t="str">
        <f>"女"</f>
        <v>女</v>
      </c>
      <c r="D1222" s="6" t="str">
        <f>"1998-03-04"</f>
        <v>1998-03-04</v>
      </c>
      <c r="E1222" s="6" t="str">
        <f t="shared" si="638"/>
        <v>本科</v>
      </c>
      <c r="F1222" s="6" t="str">
        <f>"学士"</f>
        <v>学士</v>
      </c>
      <c r="G1222" s="6" t="str">
        <f>"旅游管理专业"</f>
        <v>旅游管理专业</v>
      </c>
      <c r="H1222" s="7" t="s">
        <v>9</v>
      </c>
    </row>
    <row r="1223" spans="1:8" ht="15" customHeight="1">
      <c r="A1223" s="5">
        <v>1221</v>
      </c>
      <c r="B1223" s="6" t="str">
        <f>"陈超凡"</f>
        <v>陈超凡</v>
      </c>
      <c r="C1223" s="6" t="str">
        <f aca="true" t="shared" si="639" ref="C1223:C1225">"男"</f>
        <v>男</v>
      </c>
      <c r="D1223" s="6" t="str">
        <f>"1993-11-05"</f>
        <v>1993-11-05</v>
      </c>
      <c r="E1223" s="6" t="str">
        <f t="shared" si="638"/>
        <v>本科</v>
      </c>
      <c r="F1223" s="6" t="str">
        <f>"农学学士"</f>
        <v>农学学士</v>
      </c>
      <c r="G1223" s="6" t="str">
        <f>"水产养殖学"</f>
        <v>水产养殖学</v>
      </c>
      <c r="H1223" s="7" t="s">
        <v>9</v>
      </c>
    </row>
    <row r="1224" spans="1:8" ht="15" customHeight="1">
      <c r="A1224" s="5">
        <v>1222</v>
      </c>
      <c r="B1224" s="6" t="str">
        <f>"王式再"</f>
        <v>王式再</v>
      </c>
      <c r="C1224" s="6" t="str">
        <f t="shared" si="639"/>
        <v>男</v>
      </c>
      <c r="D1224" s="6" t="str">
        <f>"1993-02-05"</f>
        <v>1993-02-05</v>
      </c>
      <c r="E1224" s="6" t="str">
        <f aca="true" t="shared" si="640" ref="E1224:E1229">"大学本科学历"</f>
        <v>大学本科学历</v>
      </c>
      <c r="F1224" s="6" t="str">
        <f>"学士学位"</f>
        <v>学士学位</v>
      </c>
      <c r="G1224" s="6" t="str">
        <f>"土木工程"</f>
        <v>土木工程</v>
      </c>
      <c r="H1224" s="7" t="s">
        <v>9</v>
      </c>
    </row>
    <row r="1225" spans="1:8" ht="15" customHeight="1">
      <c r="A1225" s="5">
        <v>1223</v>
      </c>
      <c r="B1225" s="6" t="str">
        <f>"郭文梁"</f>
        <v>郭文梁</v>
      </c>
      <c r="C1225" s="6" t="str">
        <f t="shared" si="639"/>
        <v>男</v>
      </c>
      <c r="D1225" s="6" t="str">
        <f>"1997-08-28"</f>
        <v>1997-08-28</v>
      </c>
      <c r="E1225" s="6" t="str">
        <f aca="true" t="shared" si="641" ref="E1225:E1230">"本科"</f>
        <v>本科</v>
      </c>
      <c r="F1225" s="6" t="str">
        <f>"学士学位"</f>
        <v>学士学位</v>
      </c>
      <c r="G1225" s="6" t="str">
        <f>"财政学"</f>
        <v>财政学</v>
      </c>
      <c r="H1225" s="7" t="s">
        <v>9</v>
      </c>
    </row>
    <row r="1226" spans="1:8" ht="15" customHeight="1">
      <c r="A1226" s="5">
        <v>1224</v>
      </c>
      <c r="B1226" s="6" t="str">
        <f>"单丽佳"</f>
        <v>单丽佳</v>
      </c>
      <c r="C1226" s="6" t="str">
        <f>"女"</f>
        <v>女</v>
      </c>
      <c r="D1226" s="6" t="str">
        <f>"1996-10-24"</f>
        <v>1996-10-24</v>
      </c>
      <c r="E1226" s="6" t="str">
        <f t="shared" si="640"/>
        <v>大学本科学历</v>
      </c>
      <c r="F1226" s="6" t="str">
        <f aca="true" t="shared" si="642" ref="F1226:F1231">"管理学学士"</f>
        <v>管理学学士</v>
      </c>
      <c r="G1226" s="6" t="str">
        <f>"财务管理"</f>
        <v>财务管理</v>
      </c>
      <c r="H1226" s="7" t="s">
        <v>9</v>
      </c>
    </row>
    <row r="1227" spans="1:8" ht="15" customHeight="1">
      <c r="A1227" s="5">
        <v>1225</v>
      </c>
      <c r="B1227" s="6" t="str">
        <f>"王盛洪"</f>
        <v>王盛洪</v>
      </c>
      <c r="C1227" s="6" t="str">
        <f aca="true" t="shared" si="643" ref="C1227:C1232">"男"</f>
        <v>男</v>
      </c>
      <c r="D1227" s="6" t="str">
        <f>"1991-09-17"</f>
        <v>1991-09-17</v>
      </c>
      <c r="E1227" s="6" t="str">
        <f>"全日制本科"</f>
        <v>全日制本科</v>
      </c>
      <c r="F1227" s="6" t="str">
        <f t="shared" si="642"/>
        <v>管理学学士</v>
      </c>
      <c r="G1227" s="6" t="str">
        <f>"市场营销"</f>
        <v>市场营销</v>
      </c>
      <c r="H1227" s="7" t="s">
        <v>9</v>
      </c>
    </row>
    <row r="1228" spans="1:8" ht="15" customHeight="1">
      <c r="A1228" s="5">
        <v>1226</v>
      </c>
      <c r="B1228" s="6" t="str">
        <f>"胡文炬"</f>
        <v>胡文炬</v>
      </c>
      <c r="C1228" s="6" t="str">
        <f t="shared" si="643"/>
        <v>男</v>
      </c>
      <c r="D1228" s="6" t="str">
        <f>"1998-11-23"</f>
        <v>1998-11-23</v>
      </c>
      <c r="E1228" s="6" t="str">
        <f t="shared" si="641"/>
        <v>本科</v>
      </c>
      <c r="F1228" s="6" t="str">
        <f>"会计学学士"</f>
        <v>会计学学士</v>
      </c>
      <c r="G1228" s="6" t="str">
        <f>"会计学"</f>
        <v>会计学</v>
      </c>
      <c r="H1228" s="7" t="s">
        <v>9</v>
      </c>
    </row>
    <row r="1229" spans="1:8" ht="15" customHeight="1">
      <c r="A1229" s="5">
        <v>1227</v>
      </c>
      <c r="B1229" s="6" t="str">
        <f>"符永柏"</f>
        <v>符永柏</v>
      </c>
      <c r="C1229" s="6" t="str">
        <f t="shared" si="643"/>
        <v>男</v>
      </c>
      <c r="D1229" s="6" t="str">
        <f>"1995-06-29"</f>
        <v>1995-06-29</v>
      </c>
      <c r="E1229" s="6" t="str">
        <f t="shared" si="640"/>
        <v>大学本科学历</v>
      </c>
      <c r="F1229" s="6" t="str">
        <f>"工学学士"</f>
        <v>工学学士</v>
      </c>
      <c r="G1229" s="6" t="str">
        <f>"计算机科学与技术"</f>
        <v>计算机科学与技术</v>
      </c>
      <c r="H1229" s="7" t="s">
        <v>9</v>
      </c>
    </row>
    <row r="1230" spans="1:8" ht="15" customHeight="1">
      <c r="A1230" s="5">
        <v>1228</v>
      </c>
      <c r="B1230" s="6" t="str">
        <f>"黎世安"</f>
        <v>黎世安</v>
      </c>
      <c r="C1230" s="6" t="str">
        <f t="shared" si="643"/>
        <v>男</v>
      </c>
      <c r="D1230" s="6" t="str">
        <f>"1992-05-01"</f>
        <v>1992-05-01</v>
      </c>
      <c r="E1230" s="6" t="str">
        <f t="shared" si="641"/>
        <v>本科</v>
      </c>
      <c r="F1230" s="6" t="str">
        <f>"农学学士"</f>
        <v>农学学士</v>
      </c>
      <c r="G1230" s="6" t="str">
        <f>"园林"</f>
        <v>园林</v>
      </c>
      <c r="H1230" s="7" t="s">
        <v>9</v>
      </c>
    </row>
    <row r="1231" spans="1:8" ht="15" customHeight="1">
      <c r="A1231" s="5">
        <v>1229</v>
      </c>
      <c r="B1231" s="6" t="str">
        <f>"林明博"</f>
        <v>林明博</v>
      </c>
      <c r="C1231" s="6" t="str">
        <f t="shared" si="643"/>
        <v>男</v>
      </c>
      <c r="D1231" s="6" t="str">
        <f>"1998-06-12"</f>
        <v>1998-06-12</v>
      </c>
      <c r="E1231" s="6" t="str">
        <f>"大学本科学历"</f>
        <v>大学本科学历</v>
      </c>
      <c r="F1231" s="6" t="str">
        <f t="shared" si="642"/>
        <v>管理学学士</v>
      </c>
      <c r="G1231" s="6" t="str">
        <f>"审计学"</f>
        <v>审计学</v>
      </c>
      <c r="H1231" s="7" t="s">
        <v>9</v>
      </c>
    </row>
    <row r="1232" spans="1:8" ht="15" customHeight="1">
      <c r="A1232" s="5">
        <v>1230</v>
      </c>
      <c r="B1232" s="6" t="str">
        <f>"吴崇宁"</f>
        <v>吴崇宁</v>
      </c>
      <c r="C1232" s="6" t="str">
        <f t="shared" si="643"/>
        <v>男</v>
      </c>
      <c r="D1232" s="6" t="str">
        <f>"1997-08-15"</f>
        <v>1997-08-15</v>
      </c>
      <c r="E1232" s="6" t="str">
        <f aca="true" t="shared" si="644" ref="E1232:E1240">"本科"</f>
        <v>本科</v>
      </c>
      <c r="F1232" s="6" t="str">
        <f>"理学学士"</f>
        <v>理学学士</v>
      </c>
      <c r="G1232" s="6" t="str">
        <f>"环境科学"</f>
        <v>环境科学</v>
      </c>
      <c r="H1232" s="7" t="s">
        <v>9</v>
      </c>
    </row>
    <row r="1233" spans="1:8" ht="15" customHeight="1">
      <c r="A1233" s="5">
        <v>1231</v>
      </c>
      <c r="B1233" s="6" t="str">
        <f>"徐文悦"</f>
        <v>徐文悦</v>
      </c>
      <c r="C1233" s="6" t="str">
        <f aca="true" t="shared" si="645" ref="C1233:C1238">"女"</f>
        <v>女</v>
      </c>
      <c r="D1233" s="6" t="str">
        <f>"1998-03-14"</f>
        <v>1998-03-14</v>
      </c>
      <c r="E1233" s="6" t="str">
        <f>"大学本科"</f>
        <v>大学本科</v>
      </c>
      <c r="F1233" s="6" t="str">
        <f>"工学学位"</f>
        <v>工学学位</v>
      </c>
      <c r="G1233" s="6" t="str">
        <f>"建筑学"</f>
        <v>建筑学</v>
      </c>
      <c r="H1233" s="7" t="s">
        <v>9</v>
      </c>
    </row>
    <row r="1234" spans="1:8" ht="15" customHeight="1">
      <c r="A1234" s="5">
        <v>1232</v>
      </c>
      <c r="B1234" s="6" t="str">
        <f>"廖寒"</f>
        <v>廖寒</v>
      </c>
      <c r="C1234" s="6" t="str">
        <f aca="true" t="shared" si="646" ref="C1234:C1244">"男"</f>
        <v>男</v>
      </c>
      <c r="D1234" s="6" t="str">
        <f>"1990-11-05"</f>
        <v>1990-11-05</v>
      </c>
      <c r="E1234" s="6" t="str">
        <f t="shared" si="644"/>
        <v>本科</v>
      </c>
      <c r="F1234" s="6" t="str">
        <f>"计算机应用学士"</f>
        <v>计算机应用学士</v>
      </c>
      <c r="G1234" s="6" t="str">
        <f>"计算机应用"</f>
        <v>计算机应用</v>
      </c>
      <c r="H1234" s="7" t="s">
        <v>9</v>
      </c>
    </row>
    <row r="1235" spans="1:8" ht="15" customHeight="1">
      <c r="A1235" s="5">
        <v>1233</v>
      </c>
      <c r="B1235" s="6" t="str">
        <f>"蔡娟玉"</f>
        <v>蔡娟玉</v>
      </c>
      <c r="C1235" s="6" t="str">
        <f t="shared" si="645"/>
        <v>女</v>
      </c>
      <c r="D1235" s="6" t="str">
        <f>"2000-12-15"</f>
        <v>2000-12-15</v>
      </c>
      <c r="E1235" s="6" t="str">
        <f t="shared" si="644"/>
        <v>本科</v>
      </c>
      <c r="F1235" s="6" t="str">
        <f aca="true" t="shared" si="647" ref="F1235:F1241">"工学学士"</f>
        <v>工学学士</v>
      </c>
      <c r="G1235" s="6" t="str">
        <f>"风景园林（园林工程技术方向）"</f>
        <v>风景园林（园林工程技术方向）</v>
      </c>
      <c r="H1235" s="7" t="s">
        <v>9</v>
      </c>
    </row>
    <row r="1236" spans="1:8" ht="15" customHeight="1">
      <c r="A1236" s="5">
        <v>1234</v>
      </c>
      <c r="B1236" s="6" t="str">
        <f>"黎扬星"</f>
        <v>黎扬星</v>
      </c>
      <c r="C1236" s="6" t="str">
        <f t="shared" si="646"/>
        <v>男</v>
      </c>
      <c r="D1236" s="6" t="str">
        <f>"1997-06-28"</f>
        <v>1997-06-28</v>
      </c>
      <c r="E1236" s="6" t="str">
        <f t="shared" si="644"/>
        <v>本科</v>
      </c>
      <c r="F1236" s="6" t="str">
        <f t="shared" si="647"/>
        <v>工学学士</v>
      </c>
      <c r="G1236" s="6" t="str">
        <f>"环境工程"</f>
        <v>环境工程</v>
      </c>
      <c r="H1236" s="7" t="s">
        <v>9</v>
      </c>
    </row>
    <row r="1237" spans="1:8" ht="15" customHeight="1">
      <c r="A1237" s="5">
        <v>1235</v>
      </c>
      <c r="B1237" s="6" t="str">
        <f>"谢惠敏"</f>
        <v>谢惠敏</v>
      </c>
      <c r="C1237" s="6" t="str">
        <f t="shared" si="645"/>
        <v>女</v>
      </c>
      <c r="D1237" s="6" t="str">
        <f>"2001-12-05"</f>
        <v>2001-12-05</v>
      </c>
      <c r="E1237" s="6" t="str">
        <f t="shared" si="644"/>
        <v>本科</v>
      </c>
      <c r="F1237" s="6" t="str">
        <f aca="true" t="shared" si="648" ref="F1237:F1239">"管理学学士"</f>
        <v>管理学学士</v>
      </c>
      <c r="G1237" s="6" t="str">
        <f>"旅游管理"</f>
        <v>旅游管理</v>
      </c>
      <c r="H1237" s="7" t="s">
        <v>9</v>
      </c>
    </row>
    <row r="1238" spans="1:8" ht="15" customHeight="1">
      <c r="A1238" s="5">
        <v>1236</v>
      </c>
      <c r="B1238" s="6" t="str">
        <f>"林馨悦"</f>
        <v>林馨悦</v>
      </c>
      <c r="C1238" s="6" t="str">
        <f t="shared" si="645"/>
        <v>女</v>
      </c>
      <c r="D1238" s="6" t="str">
        <f>"1998-07-26"</f>
        <v>1998-07-26</v>
      </c>
      <c r="E1238" s="6" t="str">
        <f t="shared" si="644"/>
        <v>本科</v>
      </c>
      <c r="F1238" s="6" t="str">
        <f t="shared" si="648"/>
        <v>管理学学士</v>
      </c>
      <c r="G1238" s="6" t="str">
        <f>"人力资源管理"</f>
        <v>人力资源管理</v>
      </c>
      <c r="H1238" s="7" t="s">
        <v>9</v>
      </c>
    </row>
    <row r="1239" spans="1:8" ht="15" customHeight="1">
      <c r="A1239" s="5">
        <v>1237</v>
      </c>
      <c r="B1239" s="6" t="str">
        <f>"王康成"</f>
        <v>王康成</v>
      </c>
      <c r="C1239" s="6" t="str">
        <f t="shared" si="646"/>
        <v>男</v>
      </c>
      <c r="D1239" s="6" t="str">
        <f>"1993-07-06"</f>
        <v>1993-07-06</v>
      </c>
      <c r="E1239" s="6" t="str">
        <f t="shared" si="644"/>
        <v>本科</v>
      </c>
      <c r="F1239" s="6" t="str">
        <f t="shared" si="648"/>
        <v>管理学学士</v>
      </c>
      <c r="G1239" s="6" t="str">
        <f>"信息管理与信息系统"</f>
        <v>信息管理与信息系统</v>
      </c>
      <c r="H1239" s="7" t="s">
        <v>9</v>
      </c>
    </row>
    <row r="1240" spans="1:8" ht="15" customHeight="1">
      <c r="A1240" s="5">
        <v>1238</v>
      </c>
      <c r="B1240" s="6" t="str">
        <f>"赵予皇"</f>
        <v>赵予皇</v>
      </c>
      <c r="C1240" s="6" t="str">
        <f t="shared" si="646"/>
        <v>男</v>
      </c>
      <c r="D1240" s="6" t="str">
        <f>"1993-11-22"</f>
        <v>1993-11-22</v>
      </c>
      <c r="E1240" s="6" t="str">
        <f t="shared" si="644"/>
        <v>本科</v>
      </c>
      <c r="F1240" s="6" t="str">
        <f t="shared" si="647"/>
        <v>工学学士</v>
      </c>
      <c r="G1240" s="6" t="str">
        <f>"计算机科学与技术"</f>
        <v>计算机科学与技术</v>
      </c>
      <c r="H1240" s="7" t="s">
        <v>9</v>
      </c>
    </row>
    <row r="1241" spans="1:8" ht="15" customHeight="1">
      <c r="A1241" s="5">
        <v>1239</v>
      </c>
      <c r="B1241" s="6" t="str">
        <f>"朱国翘"</f>
        <v>朱国翘</v>
      </c>
      <c r="C1241" s="6" t="str">
        <f t="shared" si="646"/>
        <v>男</v>
      </c>
      <c r="D1241" s="6" t="str">
        <f>"1991-09-06"</f>
        <v>1991-09-06</v>
      </c>
      <c r="E1241" s="6" t="str">
        <f>"大学本科"</f>
        <v>大学本科</v>
      </c>
      <c r="F1241" s="6" t="str">
        <f t="shared" si="647"/>
        <v>工学学士</v>
      </c>
      <c r="G1241" s="6" t="str">
        <f>"风景园林"</f>
        <v>风景园林</v>
      </c>
      <c r="H1241" s="7" t="s">
        <v>9</v>
      </c>
    </row>
    <row r="1242" spans="1:8" ht="15" customHeight="1">
      <c r="A1242" s="5">
        <v>1240</v>
      </c>
      <c r="B1242" s="6" t="str">
        <f>"黄赞权"</f>
        <v>黄赞权</v>
      </c>
      <c r="C1242" s="6" t="str">
        <f t="shared" si="646"/>
        <v>男</v>
      </c>
      <c r="D1242" s="6" t="str">
        <f>"1990-10-04"</f>
        <v>1990-10-04</v>
      </c>
      <c r="E1242" s="6" t="str">
        <f>"大学本科"</f>
        <v>大学本科</v>
      </c>
      <c r="F1242" s="6" t="str">
        <f aca="true" t="shared" si="649" ref="F1242:F1247">"管理学学士"</f>
        <v>管理学学士</v>
      </c>
      <c r="G1242" s="6" t="str">
        <f>"工程管理"</f>
        <v>工程管理</v>
      </c>
      <c r="H1242" s="7" t="s">
        <v>9</v>
      </c>
    </row>
    <row r="1243" spans="1:8" ht="15" customHeight="1">
      <c r="A1243" s="5">
        <v>1241</v>
      </c>
      <c r="B1243" s="6" t="str">
        <f>"陈嘉庚"</f>
        <v>陈嘉庚</v>
      </c>
      <c r="C1243" s="6" t="str">
        <f t="shared" si="646"/>
        <v>男</v>
      </c>
      <c r="D1243" s="6" t="str">
        <f>"1990-09-04"</f>
        <v>1990-09-04</v>
      </c>
      <c r="E1243" s="6" t="str">
        <f aca="true" t="shared" si="650" ref="E1243:E1247">"本科"</f>
        <v>本科</v>
      </c>
      <c r="F1243" s="6" t="str">
        <f>"工学学士"</f>
        <v>工学学士</v>
      </c>
      <c r="G1243" s="6" t="str">
        <f>"土木工程"</f>
        <v>土木工程</v>
      </c>
      <c r="H1243" s="7" t="s">
        <v>9</v>
      </c>
    </row>
    <row r="1244" spans="1:8" ht="15" customHeight="1">
      <c r="A1244" s="5">
        <v>1242</v>
      </c>
      <c r="B1244" s="6" t="str">
        <f>"周发锐"</f>
        <v>周发锐</v>
      </c>
      <c r="C1244" s="6" t="str">
        <f t="shared" si="646"/>
        <v>男</v>
      </c>
      <c r="D1244" s="6" t="str">
        <f>"1995-04-01"</f>
        <v>1995-04-01</v>
      </c>
      <c r="E1244" s="6" t="str">
        <f t="shared" si="650"/>
        <v>本科</v>
      </c>
      <c r="F1244" s="6" t="str">
        <f t="shared" si="649"/>
        <v>管理学学士</v>
      </c>
      <c r="G1244" s="6" t="str">
        <f>"财务管理"</f>
        <v>财务管理</v>
      </c>
      <c r="H1244" s="7" t="s">
        <v>9</v>
      </c>
    </row>
    <row r="1245" spans="1:8" ht="15" customHeight="1">
      <c r="A1245" s="5">
        <v>1243</v>
      </c>
      <c r="B1245" s="6" t="str">
        <f>"王柳燕"</f>
        <v>王柳燕</v>
      </c>
      <c r="C1245" s="6" t="str">
        <f aca="true" t="shared" si="651" ref="C1245:C1247">"女"</f>
        <v>女</v>
      </c>
      <c r="D1245" s="6" t="str">
        <f>"1997-12-08"</f>
        <v>1997-12-08</v>
      </c>
      <c r="E1245" s="6" t="str">
        <f t="shared" si="650"/>
        <v>本科</v>
      </c>
      <c r="F1245" s="6" t="str">
        <f>"学士"</f>
        <v>学士</v>
      </c>
      <c r="G1245" s="6" t="str">
        <f>"金融学"</f>
        <v>金融学</v>
      </c>
      <c r="H1245" s="7" t="s">
        <v>9</v>
      </c>
    </row>
    <row r="1246" spans="1:8" ht="15" customHeight="1">
      <c r="A1246" s="5">
        <v>1244</v>
      </c>
      <c r="B1246" s="6" t="str">
        <f>"陈丹"</f>
        <v>陈丹</v>
      </c>
      <c r="C1246" s="6" t="str">
        <f t="shared" si="651"/>
        <v>女</v>
      </c>
      <c r="D1246" s="6" t="str">
        <f>"1998-08-11"</f>
        <v>1998-08-11</v>
      </c>
      <c r="E1246" s="6" t="str">
        <f t="shared" si="650"/>
        <v>本科</v>
      </c>
      <c r="F1246" s="6" t="str">
        <f t="shared" si="649"/>
        <v>管理学学士</v>
      </c>
      <c r="G1246" s="6" t="str">
        <f>"市场营销"</f>
        <v>市场营销</v>
      </c>
      <c r="H1246" s="7" t="s">
        <v>9</v>
      </c>
    </row>
    <row r="1247" spans="1:8" ht="15" customHeight="1">
      <c r="A1247" s="5">
        <v>1245</v>
      </c>
      <c r="B1247" s="6" t="str">
        <f>"余燕"</f>
        <v>余燕</v>
      </c>
      <c r="C1247" s="6" t="str">
        <f t="shared" si="651"/>
        <v>女</v>
      </c>
      <c r="D1247" s="6" t="str">
        <f>"1999-12-27"</f>
        <v>1999-12-27</v>
      </c>
      <c r="E1247" s="6" t="str">
        <f t="shared" si="650"/>
        <v>本科</v>
      </c>
      <c r="F1247" s="6" t="str">
        <f t="shared" si="649"/>
        <v>管理学学士</v>
      </c>
      <c r="G1247" s="6" t="str">
        <f>"会计学"</f>
        <v>会计学</v>
      </c>
      <c r="H1247" s="7" t="s">
        <v>9</v>
      </c>
    </row>
    <row r="1248" spans="1:8" ht="15" customHeight="1">
      <c r="A1248" s="5">
        <v>1246</v>
      </c>
      <c r="B1248" s="6" t="str">
        <f>"徐毅"</f>
        <v>徐毅</v>
      </c>
      <c r="C1248" s="6" t="str">
        <f>"男"</f>
        <v>男</v>
      </c>
      <c r="D1248" s="6" t="str">
        <f>"1998-07-19"</f>
        <v>1998-07-19</v>
      </c>
      <c r="E1248" s="6" t="str">
        <f aca="true" t="shared" si="652" ref="E1248:E1253">"大学本科"</f>
        <v>大学本科</v>
      </c>
      <c r="F1248" s="6" t="str">
        <f>"工学学位"</f>
        <v>工学学位</v>
      </c>
      <c r="G1248" s="6" t="str">
        <f>"道路桥梁与渡河工程"</f>
        <v>道路桥梁与渡河工程</v>
      </c>
      <c r="H1248" s="7" t="s">
        <v>9</v>
      </c>
    </row>
    <row r="1249" spans="1:8" ht="15" customHeight="1">
      <c r="A1249" s="5">
        <v>1247</v>
      </c>
      <c r="B1249" s="6" t="str">
        <f>"李虹芳"</f>
        <v>李虹芳</v>
      </c>
      <c r="C1249" s="6" t="str">
        <f aca="true" t="shared" si="653" ref="C1249:C1252">"女"</f>
        <v>女</v>
      </c>
      <c r="D1249" s="6" t="str">
        <f>"1993-06-18"</f>
        <v>1993-06-18</v>
      </c>
      <c r="E1249" s="6" t="str">
        <f aca="true" t="shared" si="654" ref="E1249:E1251">"本科"</f>
        <v>本科</v>
      </c>
      <c r="F1249" s="6" t="str">
        <f>"管理学学士学位"</f>
        <v>管理学学士学位</v>
      </c>
      <c r="G1249" s="6" t="str">
        <f>"工商管理"</f>
        <v>工商管理</v>
      </c>
      <c r="H1249" s="7" t="s">
        <v>9</v>
      </c>
    </row>
    <row r="1250" spans="1:8" ht="15" customHeight="1">
      <c r="A1250" s="5">
        <v>1248</v>
      </c>
      <c r="B1250" s="6" t="str">
        <f>"伍云杉"</f>
        <v>伍云杉</v>
      </c>
      <c r="C1250" s="6" t="str">
        <f t="shared" si="653"/>
        <v>女</v>
      </c>
      <c r="D1250" s="6" t="str">
        <f>"1997-11-04"</f>
        <v>1997-11-04</v>
      </c>
      <c r="E1250" s="6" t="str">
        <f t="shared" si="654"/>
        <v>本科</v>
      </c>
      <c r="F1250" s="6" t="str">
        <f>"学士"</f>
        <v>学士</v>
      </c>
      <c r="G1250" s="6" t="str">
        <f>"汉语言文学"</f>
        <v>汉语言文学</v>
      </c>
      <c r="H1250" s="7" t="s">
        <v>9</v>
      </c>
    </row>
    <row r="1251" spans="1:8" ht="15" customHeight="1">
      <c r="A1251" s="5">
        <v>1249</v>
      </c>
      <c r="B1251" s="6" t="str">
        <f>"王欣"</f>
        <v>王欣</v>
      </c>
      <c r="C1251" s="6" t="str">
        <f t="shared" si="653"/>
        <v>女</v>
      </c>
      <c r="D1251" s="6" t="str">
        <f>"1996-09-10"</f>
        <v>1996-09-10</v>
      </c>
      <c r="E1251" s="6" t="str">
        <f t="shared" si="654"/>
        <v>本科</v>
      </c>
      <c r="F1251" s="6" t="str">
        <f>"学士学位"</f>
        <v>学士学位</v>
      </c>
      <c r="G1251" s="6" t="str">
        <f>"物联网工程"</f>
        <v>物联网工程</v>
      </c>
      <c r="H1251" s="7" t="s">
        <v>9</v>
      </c>
    </row>
    <row r="1252" spans="1:8" ht="15" customHeight="1">
      <c r="A1252" s="5">
        <v>1250</v>
      </c>
      <c r="B1252" s="6" t="str">
        <f>"刘美甘"</f>
        <v>刘美甘</v>
      </c>
      <c r="C1252" s="6" t="str">
        <f t="shared" si="653"/>
        <v>女</v>
      </c>
      <c r="D1252" s="6" t="str">
        <f>"1995-10-06"</f>
        <v>1995-10-06</v>
      </c>
      <c r="E1252" s="6" t="str">
        <f t="shared" si="652"/>
        <v>大学本科</v>
      </c>
      <c r="F1252" s="6" t="str">
        <f aca="true" t="shared" si="655" ref="F1252:F1256">"工学学士"</f>
        <v>工学学士</v>
      </c>
      <c r="G1252" s="6" t="str">
        <f>"网络工程"</f>
        <v>网络工程</v>
      </c>
      <c r="H1252" s="7" t="s">
        <v>9</v>
      </c>
    </row>
    <row r="1253" spans="1:8" ht="15" customHeight="1">
      <c r="A1253" s="5">
        <v>1251</v>
      </c>
      <c r="B1253" s="6" t="str">
        <f>"林文基"</f>
        <v>林文基</v>
      </c>
      <c r="C1253" s="6" t="str">
        <f aca="true" t="shared" si="656" ref="C1253:C1258">"男"</f>
        <v>男</v>
      </c>
      <c r="D1253" s="6" t="str">
        <f>"1993-07-11"</f>
        <v>1993-07-11</v>
      </c>
      <c r="E1253" s="6" t="str">
        <f t="shared" si="652"/>
        <v>大学本科</v>
      </c>
      <c r="F1253" s="6" t="str">
        <f>"管理学学士"</f>
        <v>管理学学士</v>
      </c>
      <c r="G1253" s="6" t="str">
        <f>"行政管理"</f>
        <v>行政管理</v>
      </c>
      <c r="H1253" s="7" t="s">
        <v>9</v>
      </c>
    </row>
    <row r="1254" spans="1:8" ht="15" customHeight="1">
      <c r="A1254" s="5">
        <v>1252</v>
      </c>
      <c r="B1254" s="6" t="str">
        <f>"秦肇鸿"</f>
        <v>秦肇鸿</v>
      </c>
      <c r="C1254" s="6" t="str">
        <f t="shared" si="656"/>
        <v>男</v>
      </c>
      <c r="D1254" s="6" t="str">
        <f>"1991-09-11"</f>
        <v>1991-09-11</v>
      </c>
      <c r="E1254" s="6" t="str">
        <f aca="true" t="shared" si="657" ref="E1254:E1259">"本科"</f>
        <v>本科</v>
      </c>
      <c r="F1254" s="6" t="str">
        <f t="shared" si="655"/>
        <v>工学学士</v>
      </c>
      <c r="G1254" s="6" t="str">
        <f>"土木工程"</f>
        <v>土木工程</v>
      </c>
      <c r="H1254" s="7" t="s">
        <v>9</v>
      </c>
    </row>
    <row r="1255" spans="1:8" ht="15" customHeight="1">
      <c r="A1255" s="5">
        <v>1253</v>
      </c>
      <c r="B1255" s="6" t="str">
        <f>"王楠"</f>
        <v>王楠</v>
      </c>
      <c r="C1255" s="6" t="str">
        <f aca="true" t="shared" si="658" ref="C1255:C1260">"女"</f>
        <v>女</v>
      </c>
      <c r="D1255" s="6" t="str">
        <f>"1994-11-21"</f>
        <v>1994-11-21</v>
      </c>
      <c r="E1255" s="6" t="str">
        <f t="shared" si="657"/>
        <v>本科</v>
      </c>
      <c r="F1255" s="6" t="str">
        <f>"理学学士"</f>
        <v>理学学士</v>
      </c>
      <c r="G1255" s="6" t="str">
        <f>"应用统计学"</f>
        <v>应用统计学</v>
      </c>
      <c r="H1255" s="7" t="s">
        <v>9</v>
      </c>
    </row>
    <row r="1256" spans="1:8" ht="15" customHeight="1">
      <c r="A1256" s="5">
        <v>1254</v>
      </c>
      <c r="B1256" s="6" t="str">
        <f>"王莉"</f>
        <v>王莉</v>
      </c>
      <c r="C1256" s="6" t="str">
        <f t="shared" si="658"/>
        <v>女</v>
      </c>
      <c r="D1256" s="6" t="str">
        <f>"2000-03-14"</f>
        <v>2000-03-14</v>
      </c>
      <c r="E1256" s="6" t="str">
        <f>"大学本科学历"</f>
        <v>大学本科学历</v>
      </c>
      <c r="F1256" s="6" t="str">
        <f t="shared" si="655"/>
        <v>工学学士</v>
      </c>
      <c r="G1256" s="6" t="str">
        <f>"计算机科学与技术"</f>
        <v>计算机科学与技术</v>
      </c>
      <c r="H1256" s="7" t="s">
        <v>9</v>
      </c>
    </row>
    <row r="1257" spans="1:8" ht="15" customHeight="1">
      <c r="A1257" s="5">
        <v>1255</v>
      </c>
      <c r="B1257" s="6" t="str">
        <f>"石霸"</f>
        <v>石霸</v>
      </c>
      <c r="C1257" s="6" t="str">
        <f t="shared" si="656"/>
        <v>男</v>
      </c>
      <c r="D1257" s="6" t="str">
        <f>"1994-10-13"</f>
        <v>1994-10-13</v>
      </c>
      <c r="E1257" s="6" t="str">
        <f t="shared" si="657"/>
        <v>本科</v>
      </c>
      <c r="F1257" s="6" t="str">
        <f>"无"</f>
        <v>无</v>
      </c>
      <c r="G1257" s="6" t="str">
        <f>"土木工程"</f>
        <v>土木工程</v>
      </c>
      <c r="H1257" s="7" t="s">
        <v>9</v>
      </c>
    </row>
    <row r="1258" spans="1:8" ht="15" customHeight="1">
      <c r="A1258" s="5">
        <v>1256</v>
      </c>
      <c r="B1258" s="6" t="str">
        <f>"田益"</f>
        <v>田益</v>
      </c>
      <c r="C1258" s="6" t="str">
        <f t="shared" si="656"/>
        <v>男</v>
      </c>
      <c r="D1258" s="6" t="str">
        <f>"1999-02-15"</f>
        <v>1999-02-15</v>
      </c>
      <c r="E1258" s="6" t="str">
        <f t="shared" si="657"/>
        <v>本科</v>
      </c>
      <c r="F1258" s="6" t="str">
        <f>"工学学士"</f>
        <v>工学学士</v>
      </c>
      <c r="G1258" s="6" t="str">
        <f>"物联网工程"</f>
        <v>物联网工程</v>
      </c>
      <c r="H1258" s="7" t="s">
        <v>9</v>
      </c>
    </row>
    <row r="1259" spans="1:8" ht="15" customHeight="1">
      <c r="A1259" s="5">
        <v>1257</v>
      </c>
      <c r="B1259" s="6" t="str">
        <f>"王川梅"</f>
        <v>王川梅</v>
      </c>
      <c r="C1259" s="6" t="str">
        <f t="shared" si="658"/>
        <v>女</v>
      </c>
      <c r="D1259" s="6" t="str">
        <f>"1998-07-27"</f>
        <v>1998-07-27</v>
      </c>
      <c r="E1259" s="6" t="str">
        <f t="shared" si="657"/>
        <v>本科</v>
      </c>
      <c r="F1259" s="6" t="str">
        <f>"农学学士"</f>
        <v>农学学士</v>
      </c>
      <c r="G1259" s="6" t="str">
        <f>"园林"</f>
        <v>园林</v>
      </c>
      <c r="H1259" s="7" t="s">
        <v>9</v>
      </c>
    </row>
    <row r="1260" spans="1:8" ht="15" customHeight="1">
      <c r="A1260" s="5">
        <v>1258</v>
      </c>
      <c r="B1260" s="6" t="str">
        <f>"王雪花"</f>
        <v>王雪花</v>
      </c>
      <c r="C1260" s="6" t="str">
        <f t="shared" si="658"/>
        <v>女</v>
      </c>
      <c r="D1260" s="6" t="str">
        <f>"1996-03-13"</f>
        <v>1996-03-13</v>
      </c>
      <c r="E1260" s="6" t="str">
        <f>" 本科"</f>
        <v> 本科</v>
      </c>
      <c r="F1260" s="6" t="str">
        <f>"文学学士"</f>
        <v>文学学士</v>
      </c>
      <c r="G1260" s="6" t="str">
        <f>"汉语言文学"</f>
        <v>汉语言文学</v>
      </c>
      <c r="H1260" s="7" t="s">
        <v>9</v>
      </c>
    </row>
    <row r="1261" spans="1:8" ht="15" customHeight="1">
      <c r="A1261" s="5">
        <v>1259</v>
      </c>
      <c r="B1261" s="6" t="str">
        <f>"黄文锦"</f>
        <v>黄文锦</v>
      </c>
      <c r="C1261" s="6" t="str">
        <f aca="true" t="shared" si="659" ref="C1261:C1264">"男"</f>
        <v>男</v>
      </c>
      <c r="D1261" s="6" t="str">
        <f>"1995-12-30"</f>
        <v>1995-12-30</v>
      </c>
      <c r="E1261" s="6" t="str">
        <f aca="true" t="shared" si="660" ref="E1261:E1264">"本科"</f>
        <v>本科</v>
      </c>
      <c r="F1261" s="6" t="str">
        <f>"管理学学士"</f>
        <v>管理学学士</v>
      </c>
      <c r="G1261" s="6" t="str">
        <f>"财务管理"</f>
        <v>财务管理</v>
      </c>
      <c r="H1261" s="7" t="s">
        <v>9</v>
      </c>
    </row>
    <row r="1262" spans="1:8" ht="15" customHeight="1">
      <c r="A1262" s="5">
        <v>1260</v>
      </c>
      <c r="B1262" s="6" t="str">
        <f>"陈佛城"</f>
        <v>陈佛城</v>
      </c>
      <c r="C1262" s="6" t="str">
        <f t="shared" si="659"/>
        <v>男</v>
      </c>
      <c r="D1262" s="6" t="str">
        <f>"1992-02-23"</f>
        <v>1992-02-23</v>
      </c>
      <c r="E1262" s="6" t="str">
        <f t="shared" si="660"/>
        <v>本科</v>
      </c>
      <c r="F1262" s="6" t="str">
        <f>"学士学位"</f>
        <v>学士学位</v>
      </c>
      <c r="G1262" s="6" t="str">
        <f>"设施农业科学与工程"</f>
        <v>设施农业科学与工程</v>
      </c>
      <c r="H1262" s="7" t="s">
        <v>9</v>
      </c>
    </row>
    <row r="1263" spans="1:8" ht="15" customHeight="1">
      <c r="A1263" s="5">
        <v>1261</v>
      </c>
      <c r="B1263" s="6" t="str">
        <f>"郑维龙"</f>
        <v>郑维龙</v>
      </c>
      <c r="C1263" s="6" t="str">
        <f t="shared" si="659"/>
        <v>男</v>
      </c>
      <c r="D1263" s="6" t="str">
        <f>"1995-10-08"</f>
        <v>1995-10-08</v>
      </c>
      <c r="E1263" s="6" t="str">
        <f>"大学本科学历"</f>
        <v>大学本科学历</v>
      </c>
      <c r="F1263" s="6" t="str">
        <f>"农学学士"</f>
        <v>农学学士</v>
      </c>
      <c r="G1263" s="6" t="str">
        <f>"农学"</f>
        <v>农学</v>
      </c>
      <c r="H1263" s="7" t="s">
        <v>9</v>
      </c>
    </row>
    <row r="1264" spans="1:8" ht="15" customHeight="1">
      <c r="A1264" s="5">
        <v>1262</v>
      </c>
      <c r="B1264" s="6" t="str">
        <f>"羊冠三"</f>
        <v>羊冠三</v>
      </c>
      <c r="C1264" s="6" t="str">
        <f t="shared" si="659"/>
        <v>男</v>
      </c>
      <c r="D1264" s="6" t="str">
        <f>"1992-01-10"</f>
        <v>1992-01-10</v>
      </c>
      <c r="E1264" s="6" t="str">
        <f t="shared" si="660"/>
        <v>本科</v>
      </c>
      <c r="F1264" s="6" t="str">
        <f>"管理学士"</f>
        <v>管理学士</v>
      </c>
      <c r="G1264" s="6" t="str">
        <f>"公共事业管理"</f>
        <v>公共事业管理</v>
      </c>
      <c r="H1264" s="7" t="s">
        <v>9</v>
      </c>
    </row>
    <row r="1265" spans="1:8" ht="15" customHeight="1">
      <c r="A1265" s="5">
        <v>1263</v>
      </c>
      <c r="B1265" s="6" t="str">
        <f>"羊玉秋"</f>
        <v>羊玉秋</v>
      </c>
      <c r="C1265" s="6" t="str">
        <f aca="true" t="shared" si="661" ref="C1265:C1269">"女"</f>
        <v>女</v>
      </c>
      <c r="D1265" s="6" t="str">
        <f>"1998-07-20"</f>
        <v>1998-07-20</v>
      </c>
      <c r="E1265" s="6" t="str">
        <f>"大学本科"</f>
        <v>大学本科</v>
      </c>
      <c r="F1265" s="6" t="str">
        <f>"理学学士"</f>
        <v>理学学士</v>
      </c>
      <c r="G1265" s="6" t="str">
        <f>"环境科学"</f>
        <v>环境科学</v>
      </c>
      <c r="H1265" s="7" t="s">
        <v>9</v>
      </c>
    </row>
    <row r="1266" spans="1:8" ht="15" customHeight="1">
      <c r="A1266" s="5">
        <v>1264</v>
      </c>
      <c r="B1266" s="6" t="str">
        <f>"符亚芬"</f>
        <v>符亚芬</v>
      </c>
      <c r="C1266" s="6" t="str">
        <f t="shared" si="661"/>
        <v>女</v>
      </c>
      <c r="D1266" s="6" t="str">
        <f>"1999-10-12"</f>
        <v>1999-10-12</v>
      </c>
      <c r="E1266" s="6" t="str">
        <f aca="true" t="shared" si="662" ref="E1266:E1268">"本科"</f>
        <v>本科</v>
      </c>
      <c r="F1266" s="6" t="str">
        <f>"学士"</f>
        <v>学士</v>
      </c>
      <c r="G1266" s="6" t="str">
        <f>"汉语言文学"</f>
        <v>汉语言文学</v>
      </c>
      <c r="H1266" s="7" t="s">
        <v>9</v>
      </c>
    </row>
    <row r="1267" spans="1:8" ht="15" customHeight="1">
      <c r="A1267" s="5">
        <v>1265</v>
      </c>
      <c r="B1267" s="6" t="str">
        <f>"王涛"</f>
        <v>王涛</v>
      </c>
      <c r="C1267" s="6" t="str">
        <f aca="true" t="shared" si="663" ref="C1267:C1271">"男"</f>
        <v>男</v>
      </c>
      <c r="D1267" s="6" t="str">
        <f>"1997-11-06"</f>
        <v>1997-11-06</v>
      </c>
      <c r="E1267" s="6" t="str">
        <f t="shared" si="662"/>
        <v>本科</v>
      </c>
      <c r="F1267" s="6" t="str">
        <f aca="true" t="shared" si="664" ref="F1267:F1269">"管理学学士"</f>
        <v>管理学学士</v>
      </c>
      <c r="G1267" s="6" t="str">
        <f>"会计学"</f>
        <v>会计学</v>
      </c>
      <c r="H1267" s="7" t="s">
        <v>9</v>
      </c>
    </row>
    <row r="1268" spans="1:8" ht="15" customHeight="1">
      <c r="A1268" s="5">
        <v>1266</v>
      </c>
      <c r="B1268" s="6" t="str">
        <f>"徐佩莹"</f>
        <v>徐佩莹</v>
      </c>
      <c r="C1268" s="6" t="str">
        <f t="shared" si="661"/>
        <v>女</v>
      </c>
      <c r="D1268" s="6" t="str">
        <f>"1997-07-31"</f>
        <v>1997-07-31</v>
      </c>
      <c r="E1268" s="6" t="str">
        <f t="shared" si="662"/>
        <v>本科</v>
      </c>
      <c r="F1268" s="6" t="str">
        <f t="shared" si="664"/>
        <v>管理学学士</v>
      </c>
      <c r="G1268" s="6" t="str">
        <f>"人力资源管理"</f>
        <v>人力资源管理</v>
      </c>
      <c r="H1268" s="7" t="s">
        <v>9</v>
      </c>
    </row>
    <row r="1269" spans="1:8" ht="15" customHeight="1">
      <c r="A1269" s="5">
        <v>1267</v>
      </c>
      <c r="B1269" s="6" t="str">
        <f>"郑暖丽"</f>
        <v>郑暖丽</v>
      </c>
      <c r="C1269" s="6" t="str">
        <f t="shared" si="661"/>
        <v>女</v>
      </c>
      <c r="D1269" s="6" t="str">
        <f>"1988-05-18"</f>
        <v>1988-05-18</v>
      </c>
      <c r="E1269" s="6" t="str">
        <f aca="true" t="shared" si="665" ref="E1269:E1273">"大学本科"</f>
        <v>大学本科</v>
      </c>
      <c r="F1269" s="6" t="str">
        <f t="shared" si="664"/>
        <v>管理学学士</v>
      </c>
      <c r="G1269" s="6" t="str">
        <f>"会计学"</f>
        <v>会计学</v>
      </c>
      <c r="H1269" s="7" t="s">
        <v>9</v>
      </c>
    </row>
    <row r="1270" spans="1:8" ht="15" customHeight="1">
      <c r="A1270" s="5">
        <v>1268</v>
      </c>
      <c r="B1270" s="6" t="str">
        <f>"罗昌庆"</f>
        <v>罗昌庆</v>
      </c>
      <c r="C1270" s="6" t="str">
        <f t="shared" si="663"/>
        <v>男</v>
      </c>
      <c r="D1270" s="6" t="str">
        <f>"1996-07-01"</f>
        <v>1996-07-01</v>
      </c>
      <c r="E1270" s="6" t="str">
        <f aca="true" t="shared" si="666" ref="E1270:E1275">"本科"</f>
        <v>本科</v>
      </c>
      <c r="F1270" s="6" t="str">
        <f>"工学学士"</f>
        <v>工学学士</v>
      </c>
      <c r="G1270" s="6" t="str">
        <f>"城乡规划"</f>
        <v>城乡规划</v>
      </c>
      <c r="H1270" s="7" t="s">
        <v>9</v>
      </c>
    </row>
    <row r="1271" spans="1:8" ht="15" customHeight="1">
      <c r="A1271" s="5">
        <v>1269</v>
      </c>
      <c r="B1271" s="6" t="str">
        <f>"王造国"</f>
        <v>王造国</v>
      </c>
      <c r="C1271" s="6" t="str">
        <f t="shared" si="663"/>
        <v>男</v>
      </c>
      <c r="D1271" s="6" t="str">
        <f>"1994-04-09"</f>
        <v>1994-04-09</v>
      </c>
      <c r="E1271" s="6" t="str">
        <f t="shared" si="665"/>
        <v>大学本科</v>
      </c>
      <c r="F1271" s="6" t="str">
        <f aca="true" t="shared" si="667" ref="F1271:F1273">"管理学学士"</f>
        <v>管理学学士</v>
      </c>
      <c r="G1271" s="6" t="str">
        <f>"旅游管理"</f>
        <v>旅游管理</v>
      </c>
      <c r="H1271" s="7" t="s">
        <v>9</v>
      </c>
    </row>
    <row r="1272" spans="1:8" ht="15" customHeight="1">
      <c r="A1272" s="5">
        <v>1270</v>
      </c>
      <c r="B1272" s="6" t="str">
        <f>"王祥臻"</f>
        <v>王祥臻</v>
      </c>
      <c r="C1272" s="6" t="str">
        <f aca="true" t="shared" si="668" ref="C1272:C1277">"女"</f>
        <v>女</v>
      </c>
      <c r="D1272" s="6" t="str">
        <f>"2001-07-21"</f>
        <v>2001-07-21</v>
      </c>
      <c r="E1272" s="6" t="str">
        <f t="shared" si="666"/>
        <v>本科</v>
      </c>
      <c r="F1272" s="6" t="str">
        <f t="shared" si="667"/>
        <v>管理学学士</v>
      </c>
      <c r="G1272" s="6" t="str">
        <f>"劳动与社会保障"</f>
        <v>劳动与社会保障</v>
      </c>
      <c r="H1272" s="7" t="s">
        <v>9</v>
      </c>
    </row>
    <row r="1273" spans="1:8" ht="15" customHeight="1">
      <c r="A1273" s="5">
        <v>1271</v>
      </c>
      <c r="B1273" s="6" t="str">
        <f>"黄静"</f>
        <v>黄静</v>
      </c>
      <c r="C1273" s="6" t="str">
        <f t="shared" si="668"/>
        <v>女</v>
      </c>
      <c r="D1273" s="6" t="str">
        <f>"1991-10-12"</f>
        <v>1991-10-12</v>
      </c>
      <c r="E1273" s="6" t="str">
        <f t="shared" si="665"/>
        <v>大学本科</v>
      </c>
      <c r="F1273" s="6" t="str">
        <f t="shared" si="667"/>
        <v>管理学学士</v>
      </c>
      <c r="G1273" s="6" t="str">
        <f>"信息管理与信息系统"</f>
        <v>信息管理与信息系统</v>
      </c>
      <c r="H1273" s="7" t="s">
        <v>9</v>
      </c>
    </row>
    <row r="1274" spans="1:8" ht="15" customHeight="1">
      <c r="A1274" s="5">
        <v>1272</v>
      </c>
      <c r="B1274" s="6" t="str">
        <f>"王根州"</f>
        <v>王根州</v>
      </c>
      <c r="C1274" s="6" t="str">
        <f aca="true" t="shared" si="669" ref="C1274:C1278">"男"</f>
        <v>男</v>
      </c>
      <c r="D1274" s="6" t="str">
        <f>"1997-12-13"</f>
        <v>1997-12-13</v>
      </c>
      <c r="E1274" s="6" t="str">
        <f t="shared" si="666"/>
        <v>本科</v>
      </c>
      <c r="F1274" s="6" t="str">
        <f>"建筑学学士"</f>
        <v>建筑学学士</v>
      </c>
      <c r="G1274" s="6" t="str">
        <f>"建筑学"</f>
        <v>建筑学</v>
      </c>
      <c r="H1274" s="7" t="s">
        <v>9</v>
      </c>
    </row>
    <row r="1275" spans="1:8" ht="15" customHeight="1">
      <c r="A1275" s="5">
        <v>1273</v>
      </c>
      <c r="B1275" s="6" t="str">
        <f>"文韬靖"</f>
        <v>文韬靖</v>
      </c>
      <c r="C1275" s="6" t="str">
        <f t="shared" si="669"/>
        <v>男</v>
      </c>
      <c r="D1275" s="6" t="str">
        <f>"1996-08-02"</f>
        <v>1996-08-02</v>
      </c>
      <c r="E1275" s="6" t="str">
        <f t="shared" si="666"/>
        <v>本科</v>
      </c>
      <c r="F1275" s="6" t="str">
        <f>"管理学学士"</f>
        <v>管理学学士</v>
      </c>
      <c r="G1275" s="6" t="str">
        <f>"工商管理"</f>
        <v>工商管理</v>
      </c>
      <c r="H1275" s="7" t="s">
        <v>9</v>
      </c>
    </row>
    <row r="1276" spans="1:8" ht="15" customHeight="1">
      <c r="A1276" s="5">
        <v>1274</v>
      </c>
      <c r="B1276" s="6" t="str">
        <f>"李雪"</f>
        <v>李雪</v>
      </c>
      <c r="C1276" s="6" t="str">
        <f t="shared" si="668"/>
        <v>女</v>
      </c>
      <c r="D1276" s="6" t="str">
        <f>"1997-06-28"</f>
        <v>1997-06-28</v>
      </c>
      <c r="E1276" s="6" t="str">
        <f aca="true" t="shared" si="670" ref="E1276:E1281">"大学本科"</f>
        <v>大学本科</v>
      </c>
      <c r="F1276" s="6" t="str">
        <f aca="true" t="shared" si="671" ref="F1276:F1281">"工学学士"</f>
        <v>工学学士</v>
      </c>
      <c r="G1276" s="6" t="str">
        <f>"风景园林（园林工程技术方向）"</f>
        <v>风景园林（园林工程技术方向）</v>
      </c>
      <c r="H1276" s="7" t="s">
        <v>9</v>
      </c>
    </row>
    <row r="1277" spans="1:8" ht="15" customHeight="1">
      <c r="A1277" s="5">
        <v>1275</v>
      </c>
      <c r="B1277" s="6" t="str">
        <f>"羊矫燕"</f>
        <v>羊矫燕</v>
      </c>
      <c r="C1277" s="6" t="str">
        <f t="shared" si="668"/>
        <v>女</v>
      </c>
      <c r="D1277" s="6" t="str">
        <f>"1998-07-26"</f>
        <v>1998-07-26</v>
      </c>
      <c r="E1277" s="6" t="str">
        <f t="shared" si="670"/>
        <v>大学本科</v>
      </c>
      <c r="F1277" s="6" t="str">
        <f>"经济学学士"</f>
        <v>经济学学士</v>
      </c>
      <c r="G1277" s="6" t="str">
        <f>"经济学"</f>
        <v>经济学</v>
      </c>
      <c r="H1277" s="7" t="s">
        <v>9</v>
      </c>
    </row>
    <row r="1278" spans="1:8" ht="15" customHeight="1">
      <c r="A1278" s="5">
        <v>1276</v>
      </c>
      <c r="B1278" s="6" t="str">
        <f>"王承"</f>
        <v>王承</v>
      </c>
      <c r="C1278" s="6" t="str">
        <f t="shared" si="669"/>
        <v>男</v>
      </c>
      <c r="D1278" s="6" t="str">
        <f>"1988-08-08"</f>
        <v>1988-08-08</v>
      </c>
      <c r="E1278" s="6" t="str">
        <f aca="true" t="shared" si="672" ref="E1278:E1282">"本科"</f>
        <v>本科</v>
      </c>
      <c r="F1278" s="6" t="str">
        <f t="shared" si="671"/>
        <v>工学学士</v>
      </c>
      <c r="G1278" s="6" t="str">
        <f>"环境工程"</f>
        <v>环境工程</v>
      </c>
      <c r="H1278" s="7" t="s">
        <v>9</v>
      </c>
    </row>
    <row r="1279" spans="1:8" ht="15" customHeight="1">
      <c r="A1279" s="5">
        <v>1277</v>
      </c>
      <c r="B1279" s="6" t="str">
        <f>"庄舅来"</f>
        <v>庄舅来</v>
      </c>
      <c r="C1279" s="6" t="str">
        <f aca="true" t="shared" si="673" ref="C1279:C1282">"女"</f>
        <v>女</v>
      </c>
      <c r="D1279" s="6" t="str">
        <f>"1996-12-25"</f>
        <v>1996-12-25</v>
      </c>
      <c r="E1279" s="6" t="str">
        <f>"大学本科学历"</f>
        <v>大学本科学历</v>
      </c>
      <c r="F1279" s="6" t="str">
        <f>"管理学学士"</f>
        <v>管理学学士</v>
      </c>
      <c r="G1279" s="6" t="str">
        <f>"旅游管理"</f>
        <v>旅游管理</v>
      </c>
      <c r="H1279" s="7" t="s">
        <v>9</v>
      </c>
    </row>
    <row r="1280" spans="1:8" ht="15" customHeight="1">
      <c r="A1280" s="5">
        <v>1278</v>
      </c>
      <c r="B1280" s="6" t="str">
        <f>"桂星星"</f>
        <v>桂星星</v>
      </c>
      <c r="C1280" s="6" t="str">
        <f t="shared" si="673"/>
        <v>女</v>
      </c>
      <c r="D1280" s="6" t="str">
        <f>"1992-12-09"</f>
        <v>1992-12-09</v>
      </c>
      <c r="E1280" s="6" t="str">
        <f t="shared" si="672"/>
        <v>本科</v>
      </c>
      <c r="F1280" s="6" t="str">
        <f>"学士学位"</f>
        <v>学士学位</v>
      </c>
      <c r="G1280" s="6" t="str">
        <f>"会计学"</f>
        <v>会计学</v>
      </c>
      <c r="H1280" s="7" t="s">
        <v>9</v>
      </c>
    </row>
    <row r="1281" spans="1:8" ht="15" customHeight="1">
      <c r="A1281" s="5">
        <v>1279</v>
      </c>
      <c r="B1281" s="6" t="str">
        <f>"李晶晶"</f>
        <v>李晶晶</v>
      </c>
      <c r="C1281" s="6" t="str">
        <f t="shared" si="673"/>
        <v>女</v>
      </c>
      <c r="D1281" s="6" t="str">
        <f>"1987-12-02"</f>
        <v>1987-12-02</v>
      </c>
      <c r="E1281" s="6" t="str">
        <f t="shared" si="670"/>
        <v>大学本科</v>
      </c>
      <c r="F1281" s="6" t="str">
        <f t="shared" si="671"/>
        <v>工学学士</v>
      </c>
      <c r="G1281" s="6" t="str">
        <f>"城市规划"</f>
        <v>城市规划</v>
      </c>
      <c r="H1281" s="7" t="s">
        <v>9</v>
      </c>
    </row>
    <row r="1282" spans="1:8" ht="15" customHeight="1">
      <c r="A1282" s="5">
        <v>1280</v>
      </c>
      <c r="B1282" s="6" t="str">
        <f>"李小菲"</f>
        <v>李小菲</v>
      </c>
      <c r="C1282" s="6" t="str">
        <f t="shared" si="673"/>
        <v>女</v>
      </c>
      <c r="D1282" s="6" t="str">
        <f>"1998-10-06"</f>
        <v>1998-10-06</v>
      </c>
      <c r="E1282" s="6" t="str">
        <f t="shared" si="672"/>
        <v>本科</v>
      </c>
      <c r="F1282" s="6" t="str">
        <f>"管理学学位"</f>
        <v>管理学学位</v>
      </c>
      <c r="G1282" s="6" t="str">
        <f aca="true" t="shared" si="674" ref="G1282:G1286">"旅游管理"</f>
        <v>旅游管理</v>
      </c>
      <c r="H1282" s="7" t="s">
        <v>9</v>
      </c>
    </row>
    <row r="1283" spans="1:8" ht="15" customHeight="1">
      <c r="A1283" s="5">
        <v>1281</v>
      </c>
      <c r="B1283" s="6" t="str">
        <f>"高腾飞"</f>
        <v>高腾飞</v>
      </c>
      <c r="C1283" s="6" t="str">
        <f aca="true" t="shared" si="675" ref="C1283:C1286">"男"</f>
        <v>男</v>
      </c>
      <c r="D1283" s="6" t="str">
        <f>"1997-08-10"</f>
        <v>1997-08-10</v>
      </c>
      <c r="E1283" s="6" t="str">
        <f aca="true" t="shared" si="676" ref="E1283:E1286">"大学本科"</f>
        <v>大学本科</v>
      </c>
      <c r="F1283" s="6" t="str">
        <f>"工学学士"</f>
        <v>工学学士</v>
      </c>
      <c r="G1283" s="6" t="str">
        <f>"土木工程（房屋建筑方向）"</f>
        <v>土木工程（房屋建筑方向）</v>
      </c>
      <c r="H1283" s="7" t="s">
        <v>9</v>
      </c>
    </row>
    <row r="1284" spans="1:8" ht="15" customHeight="1">
      <c r="A1284" s="5">
        <v>1282</v>
      </c>
      <c r="B1284" s="6" t="str">
        <f>"王敏"</f>
        <v>王敏</v>
      </c>
      <c r="C1284" s="6" t="str">
        <f aca="true" t="shared" si="677" ref="C1284:C1291">"女"</f>
        <v>女</v>
      </c>
      <c r="D1284" s="6" t="str">
        <f>"1988-03-26"</f>
        <v>1988-03-26</v>
      </c>
      <c r="E1284" s="6" t="str">
        <f>"本科"</f>
        <v>本科</v>
      </c>
      <c r="F1284" s="6" t="str">
        <f>"管理学士学位"</f>
        <v>管理学士学位</v>
      </c>
      <c r="G1284" s="6" t="str">
        <f>"会计学"</f>
        <v>会计学</v>
      </c>
      <c r="H1284" s="7" t="s">
        <v>9</v>
      </c>
    </row>
    <row r="1285" spans="1:8" ht="15" customHeight="1">
      <c r="A1285" s="5">
        <v>1283</v>
      </c>
      <c r="B1285" s="6" t="str">
        <f>"赵韦全"</f>
        <v>赵韦全</v>
      </c>
      <c r="C1285" s="6" t="str">
        <f t="shared" si="675"/>
        <v>男</v>
      </c>
      <c r="D1285" s="6" t="str">
        <f>"1995-12-15"</f>
        <v>1995-12-15</v>
      </c>
      <c r="E1285" s="6" t="str">
        <f t="shared" si="676"/>
        <v>大学本科</v>
      </c>
      <c r="F1285" s="6" t="str">
        <f>"管理学学士学位"</f>
        <v>管理学学士学位</v>
      </c>
      <c r="G1285" s="6" t="str">
        <f t="shared" si="674"/>
        <v>旅游管理</v>
      </c>
      <c r="H1285" s="7" t="s">
        <v>9</v>
      </c>
    </row>
    <row r="1286" spans="1:8" ht="15" customHeight="1">
      <c r="A1286" s="5">
        <v>1284</v>
      </c>
      <c r="B1286" s="6" t="str">
        <f>"陈奕埔"</f>
        <v>陈奕埔</v>
      </c>
      <c r="C1286" s="6" t="str">
        <f t="shared" si="675"/>
        <v>男</v>
      </c>
      <c r="D1286" s="6" t="str">
        <f>"1994-10-05"</f>
        <v>1994-10-05</v>
      </c>
      <c r="E1286" s="6" t="str">
        <f t="shared" si="676"/>
        <v>大学本科</v>
      </c>
      <c r="F1286" s="6" t="str">
        <f aca="true" t="shared" si="678" ref="F1286:F1291">"管理学学士"</f>
        <v>管理学学士</v>
      </c>
      <c r="G1286" s="6" t="str">
        <f t="shared" si="674"/>
        <v>旅游管理</v>
      </c>
      <c r="H1286" s="7" t="s">
        <v>9</v>
      </c>
    </row>
    <row r="1287" spans="1:8" ht="15" customHeight="1">
      <c r="A1287" s="5">
        <v>1285</v>
      </c>
      <c r="B1287" s="6" t="str">
        <f>"吴佳茹"</f>
        <v>吴佳茹</v>
      </c>
      <c r="C1287" s="6" t="str">
        <f t="shared" si="677"/>
        <v>女</v>
      </c>
      <c r="D1287" s="6" t="str">
        <f>"1995-01-16"</f>
        <v>1995-01-16</v>
      </c>
      <c r="E1287" s="6" t="str">
        <f>"大学本科学历"</f>
        <v>大学本科学历</v>
      </c>
      <c r="F1287" s="6" t="str">
        <f>"工学学士"</f>
        <v>工学学士</v>
      </c>
      <c r="G1287" s="6" t="str">
        <f>"环境工程"</f>
        <v>环境工程</v>
      </c>
      <c r="H1287" s="7" t="s">
        <v>9</v>
      </c>
    </row>
    <row r="1288" spans="1:8" ht="15" customHeight="1">
      <c r="A1288" s="5">
        <v>1286</v>
      </c>
      <c r="B1288" s="6" t="str">
        <f>"陈俊锦"</f>
        <v>陈俊锦</v>
      </c>
      <c r="C1288" s="6" t="str">
        <f aca="true" t="shared" si="679" ref="C1288:C1295">"男"</f>
        <v>男</v>
      </c>
      <c r="D1288" s="6" t="str">
        <f>"1995-11-04"</f>
        <v>1995-11-04</v>
      </c>
      <c r="E1288" s="6" t="str">
        <f>"全日制本科"</f>
        <v>全日制本科</v>
      </c>
      <c r="F1288" s="6" t="str">
        <f>"理学学士"</f>
        <v>理学学士</v>
      </c>
      <c r="G1288" s="6" t="str">
        <f>"环境科学"</f>
        <v>环境科学</v>
      </c>
      <c r="H1288" s="7" t="s">
        <v>9</v>
      </c>
    </row>
    <row r="1289" spans="1:8" ht="15" customHeight="1">
      <c r="A1289" s="5">
        <v>1287</v>
      </c>
      <c r="B1289" s="6" t="str">
        <f>"李晓萱"</f>
        <v>李晓萱</v>
      </c>
      <c r="C1289" s="6" t="str">
        <f t="shared" si="677"/>
        <v>女</v>
      </c>
      <c r="D1289" s="6" t="str">
        <f>"1998-11-05"</f>
        <v>1998-11-05</v>
      </c>
      <c r="E1289" s="6" t="str">
        <f aca="true" t="shared" si="680" ref="E1289:E1292">"本科"</f>
        <v>本科</v>
      </c>
      <c r="F1289" s="6" t="str">
        <f t="shared" si="678"/>
        <v>管理学学士</v>
      </c>
      <c r="G1289" s="6" t="str">
        <f>"会计学"</f>
        <v>会计学</v>
      </c>
      <c r="H1289" s="7" t="s">
        <v>9</v>
      </c>
    </row>
    <row r="1290" spans="1:8" ht="15" customHeight="1">
      <c r="A1290" s="5">
        <v>1288</v>
      </c>
      <c r="B1290" s="6" t="str">
        <f>"彭子芳"</f>
        <v>彭子芳</v>
      </c>
      <c r="C1290" s="6" t="str">
        <f t="shared" si="677"/>
        <v>女</v>
      </c>
      <c r="D1290" s="6" t="str">
        <f>"1996-01-17"</f>
        <v>1996-01-17</v>
      </c>
      <c r="E1290" s="6" t="str">
        <f t="shared" si="680"/>
        <v>本科</v>
      </c>
      <c r="F1290" s="6" t="str">
        <f>"工学学士"</f>
        <v>工学学士</v>
      </c>
      <c r="G1290" s="6" t="str">
        <f>"土木工程（地铁及轨道工程）"</f>
        <v>土木工程（地铁及轨道工程）</v>
      </c>
      <c r="H1290" s="7" t="s">
        <v>9</v>
      </c>
    </row>
    <row r="1291" spans="1:8" ht="15" customHeight="1">
      <c r="A1291" s="5">
        <v>1289</v>
      </c>
      <c r="B1291" s="6" t="str">
        <f>"魏胤"</f>
        <v>魏胤</v>
      </c>
      <c r="C1291" s="6" t="str">
        <f t="shared" si="677"/>
        <v>女</v>
      </c>
      <c r="D1291" s="6" t="str">
        <f>"1995-03-26"</f>
        <v>1995-03-26</v>
      </c>
      <c r="E1291" s="6" t="str">
        <f>"大学本科"</f>
        <v>大学本科</v>
      </c>
      <c r="F1291" s="6" t="str">
        <f t="shared" si="678"/>
        <v>管理学学士</v>
      </c>
      <c r="G1291" s="6" t="str">
        <f>"会计学"</f>
        <v>会计学</v>
      </c>
      <c r="H1291" s="7" t="s">
        <v>9</v>
      </c>
    </row>
    <row r="1292" spans="1:8" ht="15" customHeight="1">
      <c r="A1292" s="5">
        <v>1290</v>
      </c>
      <c r="B1292" s="6" t="str">
        <f>"苏贵超"</f>
        <v>苏贵超</v>
      </c>
      <c r="C1292" s="6" t="str">
        <f t="shared" si="679"/>
        <v>男</v>
      </c>
      <c r="D1292" s="6" t="str">
        <f>"1993-08-07"</f>
        <v>1993-08-07</v>
      </c>
      <c r="E1292" s="6" t="str">
        <f t="shared" si="680"/>
        <v>本科</v>
      </c>
      <c r="F1292" s="6" t="str">
        <f aca="true" t="shared" si="681" ref="F1292:F1297">"学士"</f>
        <v>学士</v>
      </c>
      <c r="G1292" s="6" t="str">
        <f>"土木工程"</f>
        <v>土木工程</v>
      </c>
      <c r="H1292" s="7" t="s">
        <v>9</v>
      </c>
    </row>
    <row r="1293" spans="1:8" ht="15" customHeight="1">
      <c r="A1293" s="5">
        <v>1291</v>
      </c>
      <c r="B1293" s="6" t="str">
        <f>"张强"</f>
        <v>张强</v>
      </c>
      <c r="C1293" s="6" t="str">
        <f t="shared" si="679"/>
        <v>男</v>
      </c>
      <c r="D1293" s="6" t="str">
        <f>"1992-06-03"</f>
        <v>1992-06-03</v>
      </c>
      <c r="E1293" s="6" t="str">
        <f>"大学本科"</f>
        <v>大学本科</v>
      </c>
      <c r="F1293" s="6" t="str">
        <f>"农学学士"</f>
        <v>农学学士</v>
      </c>
      <c r="G1293" s="6" t="str">
        <f>"农学"</f>
        <v>农学</v>
      </c>
      <c r="H1293" s="7" t="s">
        <v>9</v>
      </c>
    </row>
    <row r="1294" spans="1:8" ht="15" customHeight="1">
      <c r="A1294" s="5">
        <v>1292</v>
      </c>
      <c r="B1294" s="6" t="str">
        <f>"林志煌"</f>
        <v>林志煌</v>
      </c>
      <c r="C1294" s="6" t="str">
        <f t="shared" si="679"/>
        <v>男</v>
      </c>
      <c r="D1294" s="6" t="str">
        <f>"1988-05-25"</f>
        <v>1988-05-25</v>
      </c>
      <c r="E1294" s="6" t="str">
        <f aca="true" t="shared" si="682" ref="E1294:E1297">"本科"</f>
        <v>本科</v>
      </c>
      <c r="F1294" s="6" t="str">
        <f>"工学学士"</f>
        <v>工学学士</v>
      </c>
      <c r="G1294" s="6" t="str">
        <f>"工程管理"</f>
        <v>工程管理</v>
      </c>
      <c r="H1294" s="7" t="s">
        <v>9</v>
      </c>
    </row>
    <row r="1295" spans="1:8" ht="15" customHeight="1">
      <c r="A1295" s="5">
        <v>1293</v>
      </c>
      <c r="B1295" s="6" t="str">
        <f>"符敏鹏"</f>
        <v>符敏鹏</v>
      </c>
      <c r="C1295" s="6" t="str">
        <f t="shared" si="679"/>
        <v>男</v>
      </c>
      <c r="D1295" s="6" t="str">
        <f>"1988-10-28"</f>
        <v>1988-10-28</v>
      </c>
      <c r="E1295" s="6" t="str">
        <f t="shared" si="682"/>
        <v>本科</v>
      </c>
      <c r="F1295" s="6" t="str">
        <f t="shared" si="681"/>
        <v>学士</v>
      </c>
      <c r="G1295" s="6" t="str">
        <f>"市场营销"</f>
        <v>市场营销</v>
      </c>
      <c r="H1295" s="7" t="s">
        <v>9</v>
      </c>
    </row>
    <row r="1296" spans="1:8" ht="15" customHeight="1">
      <c r="A1296" s="5">
        <v>1294</v>
      </c>
      <c r="B1296" s="6" t="str">
        <f>"王康锦"</f>
        <v>王康锦</v>
      </c>
      <c r="C1296" s="6" t="str">
        <f aca="true" t="shared" si="683" ref="C1296:C1300">"女"</f>
        <v>女</v>
      </c>
      <c r="D1296" s="6" t="str">
        <f>"1998-11-14"</f>
        <v>1998-11-14</v>
      </c>
      <c r="E1296" s="6" t="str">
        <f>"大学本科学历"</f>
        <v>大学本科学历</v>
      </c>
      <c r="F1296" s="6" t="str">
        <f aca="true" t="shared" si="684" ref="F1296:F1299">"管理学学士"</f>
        <v>管理学学士</v>
      </c>
      <c r="G1296" s="6" t="str">
        <f>"会计学"</f>
        <v>会计学</v>
      </c>
      <c r="H1296" s="7" t="s">
        <v>9</v>
      </c>
    </row>
    <row r="1297" spans="1:8" ht="15" customHeight="1">
      <c r="A1297" s="5">
        <v>1295</v>
      </c>
      <c r="B1297" s="6" t="str">
        <f>"赵鹏"</f>
        <v>赵鹏</v>
      </c>
      <c r="C1297" s="6" t="str">
        <f aca="true" t="shared" si="685" ref="C1297:C1301">"男"</f>
        <v>男</v>
      </c>
      <c r="D1297" s="6" t="str">
        <f>"2000-04-11"</f>
        <v>2000-04-11</v>
      </c>
      <c r="E1297" s="6" t="str">
        <f t="shared" si="682"/>
        <v>本科</v>
      </c>
      <c r="F1297" s="6" t="str">
        <f t="shared" si="681"/>
        <v>学士</v>
      </c>
      <c r="G1297" s="6" t="str">
        <f>"植物保护（农药与农产品安全方向）"</f>
        <v>植物保护（农药与农产品安全方向）</v>
      </c>
      <c r="H1297" s="7" t="s">
        <v>9</v>
      </c>
    </row>
    <row r="1298" spans="1:8" ht="15" customHeight="1">
      <c r="A1298" s="5">
        <v>1296</v>
      </c>
      <c r="B1298" s="6" t="str">
        <f>"王和利"</f>
        <v>王和利</v>
      </c>
      <c r="C1298" s="6" t="str">
        <f t="shared" si="685"/>
        <v>男</v>
      </c>
      <c r="D1298" s="6" t="str">
        <f>"1998-02-10"</f>
        <v>1998-02-10</v>
      </c>
      <c r="E1298" s="6" t="str">
        <f>"大学本科"</f>
        <v>大学本科</v>
      </c>
      <c r="F1298" s="6" t="str">
        <f t="shared" si="684"/>
        <v>管理学学士</v>
      </c>
      <c r="G1298" s="6" t="str">
        <f>"物流管理"</f>
        <v>物流管理</v>
      </c>
      <c r="H1298" s="7" t="s">
        <v>9</v>
      </c>
    </row>
    <row r="1299" spans="1:8" ht="15" customHeight="1">
      <c r="A1299" s="5">
        <v>1297</v>
      </c>
      <c r="B1299" s="6" t="str">
        <f>"郭王海"</f>
        <v>郭王海</v>
      </c>
      <c r="C1299" s="6" t="str">
        <f t="shared" si="683"/>
        <v>女</v>
      </c>
      <c r="D1299" s="6" t="str">
        <f>"1990-08-01"</f>
        <v>1990-08-01</v>
      </c>
      <c r="E1299" s="6" t="str">
        <f aca="true" t="shared" si="686" ref="E1299:E1301">"本科"</f>
        <v>本科</v>
      </c>
      <c r="F1299" s="6" t="str">
        <f t="shared" si="684"/>
        <v>管理学学士</v>
      </c>
      <c r="G1299" s="6" t="str">
        <f>"人力资源管理"</f>
        <v>人力资源管理</v>
      </c>
      <c r="H1299" s="7" t="s">
        <v>9</v>
      </c>
    </row>
    <row r="1300" spans="1:8" ht="15" customHeight="1">
      <c r="A1300" s="5">
        <v>1298</v>
      </c>
      <c r="B1300" s="6" t="str">
        <f>"王婷"</f>
        <v>王婷</v>
      </c>
      <c r="C1300" s="6" t="str">
        <f t="shared" si="683"/>
        <v>女</v>
      </c>
      <c r="D1300" s="6" t="str">
        <f>"1999-02-16"</f>
        <v>1999-02-16</v>
      </c>
      <c r="E1300" s="6" t="str">
        <f t="shared" si="686"/>
        <v>本科</v>
      </c>
      <c r="F1300" s="6" t="str">
        <f>"工学学士"</f>
        <v>工学学士</v>
      </c>
      <c r="G1300" s="6" t="str">
        <f>"环境工程"</f>
        <v>环境工程</v>
      </c>
      <c r="H1300" s="7" t="s">
        <v>9</v>
      </c>
    </row>
    <row r="1301" spans="1:8" ht="15" customHeight="1">
      <c r="A1301" s="5">
        <v>1299</v>
      </c>
      <c r="B1301" s="6" t="str">
        <f>"黄丰光"</f>
        <v>黄丰光</v>
      </c>
      <c r="C1301" s="6" t="str">
        <f t="shared" si="685"/>
        <v>男</v>
      </c>
      <c r="D1301" s="6" t="str">
        <f>"1991-12-01"</f>
        <v>1991-12-01</v>
      </c>
      <c r="E1301" s="6" t="str">
        <f t="shared" si="686"/>
        <v>本科</v>
      </c>
      <c r="F1301" s="6" t="str">
        <f>"工学学士"</f>
        <v>工学学士</v>
      </c>
      <c r="G1301" s="6" t="str">
        <f>"土木工程（建筑工程方向）"</f>
        <v>土木工程（建筑工程方向）</v>
      </c>
      <c r="H1301" s="7" t="s">
        <v>9</v>
      </c>
    </row>
    <row r="1302" spans="1:8" ht="15" customHeight="1">
      <c r="A1302" s="5">
        <v>1300</v>
      </c>
      <c r="B1302" s="6" t="str">
        <f>"曾盈"</f>
        <v>曾盈</v>
      </c>
      <c r="C1302" s="6" t="str">
        <f aca="true" t="shared" si="687" ref="C1302:C1309">"女"</f>
        <v>女</v>
      </c>
      <c r="D1302" s="6" t="str">
        <f>"1998-08-21"</f>
        <v>1998-08-21</v>
      </c>
      <c r="E1302" s="6" t="str">
        <f>"大学本科"</f>
        <v>大学本科</v>
      </c>
      <c r="F1302" s="6" t="str">
        <f aca="true" t="shared" si="688" ref="F1302:F1306">"管理学学士"</f>
        <v>管理学学士</v>
      </c>
      <c r="G1302" s="6" t="str">
        <f>"工程造价"</f>
        <v>工程造价</v>
      </c>
      <c r="H1302" s="7" t="s">
        <v>9</v>
      </c>
    </row>
    <row r="1303" spans="1:8" ht="15" customHeight="1">
      <c r="A1303" s="5">
        <v>1301</v>
      </c>
      <c r="B1303" s="6" t="str">
        <f>"杨丽芳"</f>
        <v>杨丽芳</v>
      </c>
      <c r="C1303" s="6" t="str">
        <f t="shared" si="687"/>
        <v>女</v>
      </c>
      <c r="D1303" s="6" t="str">
        <f>"1996-03-03"</f>
        <v>1996-03-03</v>
      </c>
      <c r="E1303" s="6" t="str">
        <f>"大学本科学历"</f>
        <v>大学本科学历</v>
      </c>
      <c r="F1303" s="6" t="str">
        <f t="shared" si="688"/>
        <v>管理学学士</v>
      </c>
      <c r="G1303" s="6" t="str">
        <f>"物流管理"</f>
        <v>物流管理</v>
      </c>
      <c r="H1303" s="7" t="s">
        <v>9</v>
      </c>
    </row>
    <row r="1304" spans="1:8" ht="15" customHeight="1">
      <c r="A1304" s="5">
        <v>1302</v>
      </c>
      <c r="B1304" s="6" t="str">
        <f>"张朝金"</f>
        <v>张朝金</v>
      </c>
      <c r="C1304" s="6" t="str">
        <f t="shared" si="687"/>
        <v>女</v>
      </c>
      <c r="D1304" s="6" t="str">
        <f>"1996-02-21"</f>
        <v>1996-02-21</v>
      </c>
      <c r="E1304" s="6" t="str">
        <f>"全日制本科"</f>
        <v>全日制本科</v>
      </c>
      <c r="F1304" s="6" t="str">
        <f t="shared" si="688"/>
        <v>管理学学士</v>
      </c>
      <c r="G1304" s="6" t="str">
        <f>"物流管理"</f>
        <v>物流管理</v>
      </c>
      <c r="H1304" s="7" t="s">
        <v>9</v>
      </c>
    </row>
    <row r="1305" spans="1:8" ht="15" customHeight="1">
      <c r="A1305" s="5">
        <v>1303</v>
      </c>
      <c r="B1305" s="6" t="str">
        <f>"潘琳"</f>
        <v>潘琳</v>
      </c>
      <c r="C1305" s="6" t="str">
        <f t="shared" si="687"/>
        <v>女</v>
      </c>
      <c r="D1305" s="6" t="str">
        <f>"1999-11-10"</f>
        <v>1999-11-10</v>
      </c>
      <c r="E1305" s="6" t="str">
        <f aca="true" t="shared" si="689" ref="E1305:E1309">"本科"</f>
        <v>本科</v>
      </c>
      <c r="F1305" s="6" t="str">
        <f t="shared" si="688"/>
        <v>管理学学士</v>
      </c>
      <c r="G1305" s="6" t="str">
        <f>"工程造价"</f>
        <v>工程造价</v>
      </c>
      <c r="H1305" s="7" t="s">
        <v>9</v>
      </c>
    </row>
    <row r="1306" spans="1:8" ht="15" customHeight="1">
      <c r="A1306" s="5">
        <v>1304</v>
      </c>
      <c r="B1306" s="6" t="str">
        <f>"陈佳俏"</f>
        <v>陈佳俏</v>
      </c>
      <c r="C1306" s="6" t="str">
        <f t="shared" si="687"/>
        <v>女</v>
      </c>
      <c r="D1306" s="6" t="str">
        <f>"1994-09-27"</f>
        <v>1994-09-27</v>
      </c>
      <c r="E1306" s="6" t="str">
        <f>"大学本科"</f>
        <v>大学本科</v>
      </c>
      <c r="F1306" s="6" t="str">
        <f t="shared" si="688"/>
        <v>管理学学士</v>
      </c>
      <c r="G1306" s="6" t="str">
        <f>"旅游管理（旅游策划）"</f>
        <v>旅游管理（旅游策划）</v>
      </c>
      <c r="H1306" s="7" t="s">
        <v>9</v>
      </c>
    </row>
    <row r="1307" spans="1:8" ht="15" customHeight="1">
      <c r="A1307" s="5">
        <v>1305</v>
      </c>
      <c r="B1307" s="6" t="str">
        <f>"谭烨琳"</f>
        <v>谭烨琳</v>
      </c>
      <c r="C1307" s="6" t="str">
        <f t="shared" si="687"/>
        <v>女</v>
      </c>
      <c r="D1307" s="6" t="str">
        <f>"2000-12-24"</f>
        <v>2000-12-24</v>
      </c>
      <c r="E1307" s="6" t="str">
        <f>"大学本科学历"</f>
        <v>大学本科学历</v>
      </c>
      <c r="F1307" s="6" t="str">
        <f aca="true" t="shared" si="690" ref="F1307:F1313">"工学学士"</f>
        <v>工学学士</v>
      </c>
      <c r="G1307" s="6" t="str">
        <f>"物联网工程"</f>
        <v>物联网工程</v>
      </c>
      <c r="H1307" s="7" t="s">
        <v>9</v>
      </c>
    </row>
    <row r="1308" spans="1:8" ht="15" customHeight="1">
      <c r="A1308" s="5">
        <v>1306</v>
      </c>
      <c r="B1308" s="6" t="str">
        <f>"梁丹妮"</f>
        <v>梁丹妮</v>
      </c>
      <c r="C1308" s="6" t="str">
        <f t="shared" si="687"/>
        <v>女</v>
      </c>
      <c r="D1308" s="6" t="str">
        <f>"1994-02-26"</f>
        <v>1994-02-26</v>
      </c>
      <c r="E1308" s="6" t="str">
        <f t="shared" si="689"/>
        <v>本科</v>
      </c>
      <c r="F1308" s="6" t="str">
        <f>"文学学士"</f>
        <v>文学学士</v>
      </c>
      <c r="G1308" s="6" t="str">
        <f>"汉语言文学"</f>
        <v>汉语言文学</v>
      </c>
      <c r="H1308" s="7" t="s">
        <v>9</v>
      </c>
    </row>
    <row r="1309" spans="1:8" ht="15" customHeight="1">
      <c r="A1309" s="5">
        <v>1307</v>
      </c>
      <c r="B1309" s="6" t="str">
        <f>"简晶晶"</f>
        <v>简晶晶</v>
      </c>
      <c r="C1309" s="6" t="str">
        <f t="shared" si="687"/>
        <v>女</v>
      </c>
      <c r="D1309" s="6" t="str">
        <f>"1991-09-15"</f>
        <v>1991-09-15</v>
      </c>
      <c r="E1309" s="6" t="str">
        <f t="shared" si="689"/>
        <v>本科</v>
      </c>
      <c r="F1309" s="6" t="str">
        <f>"经济学学士"</f>
        <v>经济学学士</v>
      </c>
      <c r="G1309" s="6" t="str">
        <f>"国际经济与贸易"</f>
        <v>国际经济与贸易</v>
      </c>
      <c r="H1309" s="7" t="s">
        <v>9</v>
      </c>
    </row>
    <row r="1310" spans="1:8" ht="15" customHeight="1">
      <c r="A1310" s="5">
        <v>1308</v>
      </c>
      <c r="B1310" s="6" t="str">
        <f>"陶昌立"</f>
        <v>陶昌立</v>
      </c>
      <c r="C1310" s="6" t="str">
        <f>"男"</f>
        <v>男</v>
      </c>
      <c r="D1310" s="6" t="str">
        <f>"1998-07-06"</f>
        <v>1998-07-06</v>
      </c>
      <c r="E1310" s="6" t="str">
        <f>"大学本科"</f>
        <v>大学本科</v>
      </c>
      <c r="F1310" s="6" t="str">
        <f t="shared" si="690"/>
        <v>工学学士</v>
      </c>
      <c r="G1310" s="6" t="str">
        <f>"土木工程（道路桥梁方向）"</f>
        <v>土木工程（道路桥梁方向）</v>
      </c>
      <c r="H1310" s="7" t="s">
        <v>9</v>
      </c>
    </row>
    <row r="1311" spans="1:8" ht="15" customHeight="1">
      <c r="A1311" s="5">
        <v>1309</v>
      </c>
      <c r="B1311" s="6" t="str">
        <f>"汤可芳"</f>
        <v>汤可芳</v>
      </c>
      <c r="C1311" s="6" t="str">
        <f aca="true" t="shared" si="691" ref="C1311:C1315">"女"</f>
        <v>女</v>
      </c>
      <c r="D1311" s="6" t="str">
        <f>"1994-05-02"</f>
        <v>1994-05-02</v>
      </c>
      <c r="E1311" s="6" t="str">
        <f aca="true" t="shared" si="692" ref="E1311:E1315">"本科"</f>
        <v>本科</v>
      </c>
      <c r="F1311" s="6" t="str">
        <f>"管理学学士"</f>
        <v>管理学学士</v>
      </c>
      <c r="G1311" s="6" t="str">
        <f>"工程管理"</f>
        <v>工程管理</v>
      </c>
      <c r="H1311" s="7" t="s">
        <v>9</v>
      </c>
    </row>
    <row r="1312" spans="1:8" ht="15" customHeight="1">
      <c r="A1312" s="5">
        <v>1310</v>
      </c>
      <c r="B1312" s="6" t="str">
        <f>"王敏"</f>
        <v>王敏</v>
      </c>
      <c r="C1312" s="6" t="str">
        <f t="shared" si="691"/>
        <v>女</v>
      </c>
      <c r="D1312" s="6" t="str">
        <f>"1994-04-18"</f>
        <v>1994-04-18</v>
      </c>
      <c r="E1312" s="6" t="str">
        <f t="shared" si="692"/>
        <v>本科</v>
      </c>
      <c r="F1312" s="6" t="str">
        <f t="shared" si="690"/>
        <v>工学学士</v>
      </c>
      <c r="G1312" s="6" t="str">
        <f>"计算机科学与技术（软件服务外包）"</f>
        <v>计算机科学与技术（软件服务外包）</v>
      </c>
      <c r="H1312" s="7" t="s">
        <v>9</v>
      </c>
    </row>
    <row r="1313" spans="1:8" ht="15" customHeight="1">
      <c r="A1313" s="5">
        <v>1311</v>
      </c>
      <c r="B1313" s="6" t="str">
        <f>"吴多炳"</f>
        <v>吴多炳</v>
      </c>
      <c r="C1313" s="6" t="str">
        <f aca="true" t="shared" si="693" ref="C1313:C1319">"男"</f>
        <v>男</v>
      </c>
      <c r="D1313" s="6" t="str">
        <f>"1994-12-10"</f>
        <v>1994-12-10</v>
      </c>
      <c r="E1313" s="6" t="str">
        <f>"全日制本科"</f>
        <v>全日制本科</v>
      </c>
      <c r="F1313" s="6" t="str">
        <f t="shared" si="690"/>
        <v>工学学士</v>
      </c>
      <c r="G1313" s="6" t="str">
        <f>"网络工程"</f>
        <v>网络工程</v>
      </c>
      <c r="H1313" s="7" t="s">
        <v>9</v>
      </c>
    </row>
    <row r="1314" spans="1:8" ht="15" customHeight="1">
      <c r="A1314" s="5">
        <v>1312</v>
      </c>
      <c r="B1314" s="6" t="str">
        <f>"符志青"</f>
        <v>符志青</v>
      </c>
      <c r="C1314" s="6" t="str">
        <f t="shared" si="691"/>
        <v>女</v>
      </c>
      <c r="D1314" s="6" t="str">
        <f>"2000-09-28"</f>
        <v>2000-09-28</v>
      </c>
      <c r="E1314" s="6" t="str">
        <f t="shared" si="692"/>
        <v>本科</v>
      </c>
      <c r="F1314" s="6" t="str">
        <f>"管理学学士"</f>
        <v>管理学学士</v>
      </c>
      <c r="G1314" s="6" t="str">
        <f>"行政管理（行政文秘方向）"</f>
        <v>行政管理（行政文秘方向）</v>
      </c>
      <c r="H1314" s="7" t="s">
        <v>9</v>
      </c>
    </row>
    <row r="1315" spans="1:8" ht="15" customHeight="1">
      <c r="A1315" s="5">
        <v>1313</v>
      </c>
      <c r="B1315" s="6" t="str">
        <f>"曾瑞琦"</f>
        <v>曾瑞琦</v>
      </c>
      <c r="C1315" s="6" t="str">
        <f t="shared" si="691"/>
        <v>女</v>
      </c>
      <c r="D1315" s="6" t="str">
        <f>"1997-09-07"</f>
        <v>1997-09-07</v>
      </c>
      <c r="E1315" s="6" t="str">
        <f t="shared" si="692"/>
        <v>本科</v>
      </c>
      <c r="F1315" s="6" t="str">
        <f>"学士"</f>
        <v>学士</v>
      </c>
      <c r="G1315" s="6" t="str">
        <f>"财务管理"</f>
        <v>财务管理</v>
      </c>
      <c r="H1315" s="7" t="s">
        <v>9</v>
      </c>
    </row>
    <row r="1316" spans="1:8" ht="15" customHeight="1">
      <c r="A1316" s="5">
        <v>1314</v>
      </c>
      <c r="B1316" s="6" t="str">
        <f>"邢嘉仁"</f>
        <v>邢嘉仁</v>
      </c>
      <c r="C1316" s="6" t="str">
        <f t="shared" si="693"/>
        <v>男</v>
      </c>
      <c r="D1316" s="6" t="str">
        <f>"1997-12-08"</f>
        <v>1997-12-08</v>
      </c>
      <c r="E1316" s="6" t="str">
        <f>"大学本科"</f>
        <v>大学本科</v>
      </c>
      <c r="F1316" s="6" t="str">
        <f aca="true" t="shared" si="694" ref="F1316:F1321">"工学学士"</f>
        <v>工学学士</v>
      </c>
      <c r="G1316" s="6" t="str">
        <f>"土木工程"</f>
        <v>土木工程</v>
      </c>
      <c r="H1316" s="7" t="s">
        <v>9</v>
      </c>
    </row>
    <row r="1317" spans="1:8" ht="15" customHeight="1">
      <c r="A1317" s="5">
        <v>1315</v>
      </c>
      <c r="B1317" s="6" t="str">
        <f>"周瑞云"</f>
        <v>周瑞云</v>
      </c>
      <c r="C1317" s="6" t="str">
        <f aca="true" t="shared" si="695" ref="C1317:C1321">"女"</f>
        <v>女</v>
      </c>
      <c r="D1317" s="6" t="str">
        <f>"1995-06-30"</f>
        <v>1995-06-30</v>
      </c>
      <c r="E1317" s="6" t="str">
        <f>"大学本科"</f>
        <v>大学本科</v>
      </c>
      <c r="F1317" s="6" t="str">
        <f>"理学学士"</f>
        <v>理学学士</v>
      </c>
      <c r="G1317" s="6" t="str">
        <f>"环境科学"</f>
        <v>环境科学</v>
      </c>
      <c r="H1317" s="7" t="s">
        <v>9</v>
      </c>
    </row>
    <row r="1318" spans="1:8" ht="15" customHeight="1">
      <c r="A1318" s="5">
        <v>1316</v>
      </c>
      <c r="B1318" s="6" t="str">
        <f>"黎石王"</f>
        <v>黎石王</v>
      </c>
      <c r="C1318" s="6" t="str">
        <f t="shared" si="693"/>
        <v>男</v>
      </c>
      <c r="D1318" s="6" t="str">
        <f>"1988-01-19"</f>
        <v>1988-01-19</v>
      </c>
      <c r="E1318" s="6" t="str">
        <f aca="true" t="shared" si="696" ref="E1318:E1324">"本科"</f>
        <v>本科</v>
      </c>
      <c r="F1318" s="6" t="str">
        <f t="shared" si="694"/>
        <v>工学学士</v>
      </c>
      <c r="G1318" s="6" t="str">
        <f>"土木工程"</f>
        <v>土木工程</v>
      </c>
      <c r="H1318" s="7" t="s">
        <v>9</v>
      </c>
    </row>
    <row r="1319" spans="1:8" ht="15" customHeight="1">
      <c r="A1319" s="5">
        <v>1317</v>
      </c>
      <c r="B1319" s="6" t="str">
        <f>"谭庆如"</f>
        <v>谭庆如</v>
      </c>
      <c r="C1319" s="6" t="str">
        <f t="shared" si="693"/>
        <v>男</v>
      </c>
      <c r="D1319" s="6" t="str">
        <f>"1996-08-07"</f>
        <v>1996-08-07</v>
      </c>
      <c r="E1319" s="6" t="str">
        <f t="shared" si="696"/>
        <v>本科</v>
      </c>
      <c r="F1319" s="6" t="str">
        <f>"工科学士"</f>
        <v>工科学士</v>
      </c>
      <c r="G1319" s="6" t="str">
        <f>"建筑环境与能源应用工程"</f>
        <v>建筑环境与能源应用工程</v>
      </c>
      <c r="H1319" s="7" t="s">
        <v>9</v>
      </c>
    </row>
    <row r="1320" spans="1:8" ht="15" customHeight="1">
      <c r="A1320" s="5">
        <v>1318</v>
      </c>
      <c r="B1320" s="6" t="str">
        <f>"农丽圆"</f>
        <v>农丽圆</v>
      </c>
      <c r="C1320" s="6" t="str">
        <f t="shared" si="695"/>
        <v>女</v>
      </c>
      <c r="D1320" s="6" t="str">
        <f>"1993-01-08"</f>
        <v>1993-01-08</v>
      </c>
      <c r="E1320" s="6" t="str">
        <f t="shared" si="696"/>
        <v>本科</v>
      </c>
      <c r="F1320" s="6" t="str">
        <f>"管理学学位"</f>
        <v>管理学学位</v>
      </c>
      <c r="G1320" s="6" t="str">
        <f>"旅游管理"</f>
        <v>旅游管理</v>
      </c>
      <c r="H1320" s="7" t="s">
        <v>9</v>
      </c>
    </row>
    <row r="1321" spans="1:8" ht="15" customHeight="1">
      <c r="A1321" s="5">
        <v>1319</v>
      </c>
      <c r="B1321" s="6" t="str">
        <f>"崔媛"</f>
        <v>崔媛</v>
      </c>
      <c r="C1321" s="6" t="str">
        <f t="shared" si="695"/>
        <v>女</v>
      </c>
      <c r="D1321" s="6" t="str">
        <f>"1998-02-26"</f>
        <v>1998-02-26</v>
      </c>
      <c r="E1321" s="6" t="str">
        <f t="shared" si="696"/>
        <v>本科</v>
      </c>
      <c r="F1321" s="6" t="str">
        <f t="shared" si="694"/>
        <v>工学学士</v>
      </c>
      <c r="G1321" s="6" t="str">
        <f>"环境工程"</f>
        <v>环境工程</v>
      </c>
      <c r="H1321" s="7" t="s">
        <v>9</v>
      </c>
    </row>
    <row r="1322" spans="1:8" ht="15" customHeight="1">
      <c r="A1322" s="5">
        <v>1320</v>
      </c>
      <c r="B1322" s="6" t="str">
        <f>"吴宏健"</f>
        <v>吴宏健</v>
      </c>
      <c r="C1322" s="6" t="str">
        <f aca="true" t="shared" si="697" ref="C1322:C1329">"男"</f>
        <v>男</v>
      </c>
      <c r="D1322" s="6" t="str">
        <f>"1997-10-24"</f>
        <v>1997-10-24</v>
      </c>
      <c r="E1322" s="6" t="str">
        <f t="shared" si="696"/>
        <v>本科</v>
      </c>
      <c r="F1322" s="6" t="str">
        <f>"管理学生"</f>
        <v>管理学生</v>
      </c>
      <c r="G1322" s="6" t="str">
        <f>"工程管理"</f>
        <v>工程管理</v>
      </c>
      <c r="H1322" s="7" t="s">
        <v>9</v>
      </c>
    </row>
    <row r="1323" spans="1:8" ht="15" customHeight="1">
      <c r="A1323" s="5">
        <v>1321</v>
      </c>
      <c r="B1323" s="6" t="str">
        <f>"谭珠婷"</f>
        <v>谭珠婷</v>
      </c>
      <c r="C1323" s="6" t="str">
        <f>"女"</f>
        <v>女</v>
      </c>
      <c r="D1323" s="6" t="str">
        <f>"1989-10-19"</f>
        <v>1989-10-19</v>
      </c>
      <c r="E1323" s="6" t="str">
        <f t="shared" si="696"/>
        <v>本科</v>
      </c>
      <c r="F1323" s="6" t="str">
        <f>"管理学学士学位"</f>
        <v>管理学学士学位</v>
      </c>
      <c r="G1323" s="6" t="str">
        <f>"旅游管理专业"</f>
        <v>旅游管理专业</v>
      </c>
      <c r="H1323" s="7" t="s">
        <v>9</v>
      </c>
    </row>
    <row r="1324" spans="1:8" ht="15" customHeight="1">
      <c r="A1324" s="5">
        <v>1322</v>
      </c>
      <c r="B1324" s="6" t="str">
        <f>"何开甲"</f>
        <v>何开甲</v>
      </c>
      <c r="C1324" s="6" t="str">
        <f t="shared" si="697"/>
        <v>男</v>
      </c>
      <c r="D1324" s="6" t="str">
        <f>"1998-10-30"</f>
        <v>1998-10-30</v>
      </c>
      <c r="E1324" s="6" t="str">
        <f t="shared" si="696"/>
        <v>本科</v>
      </c>
      <c r="F1324" s="6" t="str">
        <f aca="true" t="shared" si="698" ref="F1324:F1329">"工学学士"</f>
        <v>工学学士</v>
      </c>
      <c r="G1324" s="6" t="str">
        <f>"土木工程"</f>
        <v>土木工程</v>
      </c>
      <c r="H1324" s="7" t="s">
        <v>9</v>
      </c>
    </row>
    <row r="1325" spans="1:8" ht="15" customHeight="1">
      <c r="A1325" s="5">
        <v>1323</v>
      </c>
      <c r="B1325" s="6" t="str">
        <f>"潘在梧"</f>
        <v>潘在梧</v>
      </c>
      <c r="C1325" s="6" t="str">
        <f t="shared" si="697"/>
        <v>男</v>
      </c>
      <c r="D1325" s="6" t="str">
        <f>"1996-10-21"</f>
        <v>1996-10-21</v>
      </c>
      <c r="E1325" s="6" t="str">
        <f>"大学本科"</f>
        <v>大学本科</v>
      </c>
      <c r="F1325" s="6" t="str">
        <f>"农学学士"</f>
        <v>农学学士</v>
      </c>
      <c r="G1325" s="6" t="str">
        <f>"园林"</f>
        <v>园林</v>
      </c>
      <c r="H1325" s="7" t="s">
        <v>9</v>
      </c>
    </row>
    <row r="1326" spans="1:8" ht="15" customHeight="1">
      <c r="A1326" s="5">
        <v>1324</v>
      </c>
      <c r="B1326" s="6" t="str">
        <f>"张鸿健"</f>
        <v>张鸿健</v>
      </c>
      <c r="C1326" s="6" t="str">
        <f t="shared" si="697"/>
        <v>男</v>
      </c>
      <c r="D1326" s="6" t="str">
        <f>"1993-12-08"</f>
        <v>1993-12-08</v>
      </c>
      <c r="E1326" s="6" t="str">
        <f>"大学本科学历"</f>
        <v>大学本科学历</v>
      </c>
      <c r="F1326" s="6" t="str">
        <f t="shared" si="698"/>
        <v>工学学士</v>
      </c>
      <c r="G1326" s="6" t="str">
        <f>"工业工程"</f>
        <v>工业工程</v>
      </c>
      <c r="H1326" s="7" t="s">
        <v>9</v>
      </c>
    </row>
    <row r="1327" spans="1:8" ht="15" customHeight="1">
      <c r="A1327" s="5">
        <v>1325</v>
      </c>
      <c r="B1327" s="6" t="str">
        <f>"彭德伟"</f>
        <v>彭德伟</v>
      </c>
      <c r="C1327" s="6" t="str">
        <f t="shared" si="697"/>
        <v>男</v>
      </c>
      <c r="D1327" s="6" t="str">
        <f>"1995-04-30"</f>
        <v>1995-04-30</v>
      </c>
      <c r="E1327" s="6" t="str">
        <f aca="true" t="shared" si="699" ref="E1327:E1333">"本科"</f>
        <v>本科</v>
      </c>
      <c r="F1327" s="6" t="str">
        <f>"学士"</f>
        <v>学士</v>
      </c>
      <c r="G1327" s="6" t="str">
        <f>"旅游管理"</f>
        <v>旅游管理</v>
      </c>
      <c r="H1327" s="7" t="s">
        <v>9</v>
      </c>
    </row>
    <row r="1328" spans="1:8" ht="15" customHeight="1">
      <c r="A1328" s="5">
        <v>1326</v>
      </c>
      <c r="B1328" s="6" t="str">
        <f>"吴博"</f>
        <v>吴博</v>
      </c>
      <c r="C1328" s="6" t="str">
        <f t="shared" si="697"/>
        <v>男</v>
      </c>
      <c r="D1328" s="6" t="str">
        <f>"1999-06-09"</f>
        <v>1999-06-09</v>
      </c>
      <c r="E1328" s="6" t="str">
        <f>"大学本科学历"</f>
        <v>大学本科学历</v>
      </c>
      <c r="F1328" s="6" t="str">
        <f>"管理学学士"</f>
        <v>管理学学士</v>
      </c>
      <c r="G1328" s="6" t="str">
        <f>"公共事业管理"</f>
        <v>公共事业管理</v>
      </c>
      <c r="H1328" s="7" t="s">
        <v>9</v>
      </c>
    </row>
    <row r="1329" spans="1:8" ht="15" customHeight="1">
      <c r="A1329" s="5">
        <v>1327</v>
      </c>
      <c r="B1329" s="6" t="str">
        <f>"吴明锦"</f>
        <v>吴明锦</v>
      </c>
      <c r="C1329" s="6" t="str">
        <f t="shared" si="697"/>
        <v>男</v>
      </c>
      <c r="D1329" s="6" t="str">
        <f>"1992-10-04"</f>
        <v>1992-10-04</v>
      </c>
      <c r="E1329" s="6" t="str">
        <f>"大学本科"</f>
        <v>大学本科</v>
      </c>
      <c r="F1329" s="6" t="str">
        <f t="shared" si="698"/>
        <v>工学学士</v>
      </c>
      <c r="G1329" s="6" t="str">
        <f>"计算机科学与技术"</f>
        <v>计算机科学与技术</v>
      </c>
      <c r="H1329" s="7" t="s">
        <v>9</v>
      </c>
    </row>
    <row r="1330" spans="1:8" ht="15" customHeight="1">
      <c r="A1330" s="5">
        <v>1328</v>
      </c>
      <c r="B1330" s="6" t="str">
        <f>"史青咪"</f>
        <v>史青咪</v>
      </c>
      <c r="C1330" s="6" t="str">
        <f aca="true" t="shared" si="700" ref="C1330:C1337">"女"</f>
        <v>女</v>
      </c>
      <c r="D1330" s="6" t="str">
        <f>"1991-11-26"</f>
        <v>1991-11-26</v>
      </c>
      <c r="E1330" s="6" t="str">
        <f t="shared" si="699"/>
        <v>本科</v>
      </c>
      <c r="F1330" s="6" t="str">
        <f>"农学学士"</f>
        <v>农学学士</v>
      </c>
      <c r="G1330" s="6" t="str">
        <f>"园艺"</f>
        <v>园艺</v>
      </c>
      <c r="H1330" s="7" t="s">
        <v>9</v>
      </c>
    </row>
    <row r="1331" spans="1:8" ht="15" customHeight="1">
      <c r="A1331" s="5">
        <v>1329</v>
      </c>
      <c r="B1331" s="6" t="str">
        <f>"陈莎冰"</f>
        <v>陈莎冰</v>
      </c>
      <c r="C1331" s="6" t="str">
        <f t="shared" si="700"/>
        <v>女</v>
      </c>
      <c r="D1331" s="6" t="str">
        <f>"1994-04-12"</f>
        <v>1994-04-12</v>
      </c>
      <c r="E1331" s="6" t="str">
        <f t="shared" si="699"/>
        <v>本科</v>
      </c>
      <c r="F1331" s="6" t="str">
        <f>"工学学士"</f>
        <v>工学学士</v>
      </c>
      <c r="G1331" s="6" t="str">
        <f>"环境科学"</f>
        <v>环境科学</v>
      </c>
      <c r="H1331" s="7" t="s">
        <v>9</v>
      </c>
    </row>
    <row r="1332" spans="1:8" ht="15" customHeight="1">
      <c r="A1332" s="5">
        <v>1330</v>
      </c>
      <c r="B1332" s="6" t="str">
        <f>"郑晓婷"</f>
        <v>郑晓婷</v>
      </c>
      <c r="C1332" s="6" t="str">
        <f t="shared" si="700"/>
        <v>女</v>
      </c>
      <c r="D1332" s="6" t="str">
        <f>"1999-08-03"</f>
        <v>1999-08-03</v>
      </c>
      <c r="E1332" s="6" t="str">
        <f t="shared" si="699"/>
        <v>本科</v>
      </c>
      <c r="F1332" s="6" t="str">
        <f>"文学学士"</f>
        <v>文学学士</v>
      </c>
      <c r="G1332" s="6" t="str">
        <f>"汉语国际教育"</f>
        <v>汉语国际教育</v>
      </c>
      <c r="H1332" s="7" t="s">
        <v>9</v>
      </c>
    </row>
    <row r="1333" spans="1:8" ht="15" customHeight="1">
      <c r="A1333" s="5">
        <v>1331</v>
      </c>
      <c r="B1333" s="6" t="str">
        <f>"李佳镁"</f>
        <v>李佳镁</v>
      </c>
      <c r="C1333" s="6" t="str">
        <f t="shared" si="700"/>
        <v>女</v>
      </c>
      <c r="D1333" s="6" t="str">
        <f>"1988-02-15"</f>
        <v>1988-02-15</v>
      </c>
      <c r="E1333" s="6" t="str">
        <f t="shared" si="699"/>
        <v>本科</v>
      </c>
      <c r="F1333" s="6" t="str">
        <f aca="true" t="shared" si="701" ref="F1333:F1340">"管理学学士"</f>
        <v>管理学学士</v>
      </c>
      <c r="G1333" s="6" t="str">
        <f aca="true" t="shared" si="702" ref="G1333:G1338">"信息管理与信息系统"</f>
        <v>信息管理与信息系统</v>
      </c>
      <c r="H1333" s="7" t="s">
        <v>9</v>
      </c>
    </row>
    <row r="1334" spans="1:8" ht="15" customHeight="1">
      <c r="A1334" s="5">
        <v>1332</v>
      </c>
      <c r="B1334" s="6" t="str">
        <f>"何雪"</f>
        <v>何雪</v>
      </c>
      <c r="C1334" s="6" t="str">
        <f t="shared" si="700"/>
        <v>女</v>
      </c>
      <c r="D1334" s="6" t="str">
        <f>"1996-08-08"</f>
        <v>1996-08-08</v>
      </c>
      <c r="E1334" s="6" t="str">
        <f>"大学本科"</f>
        <v>大学本科</v>
      </c>
      <c r="F1334" s="6" t="str">
        <f>"工学学士"</f>
        <v>工学学士</v>
      </c>
      <c r="G1334" s="6" t="str">
        <f>"风景园林"</f>
        <v>风景园林</v>
      </c>
      <c r="H1334" s="7" t="s">
        <v>9</v>
      </c>
    </row>
    <row r="1335" spans="1:8" ht="15" customHeight="1">
      <c r="A1335" s="5">
        <v>1333</v>
      </c>
      <c r="B1335" s="6" t="str">
        <f>"李思莹"</f>
        <v>李思莹</v>
      </c>
      <c r="C1335" s="6" t="str">
        <f t="shared" si="700"/>
        <v>女</v>
      </c>
      <c r="D1335" s="6" t="str">
        <f>"1999-11-10"</f>
        <v>1999-11-10</v>
      </c>
      <c r="E1335" s="6" t="str">
        <f aca="true" t="shared" si="703" ref="E1335:E1338">"本科"</f>
        <v>本科</v>
      </c>
      <c r="F1335" s="6" t="str">
        <f>"文学学士"</f>
        <v>文学学士</v>
      </c>
      <c r="G1335" s="6" t="str">
        <f>"广播电视学"</f>
        <v>广播电视学</v>
      </c>
      <c r="H1335" s="7" t="s">
        <v>9</v>
      </c>
    </row>
    <row r="1336" spans="1:8" ht="15" customHeight="1">
      <c r="A1336" s="5">
        <v>1334</v>
      </c>
      <c r="B1336" s="6" t="str">
        <f>"赵兰笑"</f>
        <v>赵兰笑</v>
      </c>
      <c r="C1336" s="6" t="str">
        <f t="shared" si="700"/>
        <v>女</v>
      </c>
      <c r="D1336" s="6" t="str">
        <f>"1998-01-03"</f>
        <v>1998-01-03</v>
      </c>
      <c r="E1336" s="6" t="str">
        <f t="shared" si="703"/>
        <v>本科</v>
      </c>
      <c r="F1336" s="6" t="str">
        <f>"经济学学士"</f>
        <v>经济学学士</v>
      </c>
      <c r="G1336" s="6" t="str">
        <f>"经济学"</f>
        <v>经济学</v>
      </c>
      <c r="H1336" s="7" t="s">
        <v>9</v>
      </c>
    </row>
    <row r="1337" spans="1:8" ht="15" customHeight="1">
      <c r="A1337" s="5">
        <v>1335</v>
      </c>
      <c r="B1337" s="6" t="str">
        <f>"陈锦汝"</f>
        <v>陈锦汝</v>
      </c>
      <c r="C1337" s="6" t="str">
        <f t="shared" si="700"/>
        <v>女</v>
      </c>
      <c r="D1337" s="6" t="str">
        <f>"1996-04-06"</f>
        <v>1996-04-06</v>
      </c>
      <c r="E1337" s="6" t="str">
        <f t="shared" si="703"/>
        <v>本科</v>
      </c>
      <c r="F1337" s="6" t="str">
        <f t="shared" si="701"/>
        <v>管理学学士</v>
      </c>
      <c r="G1337" s="6" t="str">
        <f t="shared" si="702"/>
        <v>信息管理与信息系统</v>
      </c>
      <c r="H1337" s="7" t="s">
        <v>9</v>
      </c>
    </row>
    <row r="1338" spans="1:8" ht="15" customHeight="1">
      <c r="A1338" s="5">
        <v>1336</v>
      </c>
      <c r="B1338" s="6" t="str">
        <f>"梁精友"</f>
        <v>梁精友</v>
      </c>
      <c r="C1338" s="6" t="str">
        <f aca="true" t="shared" si="704" ref="C1338:C1346">"男"</f>
        <v>男</v>
      </c>
      <c r="D1338" s="6" t="str">
        <f>"1998-11-15"</f>
        <v>1998-11-15</v>
      </c>
      <c r="E1338" s="6" t="str">
        <f t="shared" si="703"/>
        <v>本科</v>
      </c>
      <c r="F1338" s="6" t="str">
        <f t="shared" si="701"/>
        <v>管理学学士</v>
      </c>
      <c r="G1338" s="6" t="str">
        <f t="shared" si="702"/>
        <v>信息管理与信息系统</v>
      </c>
      <c r="H1338" s="7" t="s">
        <v>9</v>
      </c>
    </row>
    <row r="1339" spans="1:8" ht="15" customHeight="1">
      <c r="A1339" s="5">
        <v>1337</v>
      </c>
      <c r="B1339" s="6" t="str">
        <f>"李正娴"</f>
        <v>李正娴</v>
      </c>
      <c r="C1339" s="6" t="str">
        <f>"女"</f>
        <v>女</v>
      </c>
      <c r="D1339" s="6" t="str">
        <f>"1998-11-28"</f>
        <v>1998-11-28</v>
      </c>
      <c r="E1339" s="6" t="str">
        <f>"全日制本科"</f>
        <v>全日制本科</v>
      </c>
      <c r="F1339" s="6" t="str">
        <f t="shared" si="701"/>
        <v>管理学学士</v>
      </c>
      <c r="G1339" s="6" t="str">
        <f>"会计学"</f>
        <v>会计学</v>
      </c>
      <c r="H1339" s="7" t="s">
        <v>9</v>
      </c>
    </row>
    <row r="1340" spans="1:8" ht="15" customHeight="1">
      <c r="A1340" s="5">
        <v>1338</v>
      </c>
      <c r="B1340" s="6" t="str">
        <f>"符宏成"</f>
        <v>符宏成</v>
      </c>
      <c r="C1340" s="6" t="str">
        <f t="shared" si="704"/>
        <v>男</v>
      </c>
      <c r="D1340" s="6" t="str">
        <f>"1998-11-17"</f>
        <v>1998-11-17</v>
      </c>
      <c r="E1340" s="6" t="str">
        <f aca="true" t="shared" si="705" ref="E1340:E1351">"本科"</f>
        <v>本科</v>
      </c>
      <c r="F1340" s="6" t="str">
        <f t="shared" si="701"/>
        <v>管理学学士</v>
      </c>
      <c r="G1340" s="6" t="str">
        <f>"人力资源管理"</f>
        <v>人力资源管理</v>
      </c>
      <c r="H1340" s="7" t="s">
        <v>9</v>
      </c>
    </row>
    <row r="1341" spans="1:8" ht="15" customHeight="1">
      <c r="A1341" s="5">
        <v>1339</v>
      </c>
      <c r="B1341" s="6" t="str">
        <f>"范平伟"</f>
        <v>范平伟</v>
      </c>
      <c r="C1341" s="6" t="str">
        <f t="shared" si="704"/>
        <v>男</v>
      </c>
      <c r="D1341" s="6" t="str">
        <f>"1996-05-06"</f>
        <v>1996-05-06</v>
      </c>
      <c r="E1341" s="6" t="str">
        <f t="shared" si="705"/>
        <v>本科</v>
      </c>
      <c r="F1341" s="6" t="str">
        <f>"经济学学士"</f>
        <v>经济学学士</v>
      </c>
      <c r="G1341" s="6" t="str">
        <f>"经济学"</f>
        <v>经济学</v>
      </c>
      <c r="H1341" s="7" t="s">
        <v>9</v>
      </c>
    </row>
    <row r="1342" spans="1:8" ht="15" customHeight="1">
      <c r="A1342" s="5">
        <v>1340</v>
      </c>
      <c r="B1342" s="6" t="str">
        <f>"陈旭"</f>
        <v>陈旭</v>
      </c>
      <c r="C1342" s="6" t="str">
        <f t="shared" si="704"/>
        <v>男</v>
      </c>
      <c r="D1342" s="6" t="str">
        <f>"1998-04-07"</f>
        <v>1998-04-07</v>
      </c>
      <c r="E1342" s="6" t="str">
        <f>"全日制本科"</f>
        <v>全日制本科</v>
      </c>
      <c r="F1342" s="6" t="str">
        <f>"学士"</f>
        <v>学士</v>
      </c>
      <c r="G1342" s="6" t="str">
        <f>"建筑学"</f>
        <v>建筑学</v>
      </c>
      <c r="H1342" s="7" t="s">
        <v>9</v>
      </c>
    </row>
    <row r="1343" spans="1:8" ht="15" customHeight="1">
      <c r="A1343" s="5">
        <v>1341</v>
      </c>
      <c r="B1343" s="6" t="str">
        <f>"韩博强"</f>
        <v>韩博强</v>
      </c>
      <c r="C1343" s="6" t="str">
        <f t="shared" si="704"/>
        <v>男</v>
      </c>
      <c r="D1343" s="6" t="str">
        <f>"1998-06-10"</f>
        <v>1998-06-10</v>
      </c>
      <c r="E1343" s="6" t="str">
        <f>"大学本科"</f>
        <v>大学本科</v>
      </c>
      <c r="F1343" s="6" t="str">
        <f>"学士学位"</f>
        <v>学士学位</v>
      </c>
      <c r="G1343" s="6" t="str">
        <f>"土木工程"</f>
        <v>土木工程</v>
      </c>
      <c r="H1343" s="7" t="s">
        <v>9</v>
      </c>
    </row>
    <row r="1344" spans="1:8" ht="15" customHeight="1">
      <c r="A1344" s="5">
        <v>1342</v>
      </c>
      <c r="B1344" s="6" t="str">
        <f>"李铭栋"</f>
        <v>李铭栋</v>
      </c>
      <c r="C1344" s="6" t="str">
        <f t="shared" si="704"/>
        <v>男</v>
      </c>
      <c r="D1344" s="6" t="str">
        <f>"1993-10-12"</f>
        <v>1993-10-12</v>
      </c>
      <c r="E1344" s="6" t="str">
        <f>"大学本科"</f>
        <v>大学本科</v>
      </c>
      <c r="F1344" s="6" t="str">
        <f>"管理学学士"</f>
        <v>管理学学士</v>
      </c>
      <c r="G1344" s="6" t="str">
        <f>"会展经济与管理"</f>
        <v>会展经济与管理</v>
      </c>
      <c r="H1344" s="7" t="s">
        <v>9</v>
      </c>
    </row>
    <row r="1345" spans="1:8" ht="15" customHeight="1">
      <c r="A1345" s="5">
        <v>1343</v>
      </c>
      <c r="B1345" s="6" t="str">
        <f>"卞在成"</f>
        <v>卞在成</v>
      </c>
      <c r="C1345" s="6" t="str">
        <f t="shared" si="704"/>
        <v>男</v>
      </c>
      <c r="D1345" s="6" t="str">
        <f>"1995-07-28"</f>
        <v>1995-07-28</v>
      </c>
      <c r="E1345" s="6" t="str">
        <f t="shared" si="705"/>
        <v>本科</v>
      </c>
      <c r="F1345" s="6" t="str">
        <f aca="true" t="shared" si="706" ref="F1345:F1350">"工学学士"</f>
        <v>工学学士</v>
      </c>
      <c r="G1345" s="6" t="str">
        <f>"计算机科学与技术"</f>
        <v>计算机科学与技术</v>
      </c>
      <c r="H1345" s="7" t="s">
        <v>9</v>
      </c>
    </row>
    <row r="1346" spans="1:8" ht="15" customHeight="1">
      <c r="A1346" s="5">
        <v>1344</v>
      </c>
      <c r="B1346" s="6" t="str">
        <f>"王进"</f>
        <v>王进</v>
      </c>
      <c r="C1346" s="6" t="str">
        <f t="shared" si="704"/>
        <v>男</v>
      </c>
      <c r="D1346" s="6" t="str">
        <f>"1998-12-12"</f>
        <v>1998-12-12</v>
      </c>
      <c r="E1346" s="6" t="str">
        <f t="shared" si="705"/>
        <v>本科</v>
      </c>
      <c r="F1346" s="6" t="str">
        <f t="shared" si="706"/>
        <v>工学学士</v>
      </c>
      <c r="G1346" s="6" t="str">
        <f>"环境工程"</f>
        <v>环境工程</v>
      </c>
      <c r="H1346" s="7" t="s">
        <v>9</v>
      </c>
    </row>
    <row r="1347" spans="1:8" ht="15" customHeight="1">
      <c r="A1347" s="5">
        <v>1345</v>
      </c>
      <c r="B1347" s="6" t="str">
        <f>"陈丹丹"</f>
        <v>陈丹丹</v>
      </c>
      <c r="C1347" s="6" t="str">
        <f aca="true" t="shared" si="707" ref="C1347:C1350">"女"</f>
        <v>女</v>
      </c>
      <c r="D1347" s="6" t="str">
        <f>"1996-04-29"</f>
        <v>1996-04-29</v>
      </c>
      <c r="E1347" s="6" t="str">
        <f t="shared" si="705"/>
        <v>本科</v>
      </c>
      <c r="F1347" s="6" t="str">
        <f>"管理学学士"</f>
        <v>管理学学士</v>
      </c>
      <c r="G1347" s="6" t="str">
        <f>"财务管理"</f>
        <v>财务管理</v>
      </c>
      <c r="H1347" s="7" t="s">
        <v>9</v>
      </c>
    </row>
    <row r="1348" spans="1:8" ht="15" customHeight="1">
      <c r="A1348" s="5">
        <v>1346</v>
      </c>
      <c r="B1348" s="6" t="str">
        <f>"王瑞尾"</f>
        <v>王瑞尾</v>
      </c>
      <c r="C1348" s="6" t="str">
        <f t="shared" si="707"/>
        <v>女</v>
      </c>
      <c r="D1348" s="6" t="str">
        <f>"1999-02-11"</f>
        <v>1999-02-11</v>
      </c>
      <c r="E1348" s="6" t="str">
        <f t="shared" si="705"/>
        <v>本科</v>
      </c>
      <c r="F1348" s="6" t="str">
        <f>"管理学学位"</f>
        <v>管理学学位</v>
      </c>
      <c r="G1348" s="6" t="str">
        <f>"工程造价"</f>
        <v>工程造价</v>
      </c>
      <c r="H1348" s="7" t="s">
        <v>9</v>
      </c>
    </row>
    <row r="1349" spans="1:8" ht="15" customHeight="1">
      <c r="A1349" s="5">
        <v>1347</v>
      </c>
      <c r="B1349" s="6" t="str">
        <f>"余海文"</f>
        <v>余海文</v>
      </c>
      <c r="C1349" s="6" t="str">
        <f t="shared" si="707"/>
        <v>女</v>
      </c>
      <c r="D1349" s="6" t="str">
        <f>"1999-04-04"</f>
        <v>1999-04-04</v>
      </c>
      <c r="E1349" s="6" t="str">
        <f t="shared" si="705"/>
        <v>本科</v>
      </c>
      <c r="F1349" s="6" t="str">
        <f>"学士学位"</f>
        <v>学士学位</v>
      </c>
      <c r="G1349" s="6" t="str">
        <f>"旅游管理"</f>
        <v>旅游管理</v>
      </c>
      <c r="H1349" s="7" t="s">
        <v>9</v>
      </c>
    </row>
    <row r="1350" spans="1:8" ht="15" customHeight="1">
      <c r="A1350" s="5">
        <v>1348</v>
      </c>
      <c r="B1350" s="6" t="str">
        <f>"陈秀苹"</f>
        <v>陈秀苹</v>
      </c>
      <c r="C1350" s="6" t="str">
        <f t="shared" si="707"/>
        <v>女</v>
      </c>
      <c r="D1350" s="6" t="str">
        <f>"1997-10-23"</f>
        <v>1997-10-23</v>
      </c>
      <c r="E1350" s="6" t="str">
        <f t="shared" si="705"/>
        <v>本科</v>
      </c>
      <c r="F1350" s="6" t="str">
        <f t="shared" si="706"/>
        <v>工学学士</v>
      </c>
      <c r="G1350" s="6" t="str">
        <f>"城乡规划"</f>
        <v>城乡规划</v>
      </c>
      <c r="H1350" s="7" t="s">
        <v>9</v>
      </c>
    </row>
    <row r="1351" spans="1:8" ht="15" customHeight="1">
      <c r="A1351" s="5">
        <v>1349</v>
      </c>
      <c r="B1351" s="6" t="str">
        <f>"吕武庆"</f>
        <v>吕武庆</v>
      </c>
      <c r="C1351" s="6" t="str">
        <f aca="true" t="shared" si="708" ref="C1351:C1354">"男"</f>
        <v>男</v>
      </c>
      <c r="D1351" s="6" t="str">
        <f>"1998-09-09"</f>
        <v>1998-09-09</v>
      </c>
      <c r="E1351" s="6" t="str">
        <f t="shared" si="705"/>
        <v>本科</v>
      </c>
      <c r="F1351" s="6" t="str">
        <f aca="true" t="shared" si="709" ref="F1351:F1356">"管理学学士"</f>
        <v>管理学学士</v>
      </c>
      <c r="G1351" s="6" t="str">
        <f>"旅游管理"</f>
        <v>旅游管理</v>
      </c>
      <c r="H1351" s="7" t="s">
        <v>9</v>
      </c>
    </row>
    <row r="1352" spans="1:8" ht="15" customHeight="1">
      <c r="A1352" s="5">
        <v>1350</v>
      </c>
      <c r="B1352" s="6" t="str">
        <f>"陈志强"</f>
        <v>陈志强</v>
      </c>
      <c r="C1352" s="6" t="str">
        <f t="shared" si="708"/>
        <v>男</v>
      </c>
      <c r="D1352" s="6" t="str">
        <f>"2000-05-20"</f>
        <v>2000-05-20</v>
      </c>
      <c r="E1352" s="6" t="str">
        <f>"大学本科学历"</f>
        <v>大学本科学历</v>
      </c>
      <c r="F1352" s="6" t="str">
        <f>"工学学士"</f>
        <v>工学学士</v>
      </c>
      <c r="G1352" s="6" t="str">
        <f>"土木工程"</f>
        <v>土木工程</v>
      </c>
      <c r="H1352" s="7" t="s">
        <v>9</v>
      </c>
    </row>
    <row r="1353" spans="1:8" ht="15" customHeight="1">
      <c r="A1353" s="5">
        <v>1351</v>
      </c>
      <c r="B1353" s="6" t="str">
        <f>"段泽花"</f>
        <v>段泽花</v>
      </c>
      <c r="C1353" s="6" t="str">
        <f aca="true" t="shared" si="710" ref="C1353:C1358">"女"</f>
        <v>女</v>
      </c>
      <c r="D1353" s="6" t="str">
        <f>"1999-02-04"</f>
        <v>1999-02-04</v>
      </c>
      <c r="E1353" s="6" t="str">
        <f aca="true" t="shared" si="711" ref="E1353:E1362">"本科"</f>
        <v>本科</v>
      </c>
      <c r="F1353" s="6" t="str">
        <f t="shared" si="709"/>
        <v>管理学学士</v>
      </c>
      <c r="G1353" s="6" t="str">
        <f>"财务管理"</f>
        <v>财务管理</v>
      </c>
      <c r="H1353" s="7" t="s">
        <v>9</v>
      </c>
    </row>
    <row r="1354" spans="1:8" ht="15" customHeight="1">
      <c r="A1354" s="5">
        <v>1352</v>
      </c>
      <c r="B1354" s="6" t="str">
        <f>"李国攀"</f>
        <v>李国攀</v>
      </c>
      <c r="C1354" s="6" t="str">
        <f t="shared" si="708"/>
        <v>男</v>
      </c>
      <c r="D1354" s="6" t="str">
        <f>"1991-03-24"</f>
        <v>1991-03-24</v>
      </c>
      <c r="E1354" s="6" t="str">
        <f t="shared" si="711"/>
        <v>本科</v>
      </c>
      <c r="F1354" s="6" t="str">
        <f>"农学学士学位"</f>
        <v>农学学士学位</v>
      </c>
      <c r="G1354" s="6" t="str">
        <f>"园林"</f>
        <v>园林</v>
      </c>
      <c r="H1354" s="7" t="s">
        <v>9</v>
      </c>
    </row>
    <row r="1355" spans="1:8" ht="15" customHeight="1">
      <c r="A1355" s="5">
        <v>1353</v>
      </c>
      <c r="B1355" s="6" t="str">
        <f>"王晓颖"</f>
        <v>王晓颖</v>
      </c>
      <c r="C1355" s="6" t="str">
        <f t="shared" si="710"/>
        <v>女</v>
      </c>
      <c r="D1355" s="6" t="str">
        <f>"1992-11-24"</f>
        <v>1992-11-24</v>
      </c>
      <c r="E1355" s="6" t="str">
        <f>"研究生学历"</f>
        <v>研究生学历</v>
      </c>
      <c r="F1355" s="6" t="str">
        <f>"经济学硕士"</f>
        <v>经济学硕士</v>
      </c>
      <c r="G1355" s="6" t="str">
        <f>"经济学"</f>
        <v>经济学</v>
      </c>
      <c r="H1355" s="7" t="s">
        <v>9</v>
      </c>
    </row>
    <row r="1356" spans="1:8" ht="15" customHeight="1">
      <c r="A1356" s="5">
        <v>1354</v>
      </c>
      <c r="B1356" s="6" t="str">
        <f>"吴坤鹏"</f>
        <v>吴坤鹏</v>
      </c>
      <c r="C1356" s="6" t="str">
        <f aca="true" t="shared" si="712" ref="C1356:C1361">"男"</f>
        <v>男</v>
      </c>
      <c r="D1356" s="6" t="str">
        <f>"1994-02-14"</f>
        <v>1994-02-14</v>
      </c>
      <c r="E1356" s="6" t="str">
        <f>"大学本科学历"</f>
        <v>大学本科学历</v>
      </c>
      <c r="F1356" s="6" t="str">
        <f t="shared" si="709"/>
        <v>管理学学士</v>
      </c>
      <c r="G1356" s="6" t="str">
        <f>"信息管理与信息系统"</f>
        <v>信息管理与信息系统</v>
      </c>
      <c r="H1356" s="7" t="s">
        <v>9</v>
      </c>
    </row>
    <row r="1357" spans="1:8" ht="15" customHeight="1">
      <c r="A1357" s="5">
        <v>1355</v>
      </c>
      <c r="B1357" s="6" t="str">
        <f>"黄君"</f>
        <v>黄君</v>
      </c>
      <c r="C1357" s="6" t="str">
        <f t="shared" si="712"/>
        <v>男</v>
      </c>
      <c r="D1357" s="6" t="str">
        <f>"1993-10-06"</f>
        <v>1993-10-06</v>
      </c>
      <c r="E1357" s="6" t="str">
        <f>"大学本科"</f>
        <v>大学本科</v>
      </c>
      <c r="F1357" s="6" t="str">
        <f>"工学学士"</f>
        <v>工学学士</v>
      </c>
      <c r="G1357" s="6" t="str">
        <f>"土木工程"</f>
        <v>土木工程</v>
      </c>
      <c r="H1357" s="7" t="s">
        <v>9</v>
      </c>
    </row>
    <row r="1358" spans="1:8" ht="15" customHeight="1">
      <c r="A1358" s="5">
        <v>1356</v>
      </c>
      <c r="B1358" s="6" t="str">
        <f>"胡小纱"</f>
        <v>胡小纱</v>
      </c>
      <c r="C1358" s="6" t="str">
        <f t="shared" si="710"/>
        <v>女</v>
      </c>
      <c r="D1358" s="6" t="str">
        <f>"2001-01-05"</f>
        <v>2001-01-05</v>
      </c>
      <c r="E1358" s="6" t="str">
        <f t="shared" si="711"/>
        <v>本科</v>
      </c>
      <c r="F1358" s="6" t="str">
        <f>"文学学士学位"</f>
        <v>文学学士学位</v>
      </c>
      <c r="G1358" s="6" t="str">
        <f>"汉语国际教育"</f>
        <v>汉语国际教育</v>
      </c>
      <c r="H1358" s="7" t="s">
        <v>9</v>
      </c>
    </row>
    <row r="1359" spans="1:8" ht="15" customHeight="1">
      <c r="A1359" s="5">
        <v>1357</v>
      </c>
      <c r="B1359" s="6" t="str">
        <f>"羊恒亮"</f>
        <v>羊恒亮</v>
      </c>
      <c r="C1359" s="6" t="str">
        <f t="shared" si="712"/>
        <v>男</v>
      </c>
      <c r="D1359" s="6" t="str">
        <f>"1995-08-31"</f>
        <v>1995-08-31</v>
      </c>
      <c r="E1359" s="6" t="str">
        <f t="shared" si="711"/>
        <v>本科</v>
      </c>
      <c r="F1359" s="6" t="str">
        <f aca="true" t="shared" si="713" ref="F1359:F1363">"经济学学士"</f>
        <v>经济学学士</v>
      </c>
      <c r="G1359" s="6" t="str">
        <f>"国际经济与贸易"</f>
        <v>国际经济与贸易</v>
      </c>
      <c r="H1359" s="7" t="s">
        <v>9</v>
      </c>
    </row>
    <row r="1360" spans="1:8" ht="15" customHeight="1">
      <c r="A1360" s="5">
        <v>1358</v>
      </c>
      <c r="B1360" s="6" t="str">
        <f>"周石林"</f>
        <v>周石林</v>
      </c>
      <c r="C1360" s="6" t="str">
        <f t="shared" si="712"/>
        <v>男</v>
      </c>
      <c r="D1360" s="6" t="str">
        <f>"1996-09-18"</f>
        <v>1996-09-18</v>
      </c>
      <c r="E1360" s="6" t="str">
        <f t="shared" si="711"/>
        <v>本科</v>
      </c>
      <c r="F1360" s="6" t="str">
        <f>"理学学士"</f>
        <v>理学学士</v>
      </c>
      <c r="G1360" s="6" t="str">
        <f>"生态学"</f>
        <v>生态学</v>
      </c>
      <c r="H1360" s="7" t="s">
        <v>9</v>
      </c>
    </row>
    <row r="1361" spans="1:8" ht="15" customHeight="1">
      <c r="A1361" s="5">
        <v>1359</v>
      </c>
      <c r="B1361" s="6" t="str">
        <f>"陈乐乐"</f>
        <v>陈乐乐</v>
      </c>
      <c r="C1361" s="6" t="str">
        <f t="shared" si="712"/>
        <v>男</v>
      </c>
      <c r="D1361" s="6" t="str">
        <f>"2000-05-27"</f>
        <v>2000-05-27</v>
      </c>
      <c r="E1361" s="6" t="str">
        <f t="shared" si="711"/>
        <v>本科</v>
      </c>
      <c r="F1361" s="6" t="str">
        <f>"管理学学士"</f>
        <v>管理学学士</v>
      </c>
      <c r="G1361" s="6" t="str">
        <f>"行政管理"</f>
        <v>行政管理</v>
      </c>
      <c r="H1361" s="7" t="s">
        <v>9</v>
      </c>
    </row>
    <row r="1362" spans="1:8" ht="15" customHeight="1">
      <c r="A1362" s="5">
        <v>1360</v>
      </c>
      <c r="B1362" s="6" t="str">
        <f>"吴秀江"</f>
        <v>吴秀江</v>
      </c>
      <c r="C1362" s="6" t="str">
        <f aca="true" t="shared" si="714" ref="C1362:C1367">"女"</f>
        <v>女</v>
      </c>
      <c r="D1362" s="6" t="str">
        <f>"1996-12-01"</f>
        <v>1996-12-01</v>
      </c>
      <c r="E1362" s="6" t="str">
        <f t="shared" si="711"/>
        <v>本科</v>
      </c>
      <c r="F1362" s="6" t="str">
        <f t="shared" si="713"/>
        <v>经济学学士</v>
      </c>
      <c r="G1362" s="6" t="str">
        <f>"投资学"</f>
        <v>投资学</v>
      </c>
      <c r="H1362" s="7" t="s">
        <v>9</v>
      </c>
    </row>
    <row r="1363" spans="1:8" ht="15" customHeight="1">
      <c r="A1363" s="5">
        <v>1361</v>
      </c>
      <c r="B1363" s="6" t="str">
        <f>"吴廷光"</f>
        <v>吴廷光</v>
      </c>
      <c r="C1363" s="6" t="str">
        <f>"男"</f>
        <v>男</v>
      </c>
      <c r="D1363" s="6" t="str">
        <f>"1996-08-27"</f>
        <v>1996-08-27</v>
      </c>
      <c r="E1363" s="6" t="str">
        <f>"大学本科学历"</f>
        <v>大学本科学历</v>
      </c>
      <c r="F1363" s="6" t="str">
        <f t="shared" si="713"/>
        <v>经济学学士</v>
      </c>
      <c r="G1363" s="6" t="str">
        <f>"国际经济与贸易"</f>
        <v>国际经济与贸易</v>
      </c>
      <c r="H1363" s="7" t="s">
        <v>9</v>
      </c>
    </row>
    <row r="1364" spans="1:8" ht="15" customHeight="1">
      <c r="A1364" s="5">
        <v>1362</v>
      </c>
      <c r="B1364" s="6" t="str">
        <f>"邢增婷"</f>
        <v>邢增婷</v>
      </c>
      <c r="C1364" s="6" t="str">
        <f t="shared" si="714"/>
        <v>女</v>
      </c>
      <c r="D1364" s="6" t="str">
        <f>"1998-01-22"</f>
        <v>1998-01-22</v>
      </c>
      <c r="E1364" s="6" t="str">
        <f>"研究生学历"</f>
        <v>研究生学历</v>
      </c>
      <c r="F1364" s="6" t="str">
        <f>"农学硕士"</f>
        <v>农学硕士</v>
      </c>
      <c r="G1364" s="6" t="str">
        <f>"食品加工与安全"</f>
        <v>食品加工与安全</v>
      </c>
      <c r="H1364" s="7" t="s">
        <v>9</v>
      </c>
    </row>
    <row r="1365" spans="1:8" ht="15" customHeight="1">
      <c r="A1365" s="5">
        <v>1363</v>
      </c>
      <c r="B1365" s="6" t="str">
        <f>"符发娥"</f>
        <v>符发娥</v>
      </c>
      <c r="C1365" s="6" t="str">
        <f t="shared" si="714"/>
        <v>女</v>
      </c>
      <c r="D1365" s="6" t="str">
        <f>"1992-06-04"</f>
        <v>1992-06-04</v>
      </c>
      <c r="E1365" s="6" t="str">
        <f aca="true" t="shared" si="715" ref="E1365:E1370">"本科"</f>
        <v>本科</v>
      </c>
      <c r="F1365" s="6" t="str">
        <f>"理学学士"</f>
        <v>理学学士</v>
      </c>
      <c r="G1365" s="6" t="str">
        <f>"环境科学"</f>
        <v>环境科学</v>
      </c>
      <c r="H1365" s="7" t="s">
        <v>9</v>
      </c>
    </row>
    <row r="1366" spans="1:8" ht="15" customHeight="1">
      <c r="A1366" s="5">
        <v>1364</v>
      </c>
      <c r="B1366" s="6" t="str">
        <f>"鲍景丽"</f>
        <v>鲍景丽</v>
      </c>
      <c r="C1366" s="6" t="str">
        <f t="shared" si="714"/>
        <v>女</v>
      </c>
      <c r="D1366" s="6" t="str">
        <f>"1992-04-15"</f>
        <v>1992-04-15</v>
      </c>
      <c r="E1366" s="6" t="str">
        <f aca="true" t="shared" si="716" ref="E1366:E1369">"大学本科"</f>
        <v>大学本科</v>
      </c>
      <c r="F1366" s="6" t="str">
        <f>"管理学学士"</f>
        <v>管理学学士</v>
      </c>
      <c r="G1366" s="6" t="str">
        <f>"旅游管理"</f>
        <v>旅游管理</v>
      </c>
      <c r="H1366" s="7" t="s">
        <v>9</v>
      </c>
    </row>
    <row r="1367" spans="1:8" ht="15" customHeight="1">
      <c r="A1367" s="5">
        <v>1365</v>
      </c>
      <c r="B1367" s="6" t="str">
        <f>"王巧雪"</f>
        <v>王巧雪</v>
      </c>
      <c r="C1367" s="6" t="str">
        <f t="shared" si="714"/>
        <v>女</v>
      </c>
      <c r="D1367" s="6" t="str">
        <f>"1999-09-19"</f>
        <v>1999-09-19</v>
      </c>
      <c r="E1367" s="6" t="str">
        <f t="shared" si="716"/>
        <v>大学本科</v>
      </c>
      <c r="F1367" s="6" t="str">
        <f>"管理学学士"</f>
        <v>管理学学士</v>
      </c>
      <c r="G1367" s="6" t="str">
        <f>"物流管理"</f>
        <v>物流管理</v>
      </c>
      <c r="H1367" s="7" t="s">
        <v>9</v>
      </c>
    </row>
    <row r="1368" spans="1:8" ht="15" customHeight="1">
      <c r="A1368" s="5">
        <v>1366</v>
      </c>
      <c r="B1368" s="6" t="str">
        <f>"王鹏"</f>
        <v>王鹏</v>
      </c>
      <c r="C1368" s="6" t="str">
        <f aca="true" t="shared" si="717" ref="C1368:C1371">"男"</f>
        <v>男</v>
      </c>
      <c r="D1368" s="6" t="str">
        <f>"1995-04-15"</f>
        <v>1995-04-15</v>
      </c>
      <c r="E1368" s="6" t="str">
        <f t="shared" si="715"/>
        <v>本科</v>
      </c>
      <c r="F1368" s="6" t="str">
        <f>"文学学士"</f>
        <v>文学学士</v>
      </c>
      <c r="G1368" s="6" t="str">
        <f>"汉语言文学"</f>
        <v>汉语言文学</v>
      </c>
      <c r="H1368" s="7" t="s">
        <v>9</v>
      </c>
    </row>
    <row r="1369" spans="1:8" ht="15" customHeight="1">
      <c r="A1369" s="5">
        <v>1367</v>
      </c>
      <c r="B1369" s="6" t="str">
        <f>"刘柄"</f>
        <v>刘柄</v>
      </c>
      <c r="C1369" s="6" t="str">
        <f t="shared" si="717"/>
        <v>男</v>
      </c>
      <c r="D1369" s="6" t="str">
        <f>"1992-04-18"</f>
        <v>1992-04-18</v>
      </c>
      <c r="E1369" s="6" t="str">
        <f t="shared" si="716"/>
        <v>大学本科</v>
      </c>
      <c r="F1369" s="6" t="str">
        <f>"经济学学士"</f>
        <v>经济学学士</v>
      </c>
      <c r="G1369" s="6" t="str">
        <f>"国际经济与贸易"</f>
        <v>国际经济与贸易</v>
      </c>
      <c r="H1369" s="7" t="s">
        <v>9</v>
      </c>
    </row>
    <row r="1370" spans="1:8" ht="15" customHeight="1">
      <c r="A1370" s="5">
        <v>1368</v>
      </c>
      <c r="B1370" s="6" t="str">
        <f>"李土玲"</f>
        <v>李土玲</v>
      </c>
      <c r="C1370" s="6" t="str">
        <f aca="true" t="shared" si="718" ref="C1370:C1375">"女"</f>
        <v>女</v>
      </c>
      <c r="D1370" s="6" t="str">
        <f>"1998-03-07"</f>
        <v>1998-03-07</v>
      </c>
      <c r="E1370" s="6" t="str">
        <f t="shared" si="715"/>
        <v>本科</v>
      </c>
      <c r="F1370" s="6" t="str">
        <f>"管理学学士学位"</f>
        <v>管理学学士学位</v>
      </c>
      <c r="G1370" s="6" t="str">
        <f>"市场营销"</f>
        <v>市场营销</v>
      </c>
      <c r="H1370" s="7" t="s">
        <v>9</v>
      </c>
    </row>
    <row r="1371" spans="1:8" ht="15" customHeight="1">
      <c r="A1371" s="5">
        <v>1369</v>
      </c>
      <c r="B1371" s="6" t="str">
        <f>"孙贤杰"</f>
        <v>孙贤杰</v>
      </c>
      <c r="C1371" s="6" t="str">
        <f t="shared" si="717"/>
        <v>男</v>
      </c>
      <c r="D1371" s="6" t="str">
        <f>"1996-09-28"</f>
        <v>1996-09-28</v>
      </c>
      <c r="E1371" s="6" t="str">
        <f aca="true" t="shared" si="719" ref="E1371:E1376">"大学本科"</f>
        <v>大学本科</v>
      </c>
      <c r="F1371" s="6" t="str">
        <f>"工学学士"</f>
        <v>工学学士</v>
      </c>
      <c r="G1371" s="6" t="str">
        <f>"土木工程"</f>
        <v>土木工程</v>
      </c>
      <c r="H1371" s="7" t="s">
        <v>9</v>
      </c>
    </row>
    <row r="1372" spans="1:8" ht="15" customHeight="1">
      <c r="A1372" s="5">
        <v>1370</v>
      </c>
      <c r="B1372" s="6" t="str">
        <f>"林彤"</f>
        <v>林彤</v>
      </c>
      <c r="C1372" s="6" t="str">
        <f t="shared" si="718"/>
        <v>女</v>
      </c>
      <c r="D1372" s="6" t="str">
        <f>"1998-09-04"</f>
        <v>1998-09-04</v>
      </c>
      <c r="E1372" s="6" t="str">
        <f t="shared" si="719"/>
        <v>大学本科</v>
      </c>
      <c r="F1372" s="6" t="str">
        <f aca="true" t="shared" si="720" ref="F1372:F1378">"管理学学士"</f>
        <v>管理学学士</v>
      </c>
      <c r="G1372" s="6" t="str">
        <f>"会计学"</f>
        <v>会计学</v>
      </c>
      <c r="H1372" s="7" t="s">
        <v>9</v>
      </c>
    </row>
    <row r="1373" spans="1:8" ht="15" customHeight="1">
      <c r="A1373" s="5">
        <v>1371</v>
      </c>
      <c r="B1373" s="6" t="str">
        <f>"商瑞"</f>
        <v>商瑞</v>
      </c>
      <c r="C1373" s="6" t="str">
        <f t="shared" si="718"/>
        <v>女</v>
      </c>
      <c r="D1373" s="6" t="str">
        <f>"1995-12-04"</f>
        <v>1995-12-04</v>
      </c>
      <c r="E1373" s="6" t="str">
        <f aca="true" t="shared" si="721" ref="E1373:E1377">"本科"</f>
        <v>本科</v>
      </c>
      <c r="F1373" s="6" t="str">
        <f>"学士"</f>
        <v>学士</v>
      </c>
      <c r="G1373" s="6" t="str">
        <f>"植物保护"</f>
        <v>植物保护</v>
      </c>
      <c r="H1373" s="7" t="s">
        <v>9</v>
      </c>
    </row>
    <row r="1374" spans="1:8" ht="15" customHeight="1">
      <c r="A1374" s="5">
        <v>1372</v>
      </c>
      <c r="B1374" s="6" t="str">
        <f>"陈婷"</f>
        <v>陈婷</v>
      </c>
      <c r="C1374" s="6" t="str">
        <f t="shared" si="718"/>
        <v>女</v>
      </c>
      <c r="D1374" s="6" t="str">
        <f>"1997-07-01"</f>
        <v>1997-07-01</v>
      </c>
      <c r="E1374" s="6" t="str">
        <f>"大学本科学历"</f>
        <v>大学本科学历</v>
      </c>
      <c r="F1374" s="6" t="str">
        <f>"工学学士"</f>
        <v>工学学士</v>
      </c>
      <c r="G1374" s="6" t="str">
        <f>"风景园林（园林工程技术方向）"</f>
        <v>风景园林（园林工程技术方向）</v>
      </c>
      <c r="H1374" s="7" t="s">
        <v>9</v>
      </c>
    </row>
    <row r="1375" spans="1:8" ht="15" customHeight="1">
      <c r="A1375" s="5">
        <v>1373</v>
      </c>
      <c r="B1375" s="6" t="str">
        <f>"王惠娇"</f>
        <v>王惠娇</v>
      </c>
      <c r="C1375" s="6" t="str">
        <f t="shared" si="718"/>
        <v>女</v>
      </c>
      <c r="D1375" s="6" t="str">
        <f>"1996-02-12"</f>
        <v>1996-02-12</v>
      </c>
      <c r="E1375" s="6" t="str">
        <f t="shared" si="721"/>
        <v>本科</v>
      </c>
      <c r="F1375" s="6" t="str">
        <f t="shared" si="720"/>
        <v>管理学学士</v>
      </c>
      <c r="G1375" s="6" t="str">
        <f>"行政管理"</f>
        <v>行政管理</v>
      </c>
      <c r="H1375" s="7" t="s">
        <v>9</v>
      </c>
    </row>
    <row r="1376" spans="1:8" ht="15" customHeight="1">
      <c r="A1376" s="5">
        <v>1374</v>
      </c>
      <c r="B1376" s="6" t="str">
        <f>"郑学松"</f>
        <v>郑学松</v>
      </c>
      <c r="C1376" s="6" t="str">
        <f>"男"</f>
        <v>男</v>
      </c>
      <c r="D1376" s="6" t="str">
        <f>"1998-03-16"</f>
        <v>1998-03-16</v>
      </c>
      <c r="E1376" s="6" t="str">
        <f t="shared" si="719"/>
        <v>大学本科</v>
      </c>
      <c r="F1376" s="6" t="str">
        <f>"学士学位"</f>
        <v>学士学位</v>
      </c>
      <c r="G1376" s="6" t="str">
        <f>"土木工程"</f>
        <v>土木工程</v>
      </c>
      <c r="H1376" s="7" t="s">
        <v>9</v>
      </c>
    </row>
    <row r="1377" spans="1:8" ht="15" customHeight="1">
      <c r="A1377" s="5">
        <v>1375</v>
      </c>
      <c r="B1377" s="6" t="str">
        <f>"刘汉丽"</f>
        <v>刘汉丽</v>
      </c>
      <c r="C1377" s="6" t="str">
        <f aca="true" t="shared" si="722" ref="C1377:C1380">"女"</f>
        <v>女</v>
      </c>
      <c r="D1377" s="6" t="str">
        <f>"1995-02-20"</f>
        <v>1995-02-20</v>
      </c>
      <c r="E1377" s="6" t="str">
        <f t="shared" si="721"/>
        <v>本科</v>
      </c>
      <c r="F1377" s="6" t="str">
        <f t="shared" si="720"/>
        <v>管理学学士</v>
      </c>
      <c r="G1377" s="6" t="str">
        <f>"会计学"</f>
        <v>会计学</v>
      </c>
      <c r="H1377" s="7" t="s">
        <v>9</v>
      </c>
    </row>
    <row r="1378" spans="1:8" ht="15" customHeight="1">
      <c r="A1378" s="5">
        <v>1376</v>
      </c>
      <c r="B1378" s="6" t="str">
        <f>"符慧琪"</f>
        <v>符慧琪</v>
      </c>
      <c r="C1378" s="6" t="str">
        <f t="shared" si="722"/>
        <v>女</v>
      </c>
      <c r="D1378" s="6" t="str">
        <f>"2000-01-03"</f>
        <v>2000-01-03</v>
      </c>
      <c r="E1378" s="6" t="str">
        <f>"大学本科"</f>
        <v>大学本科</v>
      </c>
      <c r="F1378" s="6" t="str">
        <f t="shared" si="720"/>
        <v>管理学学士</v>
      </c>
      <c r="G1378" s="6" t="str">
        <f>"人力资源管理"</f>
        <v>人力资源管理</v>
      </c>
      <c r="H1378" s="7" t="s">
        <v>9</v>
      </c>
    </row>
    <row r="1379" spans="1:8" ht="15" customHeight="1">
      <c r="A1379" s="5">
        <v>1377</v>
      </c>
      <c r="B1379" s="6" t="str">
        <f>"符蓉"</f>
        <v>符蓉</v>
      </c>
      <c r="C1379" s="6" t="str">
        <f t="shared" si="722"/>
        <v>女</v>
      </c>
      <c r="D1379" s="6" t="str">
        <f>"1992-09-10"</f>
        <v>1992-09-10</v>
      </c>
      <c r="E1379" s="6" t="str">
        <f aca="true" t="shared" si="723" ref="E1379:E1381">"本科"</f>
        <v>本科</v>
      </c>
      <c r="F1379" s="6" t="str">
        <f>"文学学士"</f>
        <v>文学学士</v>
      </c>
      <c r="G1379" s="6" t="str">
        <f>"汉语言文学专业"</f>
        <v>汉语言文学专业</v>
      </c>
      <c r="H1379" s="7" t="s">
        <v>9</v>
      </c>
    </row>
    <row r="1380" spans="1:8" ht="15" customHeight="1">
      <c r="A1380" s="5">
        <v>1378</v>
      </c>
      <c r="B1380" s="6" t="str">
        <f>"姜敏"</f>
        <v>姜敏</v>
      </c>
      <c r="C1380" s="6" t="str">
        <f t="shared" si="722"/>
        <v>女</v>
      </c>
      <c r="D1380" s="6" t="str">
        <f>"1999-11-09"</f>
        <v>1999-11-09</v>
      </c>
      <c r="E1380" s="6" t="str">
        <f t="shared" si="723"/>
        <v>本科</v>
      </c>
      <c r="F1380" s="6" t="str">
        <f aca="true" t="shared" si="724" ref="F1380:F1383">"工学学士"</f>
        <v>工学学士</v>
      </c>
      <c r="G1380" s="6" t="str">
        <f>"道路桥梁与渡河工程"</f>
        <v>道路桥梁与渡河工程</v>
      </c>
      <c r="H1380" s="7" t="s">
        <v>9</v>
      </c>
    </row>
    <row r="1381" spans="1:8" ht="15" customHeight="1">
      <c r="A1381" s="5">
        <v>1379</v>
      </c>
      <c r="B1381" s="6" t="str">
        <f>"陈名亮"</f>
        <v>陈名亮</v>
      </c>
      <c r="C1381" s="6" t="str">
        <f aca="true" t="shared" si="725" ref="C1381:C1384">"男"</f>
        <v>男</v>
      </c>
      <c r="D1381" s="6" t="str">
        <f>"1995-06-29"</f>
        <v>1995-06-29</v>
      </c>
      <c r="E1381" s="6" t="str">
        <f t="shared" si="723"/>
        <v>本科</v>
      </c>
      <c r="F1381" s="6" t="str">
        <f t="shared" si="724"/>
        <v>工学学士</v>
      </c>
      <c r="G1381" s="6" t="str">
        <f>"工程造价"</f>
        <v>工程造价</v>
      </c>
      <c r="H1381" s="7" t="s">
        <v>9</v>
      </c>
    </row>
    <row r="1382" spans="1:8" ht="15" customHeight="1">
      <c r="A1382" s="5">
        <v>1380</v>
      </c>
      <c r="B1382" s="6" t="str">
        <f>"陈冰"</f>
        <v>陈冰</v>
      </c>
      <c r="C1382" s="6" t="str">
        <f aca="true" t="shared" si="726" ref="C1382:C1386">"女"</f>
        <v>女</v>
      </c>
      <c r="D1382" s="6" t="str">
        <f>"1999-06-18"</f>
        <v>1999-06-18</v>
      </c>
      <c r="E1382" s="6" t="str">
        <f>"大学本科"</f>
        <v>大学本科</v>
      </c>
      <c r="F1382" s="6" t="str">
        <f>"文学学士"</f>
        <v>文学学士</v>
      </c>
      <c r="G1382" s="6" t="str">
        <f>"汉语言文学"</f>
        <v>汉语言文学</v>
      </c>
      <c r="H1382" s="7" t="s">
        <v>9</v>
      </c>
    </row>
    <row r="1383" spans="1:8" ht="15" customHeight="1">
      <c r="A1383" s="5">
        <v>1381</v>
      </c>
      <c r="B1383" s="6" t="str">
        <f>"王留生"</f>
        <v>王留生</v>
      </c>
      <c r="C1383" s="6" t="str">
        <f t="shared" si="725"/>
        <v>男</v>
      </c>
      <c r="D1383" s="6" t="str">
        <f>"1998-09-27"</f>
        <v>1998-09-27</v>
      </c>
      <c r="E1383" s="6" t="str">
        <f aca="true" t="shared" si="727" ref="E1383:E1385">"本科"</f>
        <v>本科</v>
      </c>
      <c r="F1383" s="6" t="str">
        <f t="shared" si="724"/>
        <v>工学学士</v>
      </c>
      <c r="G1383" s="6" t="str">
        <f>"物联网工程"</f>
        <v>物联网工程</v>
      </c>
      <c r="H1383" s="7" t="s">
        <v>9</v>
      </c>
    </row>
    <row r="1384" spans="1:8" ht="15" customHeight="1">
      <c r="A1384" s="5">
        <v>1382</v>
      </c>
      <c r="B1384" s="6" t="str">
        <f>"王康锐"</f>
        <v>王康锐</v>
      </c>
      <c r="C1384" s="6" t="str">
        <f t="shared" si="725"/>
        <v>男</v>
      </c>
      <c r="D1384" s="6" t="str">
        <f>"1997-03-06"</f>
        <v>1997-03-06</v>
      </c>
      <c r="E1384" s="6" t="str">
        <f t="shared" si="727"/>
        <v>本科</v>
      </c>
      <c r="F1384" s="6" t="str">
        <f>"经济学学士"</f>
        <v>经济学学士</v>
      </c>
      <c r="G1384" s="6" t="str">
        <f>"贸易经济"</f>
        <v>贸易经济</v>
      </c>
      <c r="H1384" s="7" t="s">
        <v>9</v>
      </c>
    </row>
    <row r="1385" spans="1:8" ht="15" customHeight="1">
      <c r="A1385" s="5">
        <v>1383</v>
      </c>
      <c r="B1385" s="6" t="str">
        <f>"罗婷婷"</f>
        <v>罗婷婷</v>
      </c>
      <c r="C1385" s="6" t="str">
        <f t="shared" si="726"/>
        <v>女</v>
      </c>
      <c r="D1385" s="6" t="str">
        <f>"2001-07-28"</f>
        <v>2001-07-28</v>
      </c>
      <c r="E1385" s="6" t="str">
        <f t="shared" si="727"/>
        <v>本科</v>
      </c>
      <c r="F1385" s="6" t="str">
        <f>"文学学士"</f>
        <v>文学学士</v>
      </c>
      <c r="G1385" s="6" t="str">
        <f>"汉语言文学"</f>
        <v>汉语言文学</v>
      </c>
      <c r="H1385" s="7" t="s">
        <v>9</v>
      </c>
    </row>
    <row r="1386" spans="1:8" ht="15" customHeight="1">
      <c r="A1386" s="5">
        <v>1384</v>
      </c>
      <c r="B1386" s="6" t="str">
        <f>"朱泳霏"</f>
        <v>朱泳霏</v>
      </c>
      <c r="C1386" s="6" t="str">
        <f t="shared" si="726"/>
        <v>女</v>
      </c>
      <c r="D1386" s="6" t="str">
        <f>"1999-02-19"</f>
        <v>1999-02-19</v>
      </c>
      <c r="E1386" s="6" t="str">
        <f>"本科学历"</f>
        <v>本科学历</v>
      </c>
      <c r="F1386" s="6" t="str">
        <f aca="true" t="shared" si="728" ref="F1386:F1391">"工学学士"</f>
        <v>工学学士</v>
      </c>
      <c r="G1386" s="6" t="str">
        <f>"环境科学与工程"</f>
        <v>环境科学与工程</v>
      </c>
      <c r="H1386" s="7" t="s">
        <v>9</v>
      </c>
    </row>
    <row r="1387" spans="1:8" ht="15" customHeight="1">
      <c r="A1387" s="5">
        <v>1385</v>
      </c>
      <c r="B1387" s="6" t="str">
        <f>"蔡奕明"</f>
        <v>蔡奕明</v>
      </c>
      <c r="C1387" s="6" t="str">
        <f aca="true" t="shared" si="729" ref="C1387:C1392">"男"</f>
        <v>男</v>
      </c>
      <c r="D1387" s="6" t="str">
        <f>"2000-10-14"</f>
        <v>2000-10-14</v>
      </c>
      <c r="E1387" s="6" t="str">
        <f aca="true" t="shared" si="730" ref="E1387:E1393">"本科"</f>
        <v>本科</v>
      </c>
      <c r="F1387" s="6" t="str">
        <f t="shared" si="728"/>
        <v>工学学士</v>
      </c>
      <c r="G1387" s="6" t="str">
        <f>"计算机科学与技术"</f>
        <v>计算机科学与技术</v>
      </c>
      <c r="H1387" s="7" t="s">
        <v>9</v>
      </c>
    </row>
    <row r="1388" spans="1:8" ht="15" customHeight="1">
      <c r="A1388" s="5">
        <v>1386</v>
      </c>
      <c r="B1388" s="6" t="str">
        <f>"符馨尹"</f>
        <v>符馨尹</v>
      </c>
      <c r="C1388" s="6" t="str">
        <f aca="true" t="shared" si="731" ref="C1388:C1390">"女"</f>
        <v>女</v>
      </c>
      <c r="D1388" s="6" t="str">
        <f>"1995-12-16"</f>
        <v>1995-12-16</v>
      </c>
      <c r="E1388" s="6" t="str">
        <f>"全日制本科"</f>
        <v>全日制本科</v>
      </c>
      <c r="F1388" s="6" t="str">
        <f>"文学学士"</f>
        <v>文学学士</v>
      </c>
      <c r="G1388" s="6" t="str">
        <f>"汉语言文学"</f>
        <v>汉语言文学</v>
      </c>
      <c r="H1388" s="7" t="s">
        <v>9</v>
      </c>
    </row>
    <row r="1389" spans="1:8" ht="15" customHeight="1">
      <c r="A1389" s="5">
        <v>1387</v>
      </c>
      <c r="B1389" s="6" t="str">
        <f>"符慧彬"</f>
        <v>符慧彬</v>
      </c>
      <c r="C1389" s="6" t="str">
        <f t="shared" si="731"/>
        <v>女</v>
      </c>
      <c r="D1389" s="6" t="str">
        <f>"1996-11-12"</f>
        <v>1996-11-12</v>
      </c>
      <c r="E1389" s="6" t="str">
        <f>"全日制本科"</f>
        <v>全日制本科</v>
      </c>
      <c r="F1389" s="6" t="str">
        <f>"学士学位"</f>
        <v>学士学位</v>
      </c>
      <c r="G1389" s="6" t="str">
        <f>"会计学"</f>
        <v>会计学</v>
      </c>
      <c r="H1389" s="7" t="s">
        <v>9</v>
      </c>
    </row>
    <row r="1390" spans="1:8" ht="15" customHeight="1">
      <c r="A1390" s="5">
        <v>1388</v>
      </c>
      <c r="B1390" s="6" t="str">
        <f>"符琼方"</f>
        <v>符琼方</v>
      </c>
      <c r="C1390" s="6" t="str">
        <f t="shared" si="731"/>
        <v>女</v>
      </c>
      <c r="D1390" s="6" t="str">
        <f>"1995-10-10"</f>
        <v>1995-10-10</v>
      </c>
      <c r="E1390" s="6" t="str">
        <f>"本科学历"</f>
        <v>本科学历</v>
      </c>
      <c r="F1390" s="6" t="str">
        <f>"经济学学士"</f>
        <v>经济学学士</v>
      </c>
      <c r="G1390" s="6" t="str">
        <f>"金融学专业"</f>
        <v>金融学专业</v>
      </c>
      <c r="H1390" s="7" t="s">
        <v>9</v>
      </c>
    </row>
    <row r="1391" spans="1:8" ht="15" customHeight="1">
      <c r="A1391" s="5">
        <v>1389</v>
      </c>
      <c r="B1391" s="6" t="str">
        <f>"吴造喜"</f>
        <v>吴造喜</v>
      </c>
      <c r="C1391" s="6" t="str">
        <f t="shared" si="729"/>
        <v>男</v>
      </c>
      <c r="D1391" s="6" t="str">
        <f>"1996-01-10"</f>
        <v>1996-01-10</v>
      </c>
      <c r="E1391" s="6" t="str">
        <f t="shared" si="730"/>
        <v>本科</v>
      </c>
      <c r="F1391" s="6" t="str">
        <f t="shared" si="728"/>
        <v>工学学士</v>
      </c>
      <c r="G1391" s="6" t="str">
        <f>"城乡规划"</f>
        <v>城乡规划</v>
      </c>
      <c r="H1391" s="7" t="s">
        <v>9</v>
      </c>
    </row>
    <row r="1392" spans="1:8" ht="15" customHeight="1">
      <c r="A1392" s="5">
        <v>1390</v>
      </c>
      <c r="B1392" s="6" t="str">
        <f>"黄茂润"</f>
        <v>黄茂润</v>
      </c>
      <c r="C1392" s="6" t="str">
        <f t="shared" si="729"/>
        <v>男</v>
      </c>
      <c r="D1392" s="6" t="str">
        <f>"1997-03-12"</f>
        <v>1997-03-12</v>
      </c>
      <c r="E1392" s="6" t="str">
        <f t="shared" si="730"/>
        <v>本科</v>
      </c>
      <c r="F1392" s="6" t="str">
        <f aca="true" t="shared" si="732" ref="F1392:F1394">"管理学学士"</f>
        <v>管理学学士</v>
      </c>
      <c r="G1392" s="6" t="str">
        <f>"电子商务"</f>
        <v>电子商务</v>
      </c>
      <c r="H1392" s="7" t="s">
        <v>9</v>
      </c>
    </row>
    <row r="1393" spans="1:8" ht="15" customHeight="1">
      <c r="A1393" s="5">
        <v>1391</v>
      </c>
      <c r="B1393" s="6" t="str">
        <f>"姜雨婷"</f>
        <v>姜雨婷</v>
      </c>
      <c r="C1393" s="6" t="str">
        <f aca="true" t="shared" si="733" ref="C1393:C1395">"女"</f>
        <v>女</v>
      </c>
      <c r="D1393" s="6" t="str">
        <f>"1991-11-20"</f>
        <v>1991-11-20</v>
      </c>
      <c r="E1393" s="6" t="str">
        <f t="shared" si="730"/>
        <v>本科</v>
      </c>
      <c r="F1393" s="6" t="str">
        <f t="shared" si="732"/>
        <v>管理学学士</v>
      </c>
      <c r="G1393" s="6" t="str">
        <f>"旅游管理"</f>
        <v>旅游管理</v>
      </c>
      <c r="H1393" s="7" t="s">
        <v>9</v>
      </c>
    </row>
    <row r="1394" spans="1:8" ht="15" customHeight="1">
      <c r="A1394" s="5">
        <v>1392</v>
      </c>
      <c r="B1394" s="6" t="str">
        <f>"吴妍"</f>
        <v>吴妍</v>
      </c>
      <c r="C1394" s="6" t="str">
        <f t="shared" si="733"/>
        <v>女</v>
      </c>
      <c r="D1394" s="6" t="str">
        <f>"2000-08-26"</f>
        <v>2000-08-26</v>
      </c>
      <c r="E1394" s="6" t="str">
        <f>"大学本科"</f>
        <v>大学本科</v>
      </c>
      <c r="F1394" s="6" t="str">
        <f t="shared" si="732"/>
        <v>管理学学士</v>
      </c>
      <c r="G1394" s="6" t="str">
        <f>"人力资源管理"</f>
        <v>人力资源管理</v>
      </c>
      <c r="H1394" s="7" t="s">
        <v>9</v>
      </c>
    </row>
    <row r="1395" spans="1:8" ht="15" customHeight="1">
      <c r="A1395" s="5">
        <v>1393</v>
      </c>
      <c r="B1395" s="6" t="str">
        <f>"丁紫欣"</f>
        <v>丁紫欣</v>
      </c>
      <c r="C1395" s="6" t="str">
        <f t="shared" si="733"/>
        <v>女</v>
      </c>
      <c r="D1395" s="6" t="str">
        <f>"1992-06-16"</f>
        <v>1992-06-16</v>
      </c>
      <c r="E1395" s="6" t="str">
        <f>"全日制大学本科"</f>
        <v>全日制大学本科</v>
      </c>
      <c r="F1395" s="6" t="str">
        <f>"文学学士"</f>
        <v>文学学士</v>
      </c>
      <c r="G1395" s="6" t="str">
        <f>"汉语言文学"</f>
        <v>汉语言文学</v>
      </c>
      <c r="H1395" s="7" t="s">
        <v>9</v>
      </c>
    </row>
    <row r="1396" spans="1:8" ht="15" customHeight="1">
      <c r="A1396" s="5">
        <v>1394</v>
      </c>
      <c r="B1396" s="6" t="str">
        <f>"何世豪"</f>
        <v>何世豪</v>
      </c>
      <c r="C1396" s="6" t="str">
        <f aca="true" t="shared" si="734" ref="C1396:C1400">"男"</f>
        <v>男</v>
      </c>
      <c r="D1396" s="6" t="str">
        <f>"1995-10-05"</f>
        <v>1995-10-05</v>
      </c>
      <c r="E1396" s="6" t="str">
        <f aca="true" t="shared" si="735" ref="E1396:E1399">"本科"</f>
        <v>本科</v>
      </c>
      <c r="F1396" s="6" t="str">
        <f>"工学学生"</f>
        <v>工学学生</v>
      </c>
      <c r="G1396" s="6" t="str">
        <f>"土木工程"</f>
        <v>土木工程</v>
      </c>
      <c r="H1396" s="7" t="s">
        <v>9</v>
      </c>
    </row>
    <row r="1397" spans="1:8" ht="15" customHeight="1">
      <c r="A1397" s="5">
        <v>1395</v>
      </c>
      <c r="B1397" s="6" t="str">
        <f>"黄家俊"</f>
        <v>黄家俊</v>
      </c>
      <c r="C1397" s="6" t="str">
        <f t="shared" si="734"/>
        <v>男</v>
      </c>
      <c r="D1397" s="6" t="str">
        <f>"1996-07-12"</f>
        <v>1996-07-12</v>
      </c>
      <c r="E1397" s="6" t="str">
        <f t="shared" si="735"/>
        <v>本科</v>
      </c>
      <c r="F1397" s="6" t="str">
        <f>"学士学位"</f>
        <v>学士学位</v>
      </c>
      <c r="G1397" s="6" t="str">
        <f>"汉语言文学"</f>
        <v>汉语言文学</v>
      </c>
      <c r="H1397" s="7" t="s">
        <v>9</v>
      </c>
    </row>
    <row r="1398" spans="1:8" ht="15" customHeight="1">
      <c r="A1398" s="5">
        <v>1396</v>
      </c>
      <c r="B1398" s="6" t="str">
        <f>"陈达明"</f>
        <v>陈达明</v>
      </c>
      <c r="C1398" s="6" t="str">
        <f t="shared" si="734"/>
        <v>男</v>
      </c>
      <c r="D1398" s="6" t="str">
        <f>"1993-04-17"</f>
        <v>1993-04-17</v>
      </c>
      <c r="E1398" s="6" t="str">
        <f t="shared" si="735"/>
        <v>本科</v>
      </c>
      <c r="F1398" s="6" t="str">
        <f>"工学学士"</f>
        <v>工学学士</v>
      </c>
      <c r="G1398" s="6" t="str">
        <f>"土木工程"</f>
        <v>土木工程</v>
      </c>
      <c r="H1398" s="7" t="s">
        <v>9</v>
      </c>
    </row>
    <row r="1399" spans="1:8" ht="15" customHeight="1">
      <c r="A1399" s="5">
        <v>1397</v>
      </c>
      <c r="B1399" s="6" t="str">
        <f>"黎文学"</f>
        <v>黎文学</v>
      </c>
      <c r="C1399" s="6" t="str">
        <f t="shared" si="734"/>
        <v>男</v>
      </c>
      <c r="D1399" s="6" t="str">
        <f>"1998-08-03"</f>
        <v>1998-08-03</v>
      </c>
      <c r="E1399" s="6" t="str">
        <f t="shared" si="735"/>
        <v>本科</v>
      </c>
      <c r="F1399" s="6" t="str">
        <f>"学士"</f>
        <v>学士</v>
      </c>
      <c r="G1399" s="6" t="str">
        <f>"环境工程"</f>
        <v>环境工程</v>
      </c>
      <c r="H1399" s="7" t="s">
        <v>9</v>
      </c>
    </row>
    <row r="1400" spans="1:8" ht="15" customHeight="1">
      <c r="A1400" s="5">
        <v>1398</v>
      </c>
      <c r="B1400" s="6" t="str">
        <f>"张雄飞"</f>
        <v>张雄飞</v>
      </c>
      <c r="C1400" s="6" t="str">
        <f t="shared" si="734"/>
        <v>男</v>
      </c>
      <c r="D1400" s="6" t="str">
        <f>"1992-09-01"</f>
        <v>1992-09-01</v>
      </c>
      <c r="E1400" s="6" t="str">
        <f>"大学本科学历"</f>
        <v>大学本科学历</v>
      </c>
      <c r="F1400" s="6" t="str">
        <f>"管理学学士"</f>
        <v>管理学学士</v>
      </c>
      <c r="G1400" s="6" t="str">
        <f>"财务管理"</f>
        <v>财务管理</v>
      </c>
      <c r="H1400" s="7" t="s">
        <v>9</v>
      </c>
    </row>
    <row r="1401" spans="1:8" ht="15" customHeight="1">
      <c r="A1401" s="5">
        <v>1399</v>
      </c>
      <c r="B1401" s="6" t="str">
        <f>"王俊琼"</f>
        <v>王俊琼</v>
      </c>
      <c r="C1401" s="6" t="str">
        <f>"女"</f>
        <v>女</v>
      </c>
      <c r="D1401" s="6" t="str">
        <f>"1994-09-26"</f>
        <v>1994-09-26</v>
      </c>
      <c r="E1401" s="6" t="str">
        <f aca="true" t="shared" si="736" ref="E1401:E1405">"本科"</f>
        <v>本科</v>
      </c>
      <c r="F1401" s="6" t="str">
        <f>"农学学士"</f>
        <v>农学学士</v>
      </c>
      <c r="G1401" s="6" t="str">
        <f>"园艺"</f>
        <v>园艺</v>
      </c>
      <c r="H1401" s="7" t="s">
        <v>9</v>
      </c>
    </row>
    <row r="1402" spans="1:8" ht="15" customHeight="1">
      <c r="A1402" s="5">
        <v>1400</v>
      </c>
      <c r="B1402" s="6" t="str">
        <f>"王赞帅"</f>
        <v>王赞帅</v>
      </c>
      <c r="C1402" s="6" t="str">
        <f aca="true" t="shared" si="737" ref="C1402:C1407">"男"</f>
        <v>男</v>
      </c>
      <c r="D1402" s="6" t="str">
        <f>"1999-08-03"</f>
        <v>1999-08-03</v>
      </c>
      <c r="E1402" s="6" t="str">
        <f t="shared" si="736"/>
        <v>本科</v>
      </c>
      <c r="F1402" s="6" t="str">
        <f>"学士学位"</f>
        <v>学士学位</v>
      </c>
      <c r="G1402" s="6" t="str">
        <f>"信息管理与信息系统（医药管理方向）"</f>
        <v>信息管理与信息系统（医药管理方向）</v>
      </c>
      <c r="H1402" s="7" t="s">
        <v>9</v>
      </c>
    </row>
    <row r="1403" spans="1:8" ht="15" customHeight="1">
      <c r="A1403" s="5">
        <v>1401</v>
      </c>
      <c r="B1403" s="6" t="str">
        <f>"张云霞"</f>
        <v>张云霞</v>
      </c>
      <c r="C1403" s="6" t="str">
        <f>"女"</f>
        <v>女</v>
      </c>
      <c r="D1403" s="6" t="str">
        <f>"1990-03-19"</f>
        <v>1990-03-19</v>
      </c>
      <c r="E1403" s="6" t="str">
        <f>"大学本科学历"</f>
        <v>大学本科学历</v>
      </c>
      <c r="F1403" s="6" t="str">
        <f>"经济学学士"</f>
        <v>经济学学士</v>
      </c>
      <c r="G1403" s="6" t="str">
        <f>"国际经济与贸易"</f>
        <v>国际经济与贸易</v>
      </c>
      <c r="H1403" s="7" t="s">
        <v>9</v>
      </c>
    </row>
    <row r="1404" spans="1:8" ht="15" customHeight="1">
      <c r="A1404" s="5">
        <v>1402</v>
      </c>
      <c r="B1404" s="6" t="str">
        <f>"符家著"</f>
        <v>符家著</v>
      </c>
      <c r="C1404" s="6" t="str">
        <f t="shared" si="737"/>
        <v>男</v>
      </c>
      <c r="D1404" s="6" t="str">
        <f>"1999-11-23"</f>
        <v>1999-11-23</v>
      </c>
      <c r="E1404" s="6" t="str">
        <f t="shared" si="736"/>
        <v>本科</v>
      </c>
      <c r="F1404" s="6" t="str">
        <f>"农学学士"</f>
        <v>农学学士</v>
      </c>
      <c r="G1404" s="6" t="str">
        <f>"动物科学"</f>
        <v>动物科学</v>
      </c>
      <c r="H1404" s="7" t="s">
        <v>9</v>
      </c>
    </row>
    <row r="1405" spans="1:8" ht="15" customHeight="1">
      <c r="A1405" s="5">
        <v>1403</v>
      </c>
      <c r="B1405" s="6" t="str">
        <f>"陈明锋"</f>
        <v>陈明锋</v>
      </c>
      <c r="C1405" s="6" t="str">
        <f t="shared" si="737"/>
        <v>男</v>
      </c>
      <c r="D1405" s="6" t="str">
        <f>"1999-08-26"</f>
        <v>1999-08-26</v>
      </c>
      <c r="E1405" s="6" t="str">
        <f t="shared" si="736"/>
        <v>本科</v>
      </c>
      <c r="F1405" s="6" t="str">
        <f>"管理学学士"</f>
        <v>管理学学士</v>
      </c>
      <c r="G1405" s="6" t="str">
        <f>"旅游管理"</f>
        <v>旅游管理</v>
      </c>
      <c r="H1405" s="7" t="s">
        <v>9</v>
      </c>
    </row>
    <row r="1406" spans="1:8" ht="15" customHeight="1">
      <c r="A1406" s="5">
        <v>1404</v>
      </c>
      <c r="B1406" s="6" t="str">
        <f>"李海山"</f>
        <v>李海山</v>
      </c>
      <c r="C1406" s="6" t="str">
        <f t="shared" si="737"/>
        <v>男</v>
      </c>
      <c r="D1406" s="6" t="str">
        <f>"1998-10-29"</f>
        <v>1998-10-29</v>
      </c>
      <c r="E1406" s="6" t="str">
        <f>"大学本科"</f>
        <v>大学本科</v>
      </c>
      <c r="F1406" s="6" t="str">
        <f aca="true" t="shared" si="738" ref="F1406:F1409">"工学学士"</f>
        <v>工学学士</v>
      </c>
      <c r="G1406" s="6" t="str">
        <f aca="true" t="shared" si="739" ref="G1406:G1411">"环境工程"</f>
        <v>环境工程</v>
      </c>
      <c r="H1406" s="7" t="s">
        <v>9</v>
      </c>
    </row>
    <row r="1407" spans="1:8" ht="15" customHeight="1">
      <c r="A1407" s="5">
        <v>1405</v>
      </c>
      <c r="B1407" s="6" t="str">
        <f>"陈秋"</f>
        <v>陈秋</v>
      </c>
      <c r="C1407" s="6" t="str">
        <f t="shared" si="737"/>
        <v>男</v>
      </c>
      <c r="D1407" s="6" t="str">
        <f>"1990-09-03"</f>
        <v>1990-09-03</v>
      </c>
      <c r="E1407" s="6" t="str">
        <f aca="true" t="shared" si="740" ref="E1407:E1409">"本科"</f>
        <v>本科</v>
      </c>
      <c r="F1407" s="6" t="str">
        <f t="shared" si="738"/>
        <v>工学学士</v>
      </c>
      <c r="G1407" s="6" t="str">
        <f>"土木工程"</f>
        <v>土木工程</v>
      </c>
      <c r="H1407" s="7" t="s">
        <v>9</v>
      </c>
    </row>
    <row r="1408" spans="1:8" ht="15" customHeight="1">
      <c r="A1408" s="5">
        <v>1406</v>
      </c>
      <c r="B1408" s="6" t="str">
        <f>"李娟"</f>
        <v>李娟</v>
      </c>
      <c r="C1408" s="6" t="str">
        <f aca="true" t="shared" si="741" ref="C1408:C1410">"女"</f>
        <v>女</v>
      </c>
      <c r="D1408" s="6" t="str">
        <f>"1993-12-28"</f>
        <v>1993-12-28</v>
      </c>
      <c r="E1408" s="6" t="str">
        <f t="shared" si="740"/>
        <v>本科</v>
      </c>
      <c r="F1408" s="6" t="str">
        <f t="shared" si="738"/>
        <v>工学学士</v>
      </c>
      <c r="G1408" s="6" t="str">
        <f t="shared" si="739"/>
        <v>环境工程</v>
      </c>
      <c r="H1408" s="7" t="s">
        <v>9</v>
      </c>
    </row>
    <row r="1409" spans="1:8" ht="15" customHeight="1">
      <c r="A1409" s="5">
        <v>1407</v>
      </c>
      <c r="B1409" s="6" t="str">
        <f>"王婷婷"</f>
        <v>王婷婷</v>
      </c>
      <c r="C1409" s="6" t="str">
        <f t="shared" si="741"/>
        <v>女</v>
      </c>
      <c r="D1409" s="6" t="str">
        <f>"1999-08-25"</f>
        <v>1999-08-25</v>
      </c>
      <c r="E1409" s="6" t="str">
        <f t="shared" si="740"/>
        <v>本科</v>
      </c>
      <c r="F1409" s="6" t="str">
        <f t="shared" si="738"/>
        <v>工学学士</v>
      </c>
      <c r="G1409" s="6" t="str">
        <f>"工程管理"</f>
        <v>工程管理</v>
      </c>
      <c r="H1409" s="7" t="s">
        <v>9</v>
      </c>
    </row>
    <row r="1410" spans="1:8" ht="15" customHeight="1">
      <c r="A1410" s="5">
        <v>1408</v>
      </c>
      <c r="B1410" s="6" t="str">
        <f>"刘珊"</f>
        <v>刘珊</v>
      </c>
      <c r="C1410" s="6" t="str">
        <f t="shared" si="741"/>
        <v>女</v>
      </c>
      <c r="D1410" s="6" t="str">
        <f>"1995-07-09"</f>
        <v>1995-07-09</v>
      </c>
      <c r="E1410" s="6" t="str">
        <f>"普通高等教育"</f>
        <v>普通高等教育</v>
      </c>
      <c r="F1410" s="6" t="str">
        <f>"理学学士"</f>
        <v>理学学士</v>
      </c>
      <c r="G1410" s="6" t="str">
        <f>"环境科学"</f>
        <v>环境科学</v>
      </c>
      <c r="H1410" s="7" t="s">
        <v>9</v>
      </c>
    </row>
    <row r="1411" spans="1:8" ht="15" customHeight="1">
      <c r="A1411" s="5">
        <v>1409</v>
      </c>
      <c r="B1411" s="6" t="str">
        <f>"陈玮俊"</f>
        <v>陈玮俊</v>
      </c>
      <c r="C1411" s="6" t="str">
        <f aca="true" t="shared" si="742" ref="C1411:C1414">"男"</f>
        <v>男</v>
      </c>
      <c r="D1411" s="6" t="str">
        <f>"2000-08-11"</f>
        <v>2000-08-11</v>
      </c>
      <c r="E1411" s="6" t="str">
        <f aca="true" t="shared" si="743" ref="E1411:E1414">"本科"</f>
        <v>本科</v>
      </c>
      <c r="F1411" s="6" t="str">
        <f>"学士"</f>
        <v>学士</v>
      </c>
      <c r="G1411" s="6" t="str">
        <f t="shared" si="739"/>
        <v>环境工程</v>
      </c>
      <c r="H1411" s="7" t="s">
        <v>9</v>
      </c>
    </row>
    <row r="1412" spans="1:8" ht="15" customHeight="1">
      <c r="A1412" s="5">
        <v>1410</v>
      </c>
      <c r="B1412" s="6" t="str">
        <f>"赵志伟"</f>
        <v>赵志伟</v>
      </c>
      <c r="C1412" s="6" t="str">
        <f t="shared" si="742"/>
        <v>男</v>
      </c>
      <c r="D1412" s="6" t="str">
        <f>"1994-05-06"</f>
        <v>1994-05-06</v>
      </c>
      <c r="E1412" s="6" t="str">
        <f t="shared" si="743"/>
        <v>本科</v>
      </c>
      <c r="F1412" s="6" t="str">
        <f aca="true" t="shared" si="744" ref="F1412:F1417">"工学学士"</f>
        <v>工学学士</v>
      </c>
      <c r="G1412" s="6" t="str">
        <f>"土木工程"</f>
        <v>土木工程</v>
      </c>
      <c r="H1412" s="7" t="s">
        <v>9</v>
      </c>
    </row>
    <row r="1413" spans="1:8" ht="15" customHeight="1">
      <c r="A1413" s="5">
        <v>1411</v>
      </c>
      <c r="B1413" s="6" t="str">
        <f>"王延欢"</f>
        <v>王延欢</v>
      </c>
      <c r="C1413" s="6" t="str">
        <f aca="true" t="shared" si="745" ref="C1413:C1419">"女"</f>
        <v>女</v>
      </c>
      <c r="D1413" s="6" t="str">
        <f>"1999-02-06"</f>
        <v>1999-02-06</v>
      </c>
      <c r="E1413" s="6" t="str">
        <f t="shared" si="743"/>
        <v>本科</v>
      </c>
      <c r="F1413" s="6" t="str">
        <f>"理学学士"</f>
        <v>理学学士</v>
      </c>
      <c r="G1413" s="6" t="str">
        <f>"计算机科学与技术"</f>
        <v>计算机科学与技术</v>
      </c>
      <c r="H1413" s="7" t="s">
        <v>9</v>
      </c>
    </row>
    <row r="1414" spans="1:8" ht="15" customHeight="1">
      <c r="A1414" s="5">
        <v>1412</v>
      </c>
      <c r="B1414" s="6" t="str">
        <f>"王启哲"</f>
        <v>王启哲</v>
      </c>
      <c r="C1414" s="6" t="str">
        <f t="shared" si="742"/>
        <v>男</v>
      </c>
      <c r="D1414" s="6" t="str">
        <f>"1999-11-18"</f>
        <v>1999-11-18</v>
      </c>
      <c r="E1414" s="6" t="str">
        <f t="shared" si="743"/>
        <v>本科</v>
      </c>
      <c r="F1414" s="6" t="str">
        <f t="shared" si="744"/>
        <v>工学学士</v>
      </c>
      <c r="G1414" s="6" t="str">
        <f>"数据科学与大数据技术"</f>
        <v>数据科学与大数据技术</v>
      </c>
      <c r="H1414" s="7" t="s">
        <v>9</v>
      </c>
    </row>
    <row r="1415" spans="1:8" ht="15" customHeight="1">
      <c r="A1415" s="5">
        <v>1413</v>
      </c>
      <c r="B1415" s="6" t="str">
        <f>"莫仙姬"</f>
        <v>莫仙姬</v>
      </c>
      <c r="C1415" s="6" t="str">
        <f t="shared" si="745"/>
        <v>女</v>
      </c>
      <c r="D1415" s="6" t="str">
        <f>"1994-12-01"</f>
        <v>1994-12-01</v>
      </c>
      <c r="E1415" s="6" t="str">
        <f>"硕士研究生"</f>
        <v>硕士研究生</v>
      </c>
      <c r="F1415" s="6" t="str">
        <f>"经济与管理硕士学位"</f>
        <v>经济与管理硕士学位</v>
      </c>
      <c r="G1415" s="6" t="str">
        <f>"企业经济与管理"</f>
        <v>企业经济与管理</v>
      </c>
      <c r="H1415" s="7" t="s">
        <v>9</v>
      </c>
    </row>
    <row r="1416" spans="1:8" ht="15" customHeight="1">
      <c r="A1416" s="5">
        <v>1414</v>
      </c>
      <c r="B1416" s="6" t="str">
        <f>"莫兰明"</f>
        <v>莫兰明</v>
      </c>
      <c r="C1416" s="6" t="str">
        <f aca="true" t="shared" si="746" ref="C1416:C1422">"男"</f>
        <v>男</v>
      </c>
      <c r="D1416" s="6" t="str">
        <f>"1997-12-11"</f>
        <v>1997-12-11</v>
      </c>
      <c r="E1416" s="6" t="str">
        <f aca="true" t="shared" si="747" ref="E1416:E1427">"本科"</f>
        <v>本科</v>
      </c>
      <c r="F1416" s="6" t="str">
        <f>"管理学学士"</f>
        <v>管理学学士</v>
      </c>
      <c r="G1416" s="6" t="str">
        <f>"市场营销(国际市场营销方向)"</f>
        <v>市场营销(国际市场营销方向)</v>
      </c>
      <c r="H1416" s="7" t="s">
        <v>9</v>
      </c>
    </row>
    <row r="1417" spans="1:8" ht="15" customHeight="1">
      <c r="A1417" s="5">
        <v>1415</v>
      </c>
      <c r="B1417" s="6" t="str">
        <f>"严金塘"</f>
        <v>严金塘</v>
      </c>
      <c r="C1417" s="6" t="str">
        <f t="shared" si="746"/>
        <v>男</v>
      </c>
      <c r="D1417" s="6" t="str">
        <f>"1997-09-22"</f>
        <v>1997-09-22</v>
      </c>
      <c r="E1417" s="6" t="str">
        <f>"大学本科"</f>
        <v>大学本科</v>
      </c>
      <c r="F1417" s="6" t="str">
        <f t="shared" si="744"/>
        <v>工学学士</v>
      </c>
      <c r="G1417" s="6" t="str">
        <f>"计算机科学与技术"</f>
        <v>计算机科学与技术</v>
      </c>
      <c r="H1417" s="7" t="s">
        <v>9</v>
      </c>
    </row>
    <row r="1418" spans="1:8" ht="15" customHeight="1">
      <c r="A1418" s="5">
        <v>1416</v>
      </c>
      <c r="B1418" s="6" t="str">
        <f>"马欣"</f>
        <v>马欣</v>
      </c>
      <c r="C1418" s="6" t="str">
        <f t="shared" si="745"/>
        <v>女</v>
      </c>
      <c r="D1418" s="6" t="str">
        <f>"1992-09-30"</f>
        <v>1992-09-30</v>
      </c>
      <c r="E1418" s="6" t="str">
        <f t="shared" si="747"/>
        <v>本科</v>
      </c>
      <c r="F1418" s="6" t="str">
        <f>"经济学学士"</f>
        <v>经济学学士</v>
      </c>
      <c r="G1418" s="6" t="str">
        <f>"经济学"</f>
        <v>经济学</v>
      </c>
      <c r="H1418" s="7" t="s">
        <v>9</v>
      </c>
    </row>
    <row r="1419" spans="1:8" ht="15" customHeight="1">
      <c r="A1419" s="5">
        <v>1417</v>
      </c>
      <c r="B1419" s="6" t="str">
        <f>"张海君"</f>
        <v>张海君</v>
      </c>
      <c r="C1419" s="6" t="str">
        <f t="shared" si="745"/>
        <v>女</v>
      </c>
      <c r="D1419" s="6" t="str">
        <f>"1995-01-08"</f>
        <v>1995-01-08</v>
      </c>
      <c r="E1419" s="6" t="str">
        <f t="shared" si="747"/>
        <v>本科</v>
      </c>
      <c r="F1419" s="6" t="str">
        <f>"学士学位"</f>
        <v>学士学位</v>
      </c>
      <c r="G1419" s="6" t="str">
        <f>"秘书学"</f>
        <v>秘书学</v>
      </c>
      <c r="H1419" s="7" t="s">
        <v>9</v>
      </c>
    </row>
    <row r="1420" spans="1:8" ht="15" customHeight="1">
      <c r="A1420" s="5">
        <v>1418</v>
      </c>
      <c r="B1420" s="6" t="str">
        <f>"邢孔业"</f>
        <v>邢孔业</v>
      </c>
      <c r="C1420" s="6" t="str">
        <f t="shared" si="746"/>
        <v>男</v>
      </c>
      <c r="D1420" s="6" t="str">
        <f>"1999-01-29"</f>
        <v>1999-01-29</v>
      </c>
      <c r="E1420" s="6" t="str">
        <f t="shared" si="747"/>
        <v>本科</v>
      </c>
      <c r="F1420" s="6" t="str">
        <f>"工商管理学学士"</f>
        <v>工商管理学学士</v>
      </c>
      <c r="G1420" s="6" t="str">
        <f>"会计学"</f>
        <v>会计学</v>
      </c>
      <c r="H1420" s="7" t="s">
        <v>9</v>
      </c>
    </row>
    <row r="1421" spans="1:8" ht="15" customHeight="1">
      <c r="A1421" s="5">
        <v>1419</v>
      </c>
      <c r="B1421" s="6" t="str">
        <f>"吴朝江"</f>
        <v>吴朝江</v>
      </c>
      <c r="C1421" s="6" t="str">
        <f t="shared" si="746"/>
        <v>男</v>
      </c>
      <c r="D1421" s="6" t="str">
        <f>"2001-11-07"</f>
        <v>2001-11-07</v>
      </c>
      <c r="E1421" s="6" t="str">
        <f t="shared" si="747"/>
        <v>本科</v>
      </c>
      <c r="F1421" s="6" t="str">
        <f>"农学学士"</f>
        <v>农学学士</v>
      </c>
      <c r="G1421" s="6" t="str">
        <f>"水产养殖学"</f>
        <v>水产养殖学</v>
      </c>
      <c r="H1421" s="7" t="s">
        <v>9</v>
      </c>
    </row>
    <row r="1422" spans="1:8" ht="15" customHeight="1">
      <c r="A1422" s="5">
        <v>1420</v>
      </c>
      <c r="B1422" s="6" t="str">
        <f>"李有钦"</f>
        <v>李有钦</v>
      </c>
      <c r="C1422" s="6" t="str">
        <f t="shared" si="746"/>
        <v>男</v>
      </c>
      <c r="D1422" s="6" t="str">
        <f>"1999-07-25"</f>
        <v>1999-07-25</v>
      </c>
      <c r="E1422" s="6" t="str">
        <f t="shared" si="747"/>
        <v>本科</v>
      </c>
      <c r="F1422" s="6" t="str">
        <f>"工学学士"</f>
        <v>工学学士</v>
      </c>
      <c r="G1422" s="6" t="str">
        <f>"道路桥梁与渡河工程"</f>
        <v>道路桥梁与渡河工程</v>
      </c>
      <c r="H1422" s="7" t="s">
        <v>9</v>
      </c>
    </row>
    <row r="1423" spans="1:8" ht="15" customHeight="1">
      <c r="A1423" s="5">
        <v>1421</v>
      </c>
      <c r="B1423" s="6" t="str">
        <f>"王元元"</f>
        <v>王元元</v>
      </c>
      <c r="C1423" s="6" t="str">
        <f aca="true" t="shared" si="748" ref="C1423:C1427">"女"</f>
        <v>女</v>
      </c>
      <c r="D1423" s="6" t="str">
        <f>"1999-01-05"</f>
        <v>1999-01-05</v>
      </c>
      <c r="E1423" s="6" t="str">
        <f t="shared" si="747"/>
        <v>本科</v>
      </c>
      <c r="F1423" s="6" t="str">
        <f>"经济学学士"</f>
        <v>经济学学士</v>
      </c>
      <c r="G1423" s="6" t="str">
        <f>"经济学"</f>
        <v>经济学</v>
      </c>
      <c r="H1423" s="7" t="s">
        <v>9</v>
      </c>
    </row>
    <row r="1424" spans="1:8" ht="15" customHeight="1">
      <c r="A1424" s="5">
        <v>1422</v>
      </c>
      <c r="B1424" s="6" t="str">
        <f>"唐林蕾"</f>
        <v>唐林蕾</v>
      </c>
      <c r="C1424" s="6" t="str">
        <f t="shared" si="748"/>
        <v>女</v>
      </c>
      <c r="D1424" s="6" t="str">
        <f>"1999-10-15"</f>
        <v>1999-10-15</v>
      </c>
      <c r="E1424" s="6" t="str">
        <f t="shared" si="747"/>
        <v>本科</v>
      </c>
      <c r="F1424" s="6" t="str">
        <f>"管理学学士"</f>
        <v>管理学学士</v>
      </c>
      <c r="G1424" s="6" t="str">
        <f>"信息管理与信息系统"</f>
        <v>信息管理与信息系统</v>
      </c>
      <c r="H1424" s="7" t="s">
        <v>9</v>
      </c>
    </row>
    <row r="1425" spans="1:8" ht="15" customHeight="1">
      <c r="A1425" s="5">
        <v>1423</v>
      </c>
      <c r="B1425" s="6" t="str">
        <f>"李文多"</f>
        <v>李文多</v>
      </c>
      <c r="C1425" s="6" t="str">
        <f aca="true" t="shared" si="749" ref="C1425:C1429">"男"</f>
        <v>男</v>
      </c>
      <c r="D1425" s="6" t="str">
        <f>"1999-02-06"</f>
        <v>1999-02-06</v>
      </c>
      <c r="E1425" s="6" t="str">
        <f t="shared" si="747"/>
        <v>本科</v>
      </c>
      <c r="F1425" s="6" t="str">
        <f>"工学学士"</f>
        <v>工学学士</v>
      </c>
      <c r="G1425" s="6" t="str">
        <f>"计算机科学与技术"</f>
        <v>计算机科学与技术</v>
      </c>
      <c r="H1425" s="7" t="s">
        <v>9</v>
      </c>
    </row>
    <row r="1426" spans="1:8" ht="15" customHeight="1">
      <c r="A1426" s="5">
        <v>1424</v>
      </c>
      <c r="B1426" s="6" t="str">
        <f>"王若鑫"</f>
        <v>王若鑫</v>
      </c>
      <c r="C1426" s="6" t="str">
        <f t="shared" si="749"/>
        <v>男</v>
      </c>
      <c r="D1426" s="6" t="str">
        <f>"2001-02-23"</f>
        <v>2001-02-23</v>
      </c>
      <c r="E1426" s="6" t="str">
        <f t="shared" si="747"/>
        <v>本科</v>
      </c>
      <c r="F1426" s="6" t="str">
        <f>"学士学位"</f>
        <v>学士学位</v>
      </c>
      <c r="G1426" s="6" t="str">
        <f>"工商管理"</f>
        <v>工商管理</v>
      </c>
      <c r="H1426" s="7" t="s">
        <v>9</v>
      </c>
    </row>
    <row r="1427" spans="1:8" ht="15" customHeight="1">
      <c r="A1427" s="5">
        <v>1425</v>
      </c>
      <c r="B1427" s="6" t="str">
        <f>"王慧敏"</f>
        <v>王慧敏</v>
      </c>
      <c r="C1427" s="6" t="str">
        <f t="shared" si="748"/>
        <v>女</v>
      </c>
      <c r="D1427" s="6" t="str">
        <f>"1997-10-06"</f>
        <v>1997-10-06</v>
      </c>
      <c r="E1427" s="6" t="str">
        <f t="shared" si="747"/>
        <v>本科</v>
      </c>
      <c r="F1427" s="6" t="str">
        <f>"农学学士"</f>
        <v>农学学士</v>
      </c>
      <c r="G1427" s="6" t="str">
        <f>"动物科学"</f>
        <v>动物科学</v>
      </c>
      <c r="H1427" s="7" t="s">
        <v>9</v>
      </c>
    </row>
    <row r="1428" spans="1:8" ht="15" customHeight="1">
      <c r="A1428" s="5">
        <v>1426</v>
      </c>
      <c r="B1428" s="6" t="str">
        <f>"周广滨"</f>
        <v>周广滨</v>
      </c>
      <c r="C1428" s="6" t="str">
        <f t="shared" si="749"/>
        <v>男</v>
      </c>
      <c r="D1428" s="6" t="str">
        <f>"1997-01-20"</f>
        <v>1997-01-20</v>
      </c>
      <c r="E1428" s="6" t="str">
        <f>"硕士研究生"</f>
        <v>硕士研究生</v>
      </c>
      <c r="F1428" s="6" t="str">
        <f>"农业硕士"</f>
        <v>农业硕士</v>
      </c>
      <c r="G1428" s="6" t="str">
        <f>"农业（农村发展）"</f>
        <v>农业（农村发展）</v>
      </c>
      <c r="H1428" s="7" t="s">
        <v>9</v>
      </c>
    </row>
    <row r="1429" spans="1:8" ht="15" customHeight="1">
      <c r="A1429" s="5">
        <v>1427</v>
      </c>
      <c r="B1429" s="6" t="str">
        <f>"谭林峰"</f>
        <v>谭林峰</v>
      </c>
      <c r="C1429" s="6" t="str">
        <f t="shared" si="749"/>
        <v>男</v>
      </c>
      <c r="D1429" s="6" t="str">
        <f>"1998-04-05"</f>
        <v>1998-04-05</v>
      </c>
      <c r="E1429" s="6" t="str">
        <f aca="true" t="shared" si="750" ref="E1429:E1431">"本科"</f>
        <v>本科</v>
      </c>
      <c r="F1429" s="6" t="str">
        <f>"工学学士"</f>
        <v>工学学士</v>
      </c>
      <c r="G1429" s="6" t="str">
        <f>"计算机科学与技术"</f>
        <v>计算机科学与技术</v>
      </c>
      <c r="H1429" s="7" t="s">
        <v>9</v>
      </c>
    </row>
    <row r="1430" spans="1:8" ht="15" customHeight="1">
      <c r="A1430" s="5">
        <v>1428</v>
      </c>
      <c r="B1430" s="6" t="str">
        <f>"陈怡婷"</f>
        <v>陈怡婷</v>
      </c>
      <c r="C1430" s="6" t="str">
        <f aca="true" t="shared" si="751" ref="C1430:C1433">"女"</f>
        <v>女</v>
      </c>
      <c r="D1430" s="6" t="str">
        <f>"1991-05-22"</f>
        <v>1991-05-22</v>
      </c>
      <c r="E1430" s="6" t="str">
        <f t="shared" si="750"/>
        <v>本科</v>
      </c>
      <c r="F1430" s="6" t="str">
        <f>"学士学位"</f>
        <v>学士学位</v>
      </c>
      <c r="G1430" s="6" t="str">
        <f>"人力资源管理"</f>
        <v>人力资源管理</v>
      </c>
      <c r="H1430" s="7" t="s">
        <v>9</v>
      </c>
    </row>
    <row r="1431" spans="1:8" ht="15" customHeight="1">
      <c r="A1431" s="5">
        <v>1429</v>
      </c>
      <c r="B1431" s="6" t="str">
        <f>"周晴晴"</f>
        <v>周晴晴</v>
      </c>
      <c r="C1431" s="6" t="str">
        <f t="shared" si="751"/>
        <v>女</v>
      </c>
      <c r="D1431" s="6" t="str">
        <f>"2000-09-27"</f>
        <v>2000-09-27</v>
      </c>
      <c r="E1431" s="6" t="str">
        <f t="shared" si="750"/>
        <v>本科</v>
      </c>
      <c r="F1431" s="6" t="str">
        <f>"管理学学士"</f>
        <v>管理学学士</v>
      </c>
      <c r="G1431" s="6" t="str">
        <f>"审计学"</f>
        <v>审计学</v>
      </c>
      <c r="H1431" s="7" t="s">
        <v>9</v>
      </c>
    </row>
    <row r="1432" spans="1:8" ht="15" customHeight="1">
      <c r="A1432" s="5">
        <v>1430</v>
      </c>
      <c r="B1432" s="6" t="str">
        <f>"林秀"</f>
        <v>林秀</v>
      </c>
      <c r="C1432" s="6" t="str">
        <f t="shared" si="751"/>
        <v>女</v>
      </c>
      <c r="D1432" s="6" t="str">
        <f>"2000-03-02"</f>
        <v>2000-03-02</v>
      </c>
      <c r="E1432" s="6" t="str">
        <f>"大学本科学历"</f>
        <v>大学本科学历</v>
      </c>
      <c r="F1432" s="6" t="str">
        <f>"工学学士"</f>
        <v>工学学士</v>
      </c>
      <c r="G1432" s="6" t="str">
        <f>"计算机科学与技术"</f>
        <v>计算机科学与技术</v>
      </c>
      <c r="H1432" s="7" t="s">
        <v>9</v>
      </c>
    </row>
    <row r="1433" spans="1:8" ht="15" customHeight="1">
      <c r="A1433" s="5">
        <v>1431</v>
      </c>
      <c r="B1433" s="6" t="str">
        <f>"符军风"</f>
        <v>符军风</v>
      </c>
      <c r="C1433" s="6" t="str">
        <f t="shared" si="751"/>
        <v>女</v>
      </c>
      <c r="D1433" s="6" t="str">
        <f>"1994-04-22"</f>
        <v>1994-04-22</v>
      </c>
      <c r="E1433" s="6" t="str">
        <f>"全日制本科"</f>
        <v>全日制本科</v>
      </c>
      <c r="F1433" s="6" t="str">
        <f>"管理学学士"</f>
        <v>管理学学士</v>
      </c>
      <c r="G1433" s="6" t="str">
        <f>"工商管理"</f>
        <v>工商管理</v>
      </c>
      <c r="H1433" s="7" t="s">
        <v>9</v>
      </c>
    </row>
    <row r="1434" spans="1:8" ht="15" customHeight="1">
      <c r="A1434" s="5">
        <v>1432</v>
      </c>
      <c r="B1434" s="6" t="str">
        <f>"陈让峥"</f>
        <v>陈让峥</v>
      </c>
      <c r="C1434" s="6" t="str">
        <f aca="true" t="shared" si="752" ref="C1434:C1438">"男"</f>
        <v>男</v>
      </c>
      <c r="D1434" s="6" t="str">
        <f>"1992-10-10"</f>
        <v>1992-10-10</v>
      </c>
      <c r="E1434" s="6" t="str">
        <f aca="true" t="shared" si="753" ref="E1434:E1442">"本科"</f>
        <v>本科</v>
      </c>
      <c r="F1434" s="6" t="str">
        <f aca="true" t="shared" si="754" ref="F1434:F1439">"学士"</f>
        <v>学士</v>
      </c>
      <c r="G1434" s="6" t="str">
        <f>"工商管理"</f>
        <v>工商管理</v>
      </c>
      <c r="H1434" s="7" t="s">
        <v>9</v>
      </c>
    </row>
    <row r="1435" spans="1:8" ht="15" customHeight="1">
      <c r="A1435" s="5">
        <v>1433</v>
      </c>
      <c r="B1435" s="6" t="str">
        <f>"姚国铭"</f>
        <v>姚国铭</v>
      </c>
      <c r="C1435" s="6" t="str">
        <f t="shared" si="752"/>
        <v>男</v>
      </c>
      <c r="D1435" s="6" t="str">
        <f>"1989-12-20"</f>
        <v>1989-12-20</v>
      </c>
      <c r="E1435" s="6" t="str">
        <f t="shared" si="753"/>
        <v>本科</v>
      </c>
      <c r="F1435" s="6" t="str">
        <f>"工学学士"</f>
        <v>工学学士</v>
      </c>
      <c r="G1435" s="6" t="str">
        <f>"计算机科学与技术"</f>
        <v>计算机科学与技术</v>
      </c>
      <c r="H1435" s="7" t="s">
        <v>9</v>
      </c>
    </row>
    <row r="1436" spans="1:8" ht="15" customHeight="1">
      <c r="A1436" s="5">
        <v>1434</v>
      </c>
      <c r="B1436" s="6" t="str">
        <f>"王琼悦"</f>
        <v>王琼悦</v>
      </c>
      <c r="C1436" s="6" t="str">
        <f aca="true" t="shared" si="755" ref="C1436:C1441">"女"</f>
        <v>女</v>
      </c>
      <c r="D1436" s="6" t="str">
        <f>"2001-03-11"</f>
        <v>2001-03-11</v>
      </c>
      <c r="E1436" s="6" t="str">
        <f t="shared" si="753"/>
        <v>本科</v>
      </c>
      <c r="F1436" s="6" t="str">
        <f>"文学学士"</f>
        <v>文学学士</v>
      </c>
      <c r="G1436" s="6" t="str">
        <f>"汉语言文学"</f>
        <v>汉语言文学</v>
      </c>
      <c r="H1436" s="7" t="s">
        <v>9</v>
      </c>
    </row>
    <row r="1437" spans="1:8" ht="15" customHeight="1">
      <c r="A1437" s="5">
        <v>1435</v>
      </c>
      <c r="B1437" s="6" t="str">
        <f>"孙苑"</f>
        <v>孙苑</v>
      </c>
      <c r="C1437" s="6" t="str">
        <f t="shared" si="752"/>
        <v>男</v>
      </c>
      <c r="D1437" s="6" t="str">
        <f>"1987-08-10"</f>
        <v>1987-08-10</v>
      </c>
      <c r="E1437" s="6" t="str">
        <f t="shared" si="753"/>
        <v>本科</v>
      </c>
      <c r="F1437" s="6" t="str">
        <f t="shared" si="754"/>
        <v>学士</v>
      </c>
      <c r="G1437" s="6" t="str">
        <f>"公共事业管理"</f>
        <v>公共事业管理</v>
      </c>
      <c r="H1437" s="7" t="s">
        <v>9</v>
      </c>
    </row>
    <row r="1438" spans="1:8" ht="15" customHeight="1">
      <c r="A1438" s="5">
        <v>1436</v>
      </c>
      <c r="B1438" s="6" t="str">
        <f>"陈博强"</f>
        <v>陈博强</v>
      </c>
      <c r="C1438" s="6" t="str">
        <f t="shared" si="752"/>
        <v>男</v>
      </c>
      <c r="D1438" s="6" t="str">
        <f>"1999-03-15"</f>
        <v>1999-03-15</v>
      </c>
      <c r="E1438" s="6" t="str">
        <f t="shared" si="753"/>
        <v>本科</v>
      </c>
      <c r="F1438" s="6" t="str">
        <f t="shared" si="754"/>
        <v>学士</v>
      </c>
      <c r="G1438" s="6" t="str">
        <f>"土木工程"</f>
        <v>土木工程</v>
      </c>
      <c r="H1438" s="7" t="s">
        <v>9</v>
      </c>
    </row>
    <row r="1439" spans="1:8" ht="15" customHeight="1">
      <c r="A1439" s="5">
        <v>1437</v>
      </c>
      <c r="B1439" s="6" t="str">
        <f>"洪嘉怡"</f>
        <v>洪嘉怡</v>
      </c>
      <c r="C1439" s="6" t="str">
        <f t="shared" si="755"/>
        <v>女</v>
      </c>
      <c r="D1439" s="6" t="str">
        <f>"2001-11-27"</f>
        <v>2001-11-27</v>
      </c>
      <c r="E1439" s="6" t="str">
        <f t="shared" si="753"/>
        <v>本科</v>
      </c>
      <c r="F1439" s="6" t="str">
        <f t="shared" si="754"/>
        <v>学士</v>
      </c>
      <c r="G1439" s="6" t="str">
        <f>"物联网工程"</f>
        <v>物联网工程</v>
      </c>
      <c r="H1439" s="7" t="s">
        <v>9</v>
      </c>
    </row>
    <row r="1440" spans="1:8" ht="15" customHeight="1">
      <c r="A1440" s="5">
        <v>1438</v>
      </c>
      <c r="B1440" s="6" t="str">
        <f>"邢西西"</f>
        <v>邢西西</v>
      </c>
      <c r="C1440" s="6" t="str">
        <f aca="true" t="shared" si="756" ref="C1440:C1445">"男"</f>
        <v>男</v>
      </c>
      <c r="D1440" s="6" t="str">
        <f>"1990-08-12"</f>
        <v>1990-08-12</v>
      </c>
      <c r="E1440" s="6" t="str">
        <f t="shared" si="753"/>
        <v>本科</v>
      </c>
      <c r="F1440" s="6" t="str">
        <f>"管理学学士"</f>
        <v>管理学学士</v>
      </c>
      <c r="G1440" s="6" t="str">
        <f>"工程管理"</f>
        <v>工程管理</v>
      </c>
      <c r="H1440" s="7" t="s">
        <v>9</v>
      </c>
    </row>
    <row r="1441" spans="1:8" ht="15" customHeight="1">
      <c r="A1441" s="5">
        <v>1439</v>
      </c>
      <c r="B1441" s="6" t="str">
        <f>"周小叶"</f>
        <v>周小叶</v>
      </c>
      <c r="C1441" s="6" t="str">
        <f t="shared" si="755"/>
        <v>女</v>
      </c>
      <c r="D1441" s="6" t="str">
        <f>"1998-06-06"</f>
        <v>1998-06-06</v>
      </c>
      <c r="E1441" s="6" t="str">
        <f t="shared" si="753"/>
        <v>本科</v>
      </c>
      <c r="F1441" s="6" t="str">
        <f>"工学学士"</f>
        <v>工学学士</v>
      </c>
      <c r="G1441" s="6" t="str">
        <f>"城乡规划"</f>
        <v>城乡规划</v>
      </c>
      <c r="H1441" s="7" t="s">
        <v>9</v>
      </c>
    </row>
    <row r="1442" spans="1:8" ht="15" customHeight="1">
      <c r="A1442" s="5">
        <v>1440</v>
      </c>
      <c r="B1442" s="6" t="str">
        <f>"陈锴"</f>
        <v>陈锴</v>
      </c>
      <c r="C1442" s="6" t="str">
        <f t="shared" si="756"/>
        <v>男</v>
      </c>
      <c r="D1442" s="6" t="str">
        <f>"1998-05-26"</f>
        <v>1998-05-26</v>
      </c>
      <c r="E1442" s="6" t="str">
        <f t="shared" si="753"/>
        <v>本科</v>
      </c>
      <c r="F1442" s="6" t="str">
        <f>"工学学士"</f>
        <v>工学学士</v>
      </c>
      <c r="G1442" s="6" t="str">
        <f>"环境工程"</f>
        <v>环境工程</v>
      </c>
      <c r="H1442" s="7" t="s">
        <v>9</v>
      </c>
    </row>
    <row r="1443" spans="1:8" ht="15" customHeight="1">
      <c r="A1443" s="5">
        <v>1441</v>
      </c>
      <c r="B1443" s="6" t="str">
        <f>"张静"</f>
        <v>张静</v>
      </c>
      <c r="C1443" s="6" t="str">
        <f aca="true" t="shared" si="757" ref="C1443:C1446">"女"</f>
        <v>女</v>
      </c>
      <c r="D1443" s="6" t="str">
        <f>"1997-11-20"</f>
        <v>1997-11-20</v>
      </c>
      <c r="E1443" s="6" t="str">
        <f>"大学本科"</f>
        <v>大学本科</v>
      </c>
      <c r="F1443" s="6" t="str">
        <f>"管理学学士学位"</f>
        <v>管理学学士学位</v>
      </c>
      <c r="G1443" s="6" t="str">
        <f>"劳动与社会保障"</f>
        <v>劳动与社会保障</v>
      </c>
      <c r="H1443" s="7" t="s">
        <v>9</v>
      </c>
    </row>
    <row r="1444" spans="1:8" ht="15" customHeight="1">
      <c r="A1444" s="5">
        <v>1442</v>
      </c>
      <c r="B1444" s="6" t="str">
        <f>"黄慧茹"</f>
        <v>黄慧茹</v>
      </c>
      <c r="C1444" s="6" t="str">
        <f t="shared" si="757"/>
        <v>女</v>
      </c>
      <c r="D1444" s="6" t="str">
        <f>"2001-06-03"</f>
        <v>2001-06-03</v>
      </c>
      <c r="E1444" s="6" t="str">
        <f aca="true" t="shared" si="758" ref="E1444:E1448">"本科"</f>
        <v>本科</v>
      </c>
      <c r="F1444" s="6" t="str">
        <f>"管理学学士"</f>
        <v>管理学学士</v>
      </c>
      <c r="G1444" s="6" t="str">
        <f>"国际商务"</f>
        <v>国际商务</v>
      </c>
      <c r="H1444" s="7" t="s">
        <v>9</v>
      </c>
    </row>
    <row r="1445" spans="1:8" ht="15" customHeight="1">
      <c r="A1445" s="5">
        <v>1443</v>
      </c>
      <c r="B1445" s="6" t="str">
        <f>"王康任"</f>
        <v>王康任</v>
      </c>
      <c r="C1445" s="6" t="str">
        <f t="shared" si="756"/>
        <v>男</v>
      </c>
      <c r="D1445" s="6" t="str">
        <f>"1994-09-22"</f>
        <v>1994-09-22</v>
      </c>
      <c r="E1445" s="6" t="str">
        <f t="shared" si="758"/>
        <v>本科</v>
      </c>
      <c r="F1445" s="6" t="str">
        <f>"工学"</f>
        <v>工学</v>
      </c>
      <c r="G1445" s="6" t="str">
        <f>"工程造价"</f>
        <v>工程造价</v>
      </c>
      <c r="H1445" s="7" t="s">
        <v>9</v>
      </c>
    </row>
    <row r="1446" spans="1:8" ht="15" customHeight="1">
      <c r="A1446" s="5">
        <v>1444</v>
      </c>
      <c r="B1446" s="6" t="str">
        <f>"符妍莲"</f>
        <v>符妍莲</v>
      </c>
      <c r="C1446" s="6" t="str">
        <f t="shared" si="757"/>
        <v>女</v>
      </c>
      <c r="D1446" s="6" t="str">
        <f>"1993-11-28"</f>
        <v>1993-11-28</v>
      </c>
      <c r="E1446" s="6" t="str">
        <f t="shared" si="758"/>
        <v>本科</v>
      </c>
      <c r="F1446" s="6" t="str">
        <f>"农学学士"</f>
        <v>农学学士</v>
      </c>
      <c r="G1446" s="6" t="str">
        <f>"植物保护"</f>
        <v>植物保护</v>
      </c>
      <c r="H1446" s="7" t="s">
        <v>9</v>
      </c>
    </row>
    <row r="1447" spans="1:8" ht="15" customHeight="1">
      <c r="A1447" s="5">
        <v>1445</v>
      </c>
      <c r="B1447" s="6" t="str">
        <f>"谢宗岳"</f>
        <v>谢宗岳</v>
      </c>
      <c r="C1447" s="6" t="str">
        <f aca="true" t="shared" si="759" ref="C1447:C1450">"男"</f>
        <v>男</v>
      </c>
      <c r="D1447" s="6" t="str">
        <f>"1996-10-30"</f>
        <v>1996-10-30</v>
      </c>
      <c r="E1447" s="6" t="str">
        <f t="shared" si="758"/>
        <v>本科</v>
      </c>
      <c r="F1447" s="6" t="str">
        <f>"学士"</f>
        <v>学士</v>
      </c>
      <c r="G1447" s="6" t="str">
        <f>"旅游管理"</f>
        <v>旅游管理</v>
      </c>
      <c r="H1447" s="7" t="s">
        <v>9</v>
      </c>
    </row>
    <row r="1448" spans="1:8" ht="15" customHeight="1">
      <c r="A1448" s="5">
        <v>1446</v>
      </c>
      <c r="B1448" s="6" t="str">
        <f>"李祝雨"</f>
        <v>李祝雨</v>
      </c>
      <c r="C1448" s="6" t="str">
        <f aca="true" t="shared" si="760" ref="C1448:C1452">"女"</f>
        <v>女</v>
      </c>
      <c r="D1448" s="6" t="str">
        <f>"1998-08-03"</f>
        <v>1998-08-03</v>
      </c>
      <c r="E1448" s="6" t="str">
        <f t="shared" si="758"/>
        <v>本科</v>
      </c>
      <c r="F1448" s="6" t="str">
        <f aca="true" t="shared" si="761" ref="F1448:F1453">"工学学士"</f>
        <v>工学学士</v>
      </c>
      <c r="G1448" s="6" t="str">
        <f>"风景园林(园林工程技术方向)"</f>
        <v>风景园林(园林工程技术方向)</v>
      </c>
      <c r="H1448" s="7" t="s">
        <v>9</v>
      </c>
    </row>
    <row r="1449" spans="1:8" ht="15" customHeight="1">
      <c r="A1449" s="5">
        <v>1447</v>
      </c>
      <c r="B1449" s="6" t="str">
        <f>"符盛达"</f>
        <v>符盛达</v>
      </c>
      <c r="C1449" s="6" t="str">
        <f t="shared" si="759"/>
        <v>男</v>
      </c>
      <c r="D1449" s="6" t="str">
        <f>"1991-02-10"</f>
        <v>1991-02-10</v>
      </c>
      <c r="E1449" s="6" t="str">
        <f>"全日制本科"</f>
        <v>全日制本科</v>
      </c>
      <c r="F1449" s="6" t="str">
        <f>"农学学士学位"</f>
        <v>农学学士学位</v>
      </c>
      <c r="G1449" s="6" t="str">
        <f>"农学"</f>
        <v>农学</v>
      </c>
      <c r="H1449" s="7" t="s">
        <v>9</v>
      </c>
    </row>
    <row r="1450" spans="1:8" ht="15" customHeight="1">
      <c r="A1450" s="5">
        <v>1448</v>
      </c>
      <c r="B1450" s="6" t="str">
        <f>"李德龙"</f>
        <v>李德龙</v>
      </c>
      <c r="C1450" s="6" t="str">
        <f t="shared" si="759"/>
        <v>男</v>
      </c>
      <c r="D1450" s="6" t="str">
        <f>"1991-11-08"</f>
        <v>1991-11-08</v>
      </c>
      <c r="E1450" s="6" t="str">
        <f aca="true" t="shared" si="762" ref="E1450:E1454">"大学本科"</f>
        <v>大学本科</v>
      </c>
      <c r="F1450" s="6" t="str">
        <f t="shared" si="761"/>
        <v>工学学士</v>
      </c>
      <c r="G1450" s="6" t="str">
        <f>"计算机科学与技术"</f>
        <v>计算机科学与技术</v>
      </c>
      <c r="H1450" s="7" t="s">
        <v>9</v>
      </c>
    </row>
    <row r="1451" spans="1:8" ht="15" customHeight="1">
      <c r="A1451" s="5">
        <v>1449</v>
      </c>
      <c r="B1451" s="6" t="str">
        <f>"符龙倩"</f>
        <v>符龙倩</v>
      </c>
      <c r="C1451" s="6" t="str">
        <f t="shared" si="760"/>
        <v>女</v>
      </c>
      <c r="D1451" s="6" t="str">
        <f>"1989-05-10"</f>
        <v>1989-05-10</v>
      </c>
      <c r="E1451" s="6" t="str">
        <f>"全日制本科"</f>
        <v>全日制本科</v>
      </c>
      <c r="F1451" s="6" t="str">
        <f>"农学学士"</f>
        <v>农学学士</v>
      </c>
      <c r="G1451" s="6" t="str">
        <f>"农业资源与环境"</f>
        <v>农业资源与环境</v>
      </c>
      <c r="H1451" s="7" t="s">
        <v>9</v>
      </c>
    </row>
    <row r="1452" spans="1:8" ht="15" customHeight="1">
      <c r="A1452" s="5">
        <v>1450</v>
      </c>
      <c r="B1452" s="6" t="str">
        <f>"陈彩娥"</f>
        <v>陈彩娥</v>
      </c>
      <c r="C1452" s="6" t="str">
        <f t="shared" si="760"/>
        <v>女</v>
      </c>
      <c r="D1452" s="6" t="str">
        <f>"1998-10-24"</f>
        <v>1998-10-24</v>
      </c>
      <c r="E1452" s="6" t="str">
        <f>"本科"</f>
        <v>本科</v>
      </c>
      <c r="F1452" s="6" t="str">
        <f t="shared" si="761"/>
        <v>工学学士</v>
      </c>
      <c r="G1452" s="6" t="str">
        <f>"环境工程"</f>
        <v>环境工程</v>
      </c>
      <c r="H1452" s="7" t="s">
        <v>9</v>
      </c>
    </row>
    <row r="1453" spans="1:8" ht="15" customHeight="1">
      <c r="A1453" s="5">
        <v>1451</v>
      </c>
      <c r="B1453" s="6" t="str">
        <f>"郑宾"</f>
        <v>郑宾</v>
      </c>
      <c r="C1453" s="6" t="str">
        <f aca="true" t="shared" si="763" ref="C1453:C1461">"男"</f>
        <v>男</v>
      </c>
      <c r="D1453" s="6" t="str">
        <f>"1995-06-15"</f>
        <v>1995-06-15</v>
      </c>
      <c r="E1453" s="6" t="str">
        <f t="shared" si="762"/>
        <v>大学本科</v>
      </c>
      <c r="F1453" s="6" t="str">
        <f t="shared" si="761"/>
        <v>工学学士</v>
      </c>
      <c r="G1453" s="6" t="str">
        <f>"物联网工程"</f>
        <v>物联网工程</v>
      </c>
      <c r="H1453" s="7" t="s">
        <v>9</v>
      </c>
    </row>
    <row r="1454" spans="1:8" ht="15" customHeight="1">
      <c r="A1454" s="5">
        <v>1452</v>
      </c>
      <c r="B1454" s="6" t="str">
        <f>"赖明裕"</f>
        <v>赖明裕</v>
      </c>
      <c r="C1454" s="6" t="str">
        <f t="shared" si="763"/>
        <v>男</v>
      </c>
      <c r="D1454" s="6" t="str">
        <f>"1996-09-26"</f>
        <v>1996-09-26</v>
      </c>
      <c r="E1454" s="6" t="str">
        <f t="shared" si="762"/>
        <v>大学本科</v>
      </c>
      <c r="F1454" s="6" t="str">
        <f>"管理学学士"</f>
        <v>管理学学士</v>
      </c>
      <c r="G1454" s="6" t="str">
        <f>"人力资源管理"</f>
        <v>人力资源管理</v>
      </c>
      <c r="H1454" s="7" t="s">
        <v>9</v>
      </c>
    </row>
    <row r="1455" spans="1:8" ht="15" customHeight="1">
      <c r="A1455" s="5">
        <v>1453</v>
      </c>
      <c r="B1455" s="6" t="str">
        <f>"吴金霞"</f>
        <v>吴金霞</v>
      </c>
      <c r="C1455" s="6" t="str">
        <f aca="true" t="shared" si="764" ref="C1455:C1457">"女"</f>
        <v>女</v>
      </c>
      <c r="D1455" s="6" t="str">
        <f>"1996-08-08"</f>
        <v>1996-08-08</v>
      </c>
      <c r="E1455" s="6" t="str">
        <f aca="true" t="shared" si="765" ref="E1455:E1461">"本科"</f>
        <v>本科</v>
      </c>
      <c r="F1455" s="6" t="str">
        <f>"管理学学士"</f>
        <v>管理学学士</v>
      </c>
      <c r="G1455" s="6" t="str">
        <f>"公共事业管理"</f>
        <v>公共事业管理</v>
      </c>
      <c r="H1455" s="7" t="s">
        <v>9</v>
      </c>
    </row>
    <row r="1456" spans="1:8" ht="15" customHeight="1">
      <c r="A1456" s="5">
        <v>1454</v>
      </c>
      <c r="B1456" s="6" t="str">
        <f>"王方浪"</f>
        <v>王方浪</v>
      </c>
      <c r="C1456" s="6" t="str">
        <f t="shared" si="764"/>
        <v>女</v>
      </c>
      <c r="D1456" s="6" t="str">
        <f>"1993-10-07"</f>
        <v>1993-10-07</v>
      </c>
      <c r="E1456" s="6" t="str">
        <f>"大学本科"</f>
        <v>大学本科</v>
      </c>
      <c r="F1456" s="6" t="str">
        <f>"工学学士"</f>
        <v>工学学士</v>
      </c>
      <c r="G1456" s="6" t="str">
        <f>"旅游管理"</f>
        <v>旅游管理</v>
      </c>
      <c r="H1456" s="7" t="s">
        <v>9</v>
      </c>
    </row>
    <row r="1457" spans="1:8" ht="15" customHeight="1">
      <c r="A1457" s="5">
        <v>1455</v>
      </c>
      <c r="B1457" s="6" t="str">
        <f>"李雪芳"</f>
        <v>李雪芳</v>
      </c>
      <c r="C1457" s="6" t="str">
        <f t="shared" si="764"/>
        <v>女</v>
      </c>
      <c r="D1457" s="6" t="str">
        <f>"1996-09-19"</f>
        <v>1996-09-19</v>
      </c>
      <c r="E1457" s="6" t="str">
        <f>"大学本科"</f>
        <v>大学本科</v>
      </c>
      <c r="F1457" s="6" t="str">
        <f>"文学学士"</f>
        <v>文学学士</v>
      </c>
      <c r="G1457" s="6" t="str">
        <f>"汉语国际教育"</f>
        <v>汉语国际教育</v>
      </c>
      <c r="H1457" s="7" t="s">
        <v>9</v>
      </c>
    </row>
    <row r="1458" spans="1:8" ht="15" customHeight="1">
      <c r="A1458" s="5">
        <v>1456</v>
      </c>
      <c r="B1458" s="6" t="str">
        <f>"林冠春"</f>
        <v>林冠春</v>
      </c>
      <c r="C1458" s="6" t="str">
        <f t="shared" si="763"/>
        <v>男</v>
      </c>
      <c r="D1458" s="6" t="str">
        <f>"1999-01-03"</f>
        <v>1999-01-03</v>
      </c>
      <c r="E1458" s="6" t="str">
        <f t="shared" si="765"/>
        <v>本科</v>
      </c>
      <c r="F1458" s="6" t="str">
        <f>"学士"</f>
        <v>学士</v>
      </c>
      <c r="G1458" s="6" t="str">
        <f>"财政学"</f>
        <v>财政学</v>
      </c>
      <c r="H1458" s="7" t="s">
        <v>9</v>
      </c>
    </row>
    <row r="1459" spans="1:8" ht="15" customHeight="1">
      <c r="A1459" s="5">
        <v>1457</v>
      </c>
      <c r="B1459" s="6" t="str">
        <f>"陈冠卓"</f>
        <v>陈冠卓</v>
      </c>
      <c r="C1459" s="6" t="str">
        <f t="shared" si="763"/>
        <v>男</v>
      </c>
      <c r="D1459" s="6" t="str">
        <f>"1993-04-28"</f>
        <v>1993-04-28</v>
      </c>
      <c r="E1459" s="6" t="str">
        <f t="shared" si="765"/>
        <v>本科</v>
      </c>
      <c r="F1459" s="6" t="str">
        <f>"工学学士"</f>
        <v>工学学士</v>
      </c>
      <c r="G1459" s="6" t="str">
        <f>"工业工程"</f>
        <v>工业工程</v>
      </c>
      <c r="H1459" s="7" t="s">
        <v>9</v>
      </c>
    </row>
    <row r="1460" spans="1:8" ht="15" customHeight="1">
      <c r="A1460" s="5">
        <v>1458</v>
      </c>
      <c r="B1460" s="6" t="str">
        <f>"郭宗捷"</f>
        <v>郭宗捷</v>
      </c>
      <c r="C1460" s="6" t="str">
        <f t="shared" si="763"/>
        <v>男</v>
      </c>
      <c r="D1460" s="6" t="str">
        <f>"1996-04-16"</f>
        <v>1996-04-16</v>
      </c>
      <c r="E1460" s="6" t="str">
        <f t="shared" si="765"/>
        <v>本科</v>
      </c>
      <c r="F1460" s="6" t="str">
        <f>"学士"</f>
        <v>学士</v>
      </c>
      <c r="G1460" s="6" t="str">
        <f>"土木工程"</f>
        <v>土木工程</v>
      </c>
      <c r="H1460" s="7" t="s">
        <v>9</v>
      </c>
    </row>
    <row r="1461" spans="1:8" ht="15" customHeight="1">
      <c r="A1461" s="5">
        <v>1459</v>
      </c>
      <c r="B1461" s="6" t="str">
        <f>"林明杰"</f>
        <v>林明杰</v>
      </c>
      <c r="C1461" s="6" t="str">
        <f t="shared" si="763"/>
        <v>男</v>
      </c>
      <c r="D1461" s="6" t="str">
        <f>"1999-03-13"</f>
        <v>1999-03-13</v>
      </c>
      <c r="E1461" s="6" t="str">
        <f t="shared" si="765"/>
        <v>本科</v>
      </c>
      <c r="F1461" s="6" t="str">
        <f>"管理学学士"</f>
        <v>管理学学士</v>
      </c>
      <c r="G1461" s="6" t="str">
        <f>"旅游管理"</f>
        <v>旅游管理</v>
      </c>
      <c r="H1461" s="7" t="s">
        <v>9</v>
      </c>
    </row>
    <row r="1462" spans="1:8" ht="15" customHeight="1">
      <c r="A1462" s="5">
        <v>1460</v>
      </c>
      <c r="B1462" s="6" t="str">
        <f>"李秀弦"</f>
        <v>李秀弦</v>
      </c>
      <c r="C1462" s="6" t="str">
        <f>"女"</f>
        <v>女</v>
      </c>
      <c r="D1462" s="6" t="str">
        <f>"1997-10-05"</f>
        <v>1997-10-05</v>
      </c>
      <c r="E1462" s="6" t="str">
        <f>"大学本科"</f>
        <v>大学本科</v>
      </c>
      <c r="F1462" s="6" t="str">
        <f>"学士学位"</f>
        <v>学士学位</v>
      </c>
      <c r="G1462" s="6" t="str">
        <f>"汉语国际教育"</f>
        <v>汉语国际教育</v>
      </c>
      <c r="H1462" s="7" t="s">
        <v>9</v>
      </c>
    </row>
    <row r="1463" spans="1:8" ht="15" customHeight="1">
      <c r="A1463" s="5">
        <v>1461</v>
      </c>
      <c r="B1463" s="6" t="str">
        <f>"汤盛"</f>
        <v>汤盛</v>
      </c>
      <c r="C1463" s="6" t="str">
        <f aca="true" t="shared" si="766" ref="C1463:C1465">"男"</f>
        <v>男</v>
      </c>
      <c r="D1463" s="6" t="str">
        <f>"1997-09-03"</f>
        <v>1997-09-03</v>
      </c>
      <c r="E1463" s="6" t="str">
        <f>"全日制本科"</f>
        <v>全日制本科</v>
      </c>
      <c r="F1463" s="6" t="str">
        <f>"管理学学士"</f>
        <v>管理学学士</v>
      </c>
      <c r="G1463" s="6" t="str">
        <f>"行政管理"</f>
        <v>行政管理</v>
      </c>
      <c r="H1463" s="7" t="s">
        <v>9</v>
      </c>
    </row>
    <row r="1464" spans="1:8" ht="15" customHeight="1">
      <c r="A1464" s="5">
        <v>1462</v>
      </c>
      <c r="B1464" s="6" t="str">
        <f>"杨济玮"</f>
        <v>杨济玮</v>
      </c>
      <c r="C1464" s="6" t="str">
        <f t="shared" si="766"/>
        <v>男</v>
      </c>
      <c r="D1464" s="6" t="str">
        <f>"1998-09-19"</f>
        <v>1998-09-19</v>
      </c>
      <c r="E1464" s="6" t="str">
        <f>"本科"</f>
        <v>本科</v>
      </c>
      <c r="F1464" s="6" t="str">
        <f>"理学学士"</f>
        <v>理学学士</v>
      </c>
      <c r="G1464" s="6" t="str">
        <f>"环境科学"</f>
        <v>环境科学</v>
      </c>
      <c r="H1464" s="7" t="s">
        <v>9</v>
      </c>
    </row>
    <row r="1465" spans="1:8" ht="15" customHeight="1">
      <c r="A1465" s="5">
        <v>1463</v>
      </c>
      <c r="B1465" s="6" t="str">
        <f>"薛开智"</f>
        <v>薛开智</v>
      </c>
      <c r="C1465" s="6" t="str">
        <f t="shared" si="766"/>
        <v>男</v>
      </c>
      <c r="D1465" s="6" t="str">
        <f>"1997-03-20"</f>
        <v>1997-03-20</v>
      </c>
      <c r="E1465" s="6" t="str">
        <f>"大学本科学历"</f>
        <v>大学本科学历</v>
      </c>
      <c r="F1465" s="6" t="str">
        <f aca="true" t="shared" si="767" ref="F1465:F1469">"工学学士"</f>
        <v>工学学士</v>
      </c>
      <c r="G1465" s="6" t="str">
        <f>"土木工程"</f>
        <v>土木工程</v>
      </c>
      <c r="H1465" s="7" t="s">
        <v>9</v>
      </c>
    </row>
    <row r="1466" spans="1:8" ht="15" customHeight="1">
      <c r="A1466" s="5">
        <v>1464</v>
      </c>
      <c r="B1466" s="6" t="str">
        <f>"周亚贞"</f>
        <v>周亚贞</v>
      </c>
      <c r="C1466" s="6" t="str">
        <f>"女"</f>
        <v>女</v>
      </c>
      <c r="D1466" s="6" t="str">
        <f>"1994-11-12"</f>
        <v>1994-11-12</v>
      </c>
      <c r="E1466" s="6" t="str">
        <f>"大学本科"</f>
        <v>大学本科</v>
      </c>
      <c r="F1466" s="6" t="str">
        <f>"文学学士学位"</f>
        <v>文学学士学位</v>
      </c>
      <c r="G1466" s="6" t="str">
        <f>"汉语言文学专业"</f>
        <v>汉语言文学专业</v>
      </c>
      <c r="H1466" s="7" t="s">
        <v>9</v>
      </c>
    </row>
    <row r="1467" spans="1:8" ht="15" customHeight="1">
      <c r="A1467" s="5">
        <v>1465</v>
      </c>
      <c r="B1467" s="6" t="str">
        <f>"李民"</f>
        <v>李民</v>
      </c>
      <c r="C1467" s="6" t="str">
        <f aca="true" t="shared" si="768" ref="C1467:C1469">"男"</f>
        <v>男</v>
      </c>
      <c r="D1467" s="6" t="str">
        <f>"1998-07-09"</f>
        <v>1998-07-09</v>
      </c>
      <c r="E1467" s="6" t="str">
        <f aca="true" t="shared" si="769" ref="E1467:E1473">"本科"</f>
        <v>本科</v>
      </c>
      <c r="F1467" s="6" t="str">
        <f>"管理学学位"</f>
        <v>管理学学位</v>
      </c>
      <c r="G1467" s="6" t="str">
        <f>"财务管理"</f>
        <v>财务管理</v>
      </c>
      <c r="H1467" s="7" t="s">
        <v>9</v>
      </c>
    </row>
    <row r="1468" spans="1:8" ht="15" customHeight="1">
      <c r="A1468" s="5">
        <v>1466</v>
      </c>
      <c r="B1468" s="6" t="str">
        <f>"郭鸿淞"</f>
        <v>郭鸿淞</v>
      </c>
      <c r="C1468" s="6" t="str">
        <f t="shared" si="768"/>
        <v>男</v>
      </c>
      <c r="D1468" s="6" t="str">
        <f>"1995-08-20"</f>
        <v>1995-08-20</v>
      </c>
      <c r="E1468" s="6" t="str">
        <f>"大学本科学历"</f>
        <v>大学本科学历</v>
      </c>
      <c r="F1468" s="6" t="str">
        <f t="shared" si="767"/>
        <v>工学学士</v>
      </c>
      <c r="G1468" s="6" t="str">
        <f>"土木工程"</f>
        <v>土木工程</v>
      </c>
      <c r="H1468" s="7" t="s">
        <v>9</v>
      </c>
    </row>
    <row r="1469" spans="1:8" ht="15" customHeight="1">
      <c r="A1469" s="5">
        <v>1467</v>
      </c>
      <c r="B1469" s="6" t="str">
        <f>"羊翊鑫"</f>
        <v>羊翊鑫</v>
      </c>
      <c r="C1469" s="6" t="str">
        <f t="shared" si="768"/>
        <v>男</v>
      </c>
      <c r="D1469" s="6" t="str">
        <f>"2000-01-11"</f>
        <v>2000-01-11</v>
      </c>
      <c r="E1469" s="6" t="str">
        <f>"大学本科"</f>
        <v>大学本科</v>
      </c>
      <c r="F1469" s="6" t="str">
        <f t="shared" si="767"/>
        <v>工学学士</v>
      </c>
      <c r="G1469" s="6" t="str">
        <f>"计算机科学与技术"</f>
        <v>计算机科学与技术</v>
      </c>
      <c r="H1469" s="7" t="s">
        <v>9</v>
      </c>
    </row>
    <row r="1470" spans="1:8" ht="15" customHeight="1">
      <c r="A1470" s="5">
        <v>1468</v>
      </c>
      <c r="B1470" s="6" t="str">
        <f>"黎淑慧"</f>
        <v>黎淑慧</v>
      </c>
      <c r="C1470" s="6" t="str">
        <f aca="true" t="shared" si="770" ref="C1470:C1473">"女"</f>
        <v>女</v>
      </c>
      <c r="D1470" s="6" t="str">
        <f>"1998-02-05"</f>
        <v>1998-02-05</v>
      </c>
      <c r="E1470" s="6" t="str">
        <f>"研究生"</f>
        <v>研究生</v>
      </c>
      <c r="F1470" s="6" t="str">
        <f>"农学硕士"</f>
        <v>农学硕士</v>
      </c>
      <c r="G1470" s="6" t="str">
        <f>"食品加工与安全"</f>
        <v>食品加工与安全</v>
      </c>
      <c r="H1470" s="7" t="s">
        <v>9</v>
      </c>
    </row>
    <row r="1471" spans="1:8" ht="15" customHeight="1">
      <c r="A1471" s="5">
        <v>1469</v>
      </c>
      <c r="B1471" s="6" t="str">
        <f>"陈杰财"</f>
        <v>陈杰财</v>
      </c>
      <c r="C1471" s="6" t="str">
        <f aca="true" t="shared" si="771" ref="C1471:C1476">"男"</f>
        <v>男</v>
      </c>
      <c r="D1471" s="6" t="str">
        <f>"1994-07-06"</f>
        <v>1994-07-06</v>
      </c>
      <c r="E1471" s="6" t="str">
        <f t="shared" si="769"/>
        <v>本科</v>
      </c>
      <c r="F1471" s="6" t="str">
        <f aca="true" t="shared" si="772" ref="F1471:F1476">"工学学士"</f>
        <v>工学学士</v>
      </c>
      <c r="G1471" s="6" t="str">
        <f>"计算机科学与技术"</f>
        <v>计算机科学与技术</v>
      </c>
      <c r="H1471" s="7" t="s">
        <v>9</v>
      </c>
    </row>
    <row r="1472" spans="1:8" ht="15" customHeight="1">
      <c r="A1472" s="5">
        <v>1470</v>
      </c>
      <c r="B1472" s="6" t="str">
        <f>"冯秀萍"</f>
        <v>冯秀萍</v>
      </c>
      <c r="C1472" s="6" t="str">
        <f t="shared" si="770"/>
        <v>女</v>
      </c>
      <c r="D1472" s="6" t="str">
        <f>"1991-05-19"</f>
        <v>1991-05-19</v>
      </c>
      <c r="E1472" s="6" t="str">
        <f t="shared" si="769"/>
        <v>本科</v>
      </c>
      <c r="F1472" s="6" t="str">
        <f>"文学学士"</f>
        <v>文学学士</v>
      </c>
      <c r="G1472" s="6" t="str">
        <f>"汉语言文学"</f>
        <v>汉语言文学</v>
      </c>
      <c r="H1472" s="7" t="s">
        <v>9</v>
      </c>
    </row>
    <row r="1473" spans="1:8" ht="15" customHeight="1">
      <c r="A1473" s="5">
        <v>1471</v>
      </c>
      <c r="B1473" s="6" t="str">
        <f>"黄海静"</f>
        <v>黄海静</v>
      </c>
      <c r="C1473" s="6" t="str">
        <f t="shared" si="770"/>
        <v>女</v>
      </c>
      <c r="D1473" s="6" t="str">
        <f>"1995-02-11"</f>
        <v>1995-02-11</v>
      </c>
      <c r="E1473" s="6" t="str">
        <f t="shared" si="769"/>
        <v>本科</v>
      </c>
      <c r="F1473" s="6" t="str">
        <f>"管理学"</f>
        <v>管理学</v>
      </c>
      <c r="G1473" s="6" t="str">
        <f>"会计学"</f>
        <v>会计学</v>
      </c>
      <c r="H1473" s="7" t="s">
        <v>9</v>
      </c>
    </row>
    <row r="1474" spans="1:8" ht="15" customHeight="1">
      <c r="A1474" s="5">
        <v>1472</v>
      </c>
      <c r="B1474" s="6" t="str">
        <f>"林道睿"</f>
        <v>林道睿</v>
      </c>
      <c r="C1474" s="6" t="str">
        <f t="shared" si="771"/>
        <v>男</v>
      </c>
      <c r="D1474" s="6" t="str">
        <f>"1998-05-07"</f>
        <v>1998-05-07</v>
      </c>
      <c r="E1474" s="6" t="str">
        <f>"大学本科学历"</f>
        <v>大学本科学历</v>
      </c>
      <c r="F1474" s="6" t="str">
        <f>"农学学位"</f>
        <v>农学学位</v>
      </c>
      <c r="G1474" s="6" t="str">
        <f>"园艺"</f>
        <v>园艺</v>
      </c>
      <c r="H1474" s="7" t="s">
        <v>9</v>
      </c>
    </row>
    <row r="1475" spans="1:8" ht="15" customHeight="1">
      <c r="A1475" s="5">
        <v>1473</v>
      </c>
      <c r="B1475" s="6" t="str">
        <f>"吴壮"</f>
        <v>吴壮</v>
      </c>
      <c r="C1475" s="6" t="str">
        <f t="shared" si="771"/>
        <v>男</v>
      </c>
      <c r="D1475" s="6" t="str">
        <f>"1988-03-30"</f>
        <v>1988-03-30</v>
      </c>
      <c r="E1475" s="6" t="str">
        <f>"全日制本科"</f>
        <v>全日制本科</v>
      </c>
      <c r="F1475" s="6" t="str">
        <f t="shared" si="772"/>
        <v>工学学士</v>
      </c>
      <c r="G1475" s="6" t="str">
        <f>"计算机科学与技术"</f>
        <v>计算机科学与技术</v>
      </c>
      <c r="H1475" s="7" t="s">
        <v>9</v>
      </c>
    </row>
    <row r="1476" spans="1:8" ht="15" customHeight="1">
      <c r="A1476" s="5">
        <v>1474</v>
      </c>
      <c r="B1476" s="6" t="str">
        <f>"蔡汝峰"</f>
        <v>蔡汝峰</v>
      </c>
      <c r="C1476" s="6" t="str">
        <f t="shared" si="771"/>
        <v>男</v>
      </c>
      <c r="D1476" s="6" t="str">
        <f>"1999-08-15"</f>
        <v>1999-08-15</v>
      </c>
      <c r="E1476" s="6" t="str">
        <f aca="true" t="shared" si="773" ref="E1476:E1482">"本科"</f>
        <v>本科</v>
      </c>
      <c r="F1476" s="6" t="str">
        <f t="shared" si="772"/>
        <v>工学学士</v>
      </c>
      <c r="G1476" s="6" t="str">
        <f>"物联网工程"</f>
        <v>物联网工程</v>
      </c>
      <c r="H1476" s="7" t="s">
        <v>9</v>
      </c>
    </row>
    <row r="1477" spans="1:8" ht="15" customHeight="1">
      <c r="A1477" s="5">
        <v>1475</v>
      </c>
      <c r="B1477" s="6" t="str">
        <f>"林婷"</f>
        <v>林婷</v>
      </c>
      <c r="C1477" s="6" t="str">
        <f aca="true" t="shared" si="774" ref="C1477:C1485">"女"</f>
        <v>女</v>
      </c>
      <c r="D1477" s="6" t="str">
        <f>"1995-05-14"</f>
        <v>1995-05-14</v>
      </c>
      <c r="E1477" s="6" t="str">
        <f>"大学本科"</f>
        <v>大学本科</v>
      </c>
      <c r="F1477" s="6" t="str">
        <f>"经济学学士"</f>
        <v>经济学学士</v>
      </c>
      <c r="G1477" s="6" t="str">
        <f>"经济学（宏观经济分析）"</f>
        <v>经济学（宏观经济分析）</v>
      </c>
      <c r="H1477" s="7" t="s">
        <v>9</v>
      </c>
    </row>
    <row r="1478" spans="1:8" ht="15" customHeight="1">
      <c r="A1478" s="5">
        <v>1476</v>
      </c>
      <c r="B1478" s="6" t="str">
        <f>"李干喜"</f>
        <v>李干喜</v>
      </c>
      <c r="C1478" s="6" t="str">
        <f>"男"</f>
        <v>男</v>
      </c>
      <c r="D1478" s="6" t="str">
        <f>"1993-02-19"</f>
        <v>1993-02-19</v>
      </c>
      <c r="E1478" s="6" t="str">
        <f>"大学本科学历"</f>
        <v>大学本科学历</v>
      </c>
      <c r="F1478" s="6" t="str">
        <f>"农学学士"</f>
        <v>农学学士</v>
      </c>
      <c r="G1478" s="6" t="str">
        <f>"园艺"</f>
        <v>园艺</v>
      </c>
      <c r="H1478" s="7" t="s">
        <v>9</v>
      </c>
    </row>
    <row r="1479" spans="1:8" ht="15" customHeight="1">
      <c r="A1479" s="5">
        <v>1477</v>
      </c>
      <c r="B1479" s="6" t="str">
        <f>"王晶"</f>
        <v>王晶</v>
      </c>
      <c r="C1479" s="6" t="str">
        <f t="shared" si="774"/>
        <v>女</v>
      </c>
      <c r="D1479" s="6" t="str">
        <f>"1997-06-29"</f>
        <v>1997-06-29</v>
      </c>
      <c r="E1479" s="6" t="str">
        <f t="shared" si="773"/>
        <v>本科</v>
      </c>
      <c r="F1479" s="6" t="str">
        <f>"管理学学士"</f>
        <v>管理学学士</v>
      </c>
      <c r="G1479" s="6" t="str">
        <f>"会计学"</f>
        <v>会计学</v>
      </c>
      <c r="H1479" s="7" t="s">
        <v>9</v>
      </c>
    </row>
    <row r="1480" spans="1:8" ht="15" customHeight="1">
      <c r="A1480" s="5">
        <v>1478</v>
      </c>
      <c r="B1480" s="6" t="str">
        <f>"严显伟"</f>
        <v>严显伟</v>
      </c>
      <c r="C1480" s="6" t="str">
        <f>"男"</f>
        <v>男</v>
      </c>
      <c r="D1480" s="6" t="str">
        <f>"2000-07-25"</f>
        <v>2000-07-25</v>
      </c>
      <c r="E1480" s="6" t="str">
        <f t="shared" si="773"/>
        <v>本科</v>
      </c>
      <c r="F1480" s="6" t="str">
        <f>"工学学士"</f>
        <v>工学学士</v>
      </c>
      <c r="G1480" s="6" t="str">
        <f>"计算机科学与技术"</f>
        <v>计算机科学与技术</v>
      </c>
      <c r="H1480" s="7" t="s">
        <v>9</v>
      </c>
    </row>
    <row r="1481" spans="1:8" ht="15" customHeight="1">
      <c r="A1481" s="5">
        <v>1479</v>
      </c>
      <c r="B1481" s="6" t="str">
        <f>"李玉叶"</f>
        <v>李玉叶</v>
      </c>
      <c r="C1481" s="6" t="str">
        <f t="shared" si="774"/>
        <v>女</v>
      </c>
      <c r="D1481" s="6" t="str">
        <f>"1998-03-24"</f>
        <v>1998-03-24</v>
      </c>
      <c r="E1481" s="6" t="str">
        <f t="shared" si="773"/>
        <v>本科</v>
      </c>
      <c r="F1481" s="6" t="str">
        <f>"管理学学士"</f>
        <v>管理学学士</v>
      </c>
      <c r="G1481" s="6" t="str">
        <f>"农林经济管理专业"</f>
        <v>农林经济管理专业</v>
      </c>
      <c r="H1481" s="7" t="s">
        <v>9</v>
      </c>
    </row>
    <row r="1482" spans="1:8" ht="15" customHeight="1">
      <c r="A1482" s="5">
        <v>1480</v>
      </c>
      <c r="B1482" s="6" t="str">
        <f>"王冰冰"</f>
        <v>王冰冰</v>
      </c>
      <c r="C1482" s="6" t="str">
        <f t="shared" si="774"/>
        <v>女</v>
      </c>
      <c r="D1482" s="6" t="str">
        <f>"2000-06-08"</f>
        <v>2000-06-08</v>
      </c>
      <c r="E1482" s="6" t="str">
        <f t="shared" si="773"/>
        <v>本科</v>
      </c>
      <c r="F1482" s="6" t="str">
        <f aca="true" t="shared" si="775" ref="F1482:F1485">"文学学士"</f>
        <v>文学学士</v>
      </c>
      <c r="G1482" s="6" t="str">
        <f>"广播电视学"</f>
        <v>广播电视学</v>
      </c>
      <c r="H1482" s="7" t="s">
        <v>9</v>
      </c>
    </row>
    <row r="1483" spans="1:8" ht="15" customHeight="1">
      <c r="A1483" s="5">
        <v>1481</v>
      </c>
      <c r="B1483" s="6" t="str">
        <f>"吉娇柳"</f>
        <v>吉娇柳</v>
      </c>
      <c r="C1483" s="6" t="str">
        <f t="shared" si="774"/>
        <v>女</v>
      </c>
      <c r="D1483" s="6" t="str">
        <f>"1996-08-12"</f>
        <v>1996-08-12</v>
      </c>
      <c r="E1483" s="6" t="str">
        <f>"大学本科"</f>
        <v>大学本科</v>
      </c>
      <c r="F1483" s="6" t="str">
        <f>"农学学士"</f>
        <v>农学学士</v>
      </c>
      <c r="G1483" s="6" t="str">
        <f>"园艺"</f>
        <v>园艺</v>
      </c>
      <c r="H1483" s="7" t="s">
        <v>9</v>
      </c>
    </row>
    <row r="1484" spans="1:8" ht="15" customHeight="1">
      <c r="A1484" s="5">
        <v>1482</v>
      </c>
      <c r="B1484" s="6" t="str">
        <f>"曾媛"</f>
        <v>曾媛</v>
      </c>
      <c r="C1484" s="6" t="str">
        <f t="shared" si="774"/>
        <v>女</v>
      </c>
      <c r="D1484" s="6" t="str">
        <f>"1996-06-26"</f>
        <v>1996-06-26</v>
      </c>
      <c r="E1484" s="6" t="str">
        <f aca="true" t="shared" si="776" ref="E1484:E1489">"本科"</f>
        <v>本科</v>
      </c>
      <c r="F1484" s="6" t="str">
        <f t="shared" si="775"/>
        <v>文学学士</v>
      </c>
      <c r="G1484" s="6" t="str">
        <f>"秘书学"</f>
        <v>秘书学</v>
      </c>
      <c r="H1484" s="7" t="s">
        <v>9</v>
      </c>
    </row>
    <row r="1485" spans="1:8" ht="15" customHeight="1">
      <c r="A1485" s="5">
        <v>1483</v>
      </c>
      <c r="B1485" s="6" t="str">
        <f>"何飞玉"</f>
        <v>何飞玉</v>
      </c>
      <c r="C1485" s="6" t="str">
        <f t="shared" si="774"/>
        <v>女</v>
      </c>
      <c r="D1485" s="6" t="str">
        <f>"1999-02-06"</f>
        <v>1999-02-06</v>
      </c>
      <c r="E1485" s="6" t="str">
        <f t="shared" si="776"/>
        <v>本科</v>
      </c>
      <c r="F1485" s="6" t="str">
        <f t="shared" si="775"/>
        <v>文学学士</v>
      </c>
      <c r="G1485" s="6" t="str">
        <f>"汉语言文学"</f>
        <v>汉语言文学</v>
      </c>
      <c r="H1485" s="7" t="s">
        <v>9</v>
      </c>
    </row>
    <row r="1486" spans="1:8" ht="15" customHeight="1">
      <c r="A1486" s="5">
        <v>1484</v>
      </c>
      <c r="B1486" s="6" t="str">
        <f>"王世龙"</f>
        <v>王世龙</v>
      </c>
      <c r="C1486" s="6" t="str">
        <f>"男"</f>
        <v>男</v>
      </c>
      <c r="D1486" s="6" t="str">
        <f>"2000-07-13"</f>
        <v>2000-07-13</v>
      </c>
      <c r="E1486" s="6" t="str">
        <f>"大学本科学历"</f>
        <v>大学本科学历</v>
      </c>
      <c r="F1486" s="6" t="str">
        <f>"管理学学士"</f>
        <v>管理学学士</v>
      </c>
      <c r="G1486" s="6" t="str">
        <f>"资产评估"</f>
        <v>资产评估</v>
      </c>
      <c r="H1486" s="7" t="s">
        <v>9</v>
      </c>
    </row>
    <row r="1487" spans="1:8" ht="15" customHeight="1">
      <c r="A1487" s="5">
        <v>1485</v>
      </c>
      <c r="B1487" s="6" t="str">
        <f>"林芬"</f>
        <v>林芬</v>
      </c>
      <c r="C1487" s="6" t="str">
        <f aca="true" t="shared" si="777" ref="C1487:C1492">"女"</f>
        <v>女</v>
      </c>
      <c r="D1487" s="6" t="str">
        <f>"2000-03-26"</f>
        <v>2000-03-26</v>
      </c>
      <c r="E1487" s="6" t="str">
        <f t="shared" si="776"/>
        <v>本科</v>
      </c>
      <c r="F1487" s="6" t="str">
        <f>"管理学学士"</f>
        <v>管理学学士</v>
      </c>
      <c r="G1487" s="6" t="str">
        <f>"审计学"</f>
        <v>审计学</v>
      </c>
      <c r="H1487" s="7" t="s">
        <v>9</v>
      </c>
    </row>
    <row r="1488" spans="1:8" ht="15" customHeight="1">
      <c r="A1488" s="5">
        <v>1486</v>
      </c>
      <c r="B1488" s="6" t="str">
        <f>"廖会理"</f>
        <v>廖会理</v>
      </c>
      <c r="C1488" s="6" t="str">
        <f>"男"</f>
        <v>男</v>
      </c>
      <c r="D1488" s="6" t="str">
        <f>"1994-05-05"</f>
        <v>1994-05-05</v>
      </c>
      <c r="E1488" s="6" t="str">
        <f t="shared" si="776"/>
        <v>本科</v>
      </c>
      <c r="F1488" s="6" t="str">
        <f>"工学学位"</f>
        <v>工学学位</v>
      </c>
      <c r="G1488" s="6" t="str">
        <f>"土木工程"</f>
        <v>土木工程</v>
      </c>
      <c r="H1488" s="7" t="s">
        <v>9</v>
      </c>
    </row>
    <row r="1489" spans="1:8" ht="15" customHeight="1">
      <c r="A1489" s="5">
        <v>1487</v>
      </c>
      <c r="B1489" s="6" t="str">
        <f>"刘海池"</f>
        <v>刘海池</v>
      </c>
      <c r="C1489" s="6" t="str">
        <f t="shared" si="777"/>
        <v>女</v>
      </c>
      <c r="D1489" s="6" t="str">
        <f>"1995-03-01"</f>
        <v>1995-03-01</v>
      </c>
      <c r="E1489" s="6" t="str">
        <f t="shared" si="776"/>
        <v>本科</v>
      </c>
      <c r="F1489" s="6" t="str">
        <f>"工商管理学士"</f>
        <v>工商管理学士</v>
      </c>
      <c r="G1489" s="6" t="str">
        <f>"工商管理"</f>
        <v>工商管理</v>
      </c>
      <c r="H1489" s="7" t="s">
        <v>9</v>
      </c>
    </row>
    <row r="1490" spans="1:8" ht="15" customHeight="1">
      <c r="A1490" s="5">
        <v>1488</v>
      </c>
      <c r="B1490" s="6" t="str">
        <f>"章丽"</f>
        <v>章丽</v>
      </c>
      <c r="C1490" s="6" t="str">
        <f t="shared" si="777"/>
        <v>女</v>
      </c>
      <c r="D1490" s="6" t="str">
        <f>"1994-02-07"</f>
        <v>1994-02-07</v>
      </c>
      <c r="E1490" s="6" t="str">
        <f>"大学本科"</f>
        <v>大学本科</v>
      </c>
      <c r="F1490" s="6" t="str">
        <f>"理学学士"</f>
        <v>理学学士</v>
      </c>
      <c r="G1490" s="6" t="str">
        <f>"环境科学"</f>
        <v>环境科学</v>
      </c>
      <c r="H1490" s="7" t="s">
        <v>9</v>
      </c>
    </row>
    <row r="1491" spans="1:8" ht="15" customHeight="1">
      <c r="A1491" s="5">
        <v>1489</v>
      </c>
      <c r="B1491" s="6" t="str">
        <f>"刘远莹"</f>
        <v>刘远莹</v>
      </c>
      <c r="C1491" s="6" t="str">
        <f t="shared" si="777"/>
        <v>女</v>
      </c>
      <c r="D1491" s="6" t="str">
        <f>"1992-05-17"</f>
        <v>1992-05-17</v>
      </c>
      <c r="E1491" s="6" t="str">
        <f aca="true" t="shared" si="778" ref="E1491:E1494">"本科"</f>
        <v>本科</v>
      </c>
      <c r="F1491" s="6" t="str">
        <f>"经济学学士"</f>
        <v>经济学学士</v>
      </c>
      <c r="G1491" s="6" t="str">
        <f>"金融学"</f>
        <v>金融学</v>
      </c>
      <c r="H1491" s="7" t="s">
        <v>9</v>
      </c>
    </row>
    <row r="1492" spans="1:8" ht="15" customHeight="1">
      <c r="A1492" s="5">
        <v>1490</v>
      </c>
      <c r="B1492" s="6" t="str">
        <f>"王璐"</f>
        <v>王璐</v>
      </c>
      <c r="C1492" s="6" t="str">
        <f t="shared" si="777"/>
        <v>女</v>
      </c>
      <c r="D1492" s="6" t="str">
        <f>"2001-05-18"</f>
        <v>2001-05-18</v>
      </c>
      <c r="E1492" s="6" t="str">
        <f t="shared" si="778"/>
        <v>本科</v>
      </c>
      <c r="F1492" s="6" t="str">
        <f aca="true" t="shared" si="779" ref="F1492:F1498">"管理学学士"</f>
        <v>管理学学士</v>
      </c>
      <c r="G1492" s="6" t="str">
        <f>"审计学"</f>
        <v>审计学</v>
      </c>
      <c r="H1492" s="7" t="s">
        <v>9</v>
      </c>
    </row>
    <row r="1493" spans="1:8" ht="15" customHeight="1">
      <c r="A1493" s="5">
        <v>1491</v>
      </c>
      <c r="B1493" s="6" t="str">
        <f>"黄兹博"</f>
        <v>黄兹博</v>
      </c>
      <c r="C1493" s="6" t="str">
        <f>"男"</f>
        <v>男</v>
      </c>
      <c r="D1493" s="6" t="str">
        <f>"1996-11-11"</f>
        <v>1996-11-11</v>
      </c>
      <c r="E1493" s="6" t="str">
        <f t="shared" si="778"/>
        <v>本科</v>
      </c>
      <c r="F1493" s="6" t="str">
        <f>"学士学位"</f>
        <v>学士学位</v>
      </c>
      <c r="G1493" s="6" t="str">
        <f>"会计学"</f>
        <v>会计学</v>
      </c>
      <c r="H1493" s="7" t="s">
        <v>9</v>
      </c>
    </row>
    <row r="1494" spans="1:8" ht="15" customHeight="1">
      <c r="A1494" s="5">
        <v>1492</v>
      </c>
      <c r="B1494" s="6" t="str">
        <f>"王婷"</f>
        <v>王婷</v>
      </c>
      <c r="C1494" s="6" t="str">
        <f aca="true" t="shared" si="780" ref="C1494:C1497">"女"</f>
        <v>女</v>
      </c>
      <c r="D1494" s="6" t="str">
        <f>"1999-07-27"</f>
        <v>1999-07-27</v>
      </c>
      <c r="E1494" s="6" t="str">
        <f t="shared" si="778"/>
        <v>本科</v>
      </c>
      <c r="F1494" s="6" t="str">
        <f>"文学学士"</f>
        <v>文学学士</v>
      </c>
      <c r="G1494" s="6" t="str">
        <f>"汉语言文学"</f>
        <v>汉语言文学</v>
      </c>
      <c r="H1494" s="7" t="s">
        <v>9</v>
      </c>
    </row>
    <row r="1495" spans="1:8" ht="15" customHeight="1">
      <c r="A1495" s="5">
        <v>1493</v>
      </c>
      <c r="B1495" s="6" t="str">
        <f>"黄文姝"</f>
        <v>黄文姝</v>
      </c>
      <c r="C1495" s="6" t="str">
        <f t="shared" si="780"/>
        <v>女</v>
      </c>
      <c r="D1495" s="6" t="str">
        <f>"1997-11-11"</f>
        <v>1997-11-11</v>
      </c>
      <c r="E1495" s="6" t="str">
        <f>"大学本科"</f>
        <v>大学本科</v>
      </c>
      <c r="F1495" s="6" t="str">
        <f>"农学学士"</f>
        <v>农学学士</v>
      </c>
      <c r="G1495" s="6" t="str">
        <f>"设施农业科学与工程"</f>
        <v>设施农业科学与工程</v>
      </c>
      <c r="H1495" s="7" t="s">
        <v>9</v>
      </c>
    </row>
    <row r="1496" spans="1:8" ht="15" customHeight="1">
      <c r="A1496" s="5">
        <v>1494</v>
      </c>
      <c r="B1496" s="6" t="str">
        <f>"王莹"</f>
        <v>王莹</v>
      </c>
      <c r="C1496" s="6" t="str">
        <f t="shared" si="780"/>
        <v>女</v>
      </c>
      <c r="D1496" s="6" t="str">
        <f>"2000-04-25"</f>
        <v>2000-04-25</v>
      </c>
      <c r="E1496" s="6" t="str">
        <f>"大学本科"</f>
        <v>大学本科</v>
      </c>
      <c r="F1496" s="6" t="str">
        <f t="shared" si="779"/>
        <v>管理学学士</v>
      </c>
      <c r="G1496" s="6" t="str">
        <f>"财务管理"</f>
        <v>财务管理</v>
      </c>
      <c r="H1496" s="7" t="s">
        <v>9</v>
      </c>
    </row>
    <row r="1497" spans="1:8" ht="15" customHeight="1">
      <c r="A1497" s="5">
        <v>1495</v>
      </c>
      <c r="B1497" s="6" t="str">
        <f>"陈青花"</f>
        <v>陈青花</v>
      </c>
      <c r="C1497" s="6" t="str">
        <f t="shared" si="780"/>
        <v>女</v>
      </c>
      <c r="D1497" s="6" t="str">
        <f>"1993-05-27"</f>
        <v>1993-05-27</v>
      </c>
      <c r="E1497" s="6" t="str">
        <f aca="true" t="shared" si="781" ref="E1497:E1502">"大学本科学历"</f>
        <v>大学本科学历</v>
      </c>
      <c r="F1497" s="6" t="str">
        <f t="shared" si="779"/>
        <v>管理学学士</v>
      </c>
      <c r="G1497" s="6" t="str">
        <f>"旅游管理"</f>
        <v>旅游管理</v>
      </c>
      <c r="H1497" s="7" t="s">
        <v>9</v>
      </c>
    </row>
    <row r="1498" spans="1:8" ht="15" customHeight="1">
      <c r="A1498" s="5">
        <v>1496</v>
      </c>
      <c r="B1498" s="6" t="str">
        <f>"麦著龙"</f>
        <v>麦著龙</v>
      </c>
      <c r="C1498" s="6" t="str">
        <f aca="true" t="shared" si="782" ref="C1498:C1500">"男"</f>
        <v>男</v>
      </c>
      <c r="D1498" s="6" t="str">
        <f>"1989-10-21"</f>
        <v>1989-10-21</v>
      </c>
      <c r="E1498" s="6" t="str">
        <f aca="true" t="shared" si="783" ref="E1498:E1501">"本科"</f>
        <v>本科</v>
      </c>
      <c r="F1498" s="6" t="str">
        <f t="shared" si="779"/>
        <v>管理学学士</v>
      </c>
      <c r="G1498" s="6" t="str">
        <f>"旅游管理"</f>
        <v>旅游管理</v>
      </c>
      <c r="H1498" s="7" t="s">
        <v>9</v>
      </c>
    </row>
    <row r="1499" spans="1:8" ht="15" customHeight="1">
      <c r="A1499" s="5">
        <v>1497</v>
      </c>
      <c r="B1499" s="6" t="str">
        <f>"陈作东"</f>
        <v>陈作东</v>
      </c>
      <c r="C1499" s="6" t="str">
        <f t="shared" si="782"/>
        <v>男</v>
      </c>
      <c r="D1499" s="6" t="str">
        <f>"1994-09-25"</f>
        <v>1994-09-25</v>
      </c>
      <c r="E1499" s="6" t="str">
        <f t="shared" si="783"/>
        <v>本科</v>
      </c>
      <c r="F1499" s="6" t="str">
        <f>"工学学士"</f>
        <v>工学学士</v>
      </c>
      <c r="G1499" s="6" t="str">
        <f>"风景园林"</f>
        <v>风景园林</v>
      </c>
      <c r="H1499" s="7" t="s">
        <v>9</v>
      </c>
    </row>
    <row r="1500" spans="1:8" ht="15" customHeight="1">
      <c r="A1500" s="5">
        <v>1498</v>
      </c>
      <c r="B1500" s="6" t="str">
        <f>"吴玉德"</f>
        <v>吴玉德</v>
      </c>
      <c r="C1500" s="6" t="str">
        <f t="shared" si="782"/>
        <v>男</v>
      </c>
      <c r="D1500" s="6" t="str">
        <f>"1996-06-29"</f>
        <v>1996-06-29</v>
      </c>
      <c r="E1500" s="6" t="str">
        <f t="shared" si="781"/>
        <v>大学本科学历</v>
      </c>
      <c r="F1500" s="6" t="str">
        <f>"工学学士"</f>
        <v>工学学士</v>
      </c>
      <c r="G1500" s="6" t="str">
        <f>"地下水科学与工程"</f>
        <v>地下水科学与工程</v>
      </c>
      <c r="H1500" s="7" t="s">
        <v>9</v>
      </c>
    </row>
    <row r="1501" spans="1:8" ht="15" customHeight="1">
      <c r="A1501" s="5">
        <v>1499</v>
      </c>
      <c r="B1501" s="6" t="str">
        <f>"邱虹蓉"</f>
        <v>邱虹蓉</v>
      </c>
      <c r="C1501" s="6" t="str">
        <f aca="true" t="shared" si="784" ref="C1501:C1503">"女"</f>
        <v>女</v>
      </c>
      <c r="D1501" s="6" t="str">
        <f>"1994-08-20"</f>
        <v>1994-08-20</v>
      </c>
      <c r="E1501" s="6" t="str">
        <f t="shared" si="783"/>
        <v>本科</v>
      </c>
      <c r="F1501" s="6" t="str">
        <f aca="true" t="shared" si="785" ref="F1501:F1503">"管理学学士"</f>
        <v>管理学学士</v>
      </c>
      <c r="G1501" s="6" t="str">
        <f>"人力资源管理"</f>
        <v>人力资源管理</v>
      </c>
      <c r="H1501" s="7" t="s">
        <v>9</v>
      </c>
    </row>
    <row r="1502" spans="1:8" ht="15" customHeight="1">
      <c r="A1502" s="5">
        <v>1500</v>
      </c>
      <c r="B1502" s="6" t="str">
        <f>"陈玲"</f>
        <v>陈玲</v>
      </c>
      <c r="C1502" s="6" t="str">
        <f t="shared" si="784"/>
        <v>女</v>
      </c>
      <c r="D1502" s="6" t="str">
        <f>"1994-12-16"</f>
        <v>1994-12-16</v>
      </c>
      <c r="E1502" s="6" t="str">
        <f t="shared" si="781"/>
        <v>大学本科学历</v>
      </c>
      <c r="F1502" s="6" t="str">
        <f t="shared" si="785"/>
        <v>管理学学士</v>
      </c>
      <c r="G1502" s="6" t="str">
        <f>"电子商务专业"</f>
        <v>电子商务专业</v>
      </c>
      <c r="H1502" s="7" t="s">
        <v>9</v>
      </c>
    </row>
    <row r="1503" spans="1:8" ht="15" customHeight="1">
      <c r="A1503" s="5">
        <v>1501</v>
      </c>
      <c r="B1503" s="6" t="str">
        <f>"朱彤彤"</f>
        <v>朱彤彤</v>
      </c>
      <c r="C1503" s="6" t="str">
        <f t="shared" si="784"/>
        <v>女</v>
      </c>
      <c r="D1503" s="6" t="str">
        <f>"2000-05-30"</f>
        <v>2000-05-30</v>
      </c>
      <c r="E1503" s="6" t="str">
        <f>"本科"</f>
        <v>本科</v>
      </c>
      <c r="F1503" s="6" t="str">
        <f t="shared" si="785"/>
        <v>管理学学士</v>
      </c>
      <c r="G1503" s="6" t="str">
        <f>"物流管理"</f>
        <v>物流管理</v>
      </c>
      <c r="H1503" s="7" t="s">
        <v>9</v>
      </c>
    </row>
    <row r="1504" spans="1:8" ht="15" customHeight="1">
      <c r="A1504" s="5">
        <v>1502</v>
      </c>
      <c r="B1504" s="6" t="str">
        <f>"高源"</f>
        <v>高源</v>
      </c>
      <c r="C1504" s="6" t="str">
        <f aca="true" t="shared" si="786" ref="C1504:C1509">"男"</f>
        <v>男</v>
      </c>
      <c r="D1504" s="6" t="str">
        <f>"2000-11-28"</f>
        <v>2000-11-28</v>
      </c>
      <c r="E1504" s="6" t="str">
        <f>"本科"</f>
        <v>本科</v>
      </c>
      <c r="F1504" s="6" t="str">
        <f>"工学学位"</f>
        <v>工学学位</v>
      </c>
      <c r="G1504" s="6" t="str">
        <f>"建筑学"</f>
        <v>建筑学</v>
      </c>
      <c r="H1504" s="7" t="s">
        <v>9</v>
      </c>
    </row>
    <row r="1505" spans="1:8" ht="15" customHeight="1">
      <c r="A1505" s="5">
        <v>1503</v>
      </c>
      <c r="B1505" s="6" t="str">
        <f>"陈积婷"</f>
        <v>陈积婷</v>
      </c>
      <c r="C1505" s="6" t="str">
        <f aca="true" t="shared" si="787" ref="C1505:C1510">"女"</f>
        <v>女</v>
      </c>
      <c r="D1505" s="6" t="str">
        <f>"1999-01-24"</f>
        <v>1999-01-24</v>
      </c>
      <c r="E1505" s="6" t="str">
        <f>"大学本科"</f>
        <v>大学本科</v>
      </c>
      <c r="F1505" s="6" t="str">
        <f>"文学学士"</f>
        <v>文学学士</v>
      </c>
      <c r="G1505" s="6" t="str">
        <f>"汉语国际教育"</f>
        <v>汉语国际教育</v>
      </c>
      <c r="H1505" s="7" t="s">
        <v>9</v>
      </c>
    </row>
    <row r="1506" spans="1:8" ht="15" customHeight="1">
      <c r="A1506" s="5">
        <v>1504</v>
      </c>
      <c r="B1506" s="6" t="str">
        <f>"陈绍帅"</f>
        <v>陈绍帅</v>
      </c>
      <c r="C1506" s="6" t="str">
        <f t="shared" si="786"/>
        <v>男</v>
      </c>
      <c r="D1506" s="6" t="str">
        <f>"1998-09-17"</f>
        <v>1998-09-17</v>
      </c>
      <c r="E1506" s="6" t="str">
        <f>"大学本科学历"</f>
        <v>大学本科学历</v>
      </c>
      <c r="F1506" s="6" t="str">
        <f aca="true" t="shared" si="788" ref="F1506:F1509">"管理学学士"</f>
        <v>管理学学士</v>
      </c>
      <c r="G1506" s="6" t="str">
        <f>"财务管理"</f>
        <v>财务管理</v>
      </c>
      <c r="H1506" s="7" t="s">
        <v>9</v>
      </c>
    </row>
    <row r="1507" spans="1:8" ht="15" customHeight="1">
      <c r="A1507" s="5">
        <v>1505</v>
      </c>
      <c r="B1507" s="6" t="str">
        <f>"吴小英"</f>
        <v>吴小英</v>
      </c>
      <c r="C1507" s="6" t="str">
        <f t="shared" si="787"/>
        <v>女</v>
      </c>
      <c r="D1507" s="6" t="str">
        <f>"1997-01-16"</f>
        <v>1997-01-16</v>
      </c>
      <c r="E1507" s="6" t="str">
        <f>"大学本科学历"</f>
        <v>大学本科学历</v>
      </c>
      <c r="F1507" s="6" t="str">
        <f t="shared" si="788"/>
        <v>管理学学士</v>
      </c>
      <c r="G1507" s="6" t="str">
        <f>"公共事业管理（卫生事业管理）"</f>
        <v>公共事业管理（卫生事业管理）</v>
      </c>
      <c r="H1507" s="7" t="s">
        <v>9</v>
      </c>
    </row>
    <row r="1508" spans="1:8" ht="15" customHeight="1">
      <c r="A1508" s="5">
        <v>1506</v>
      </c>
      <c r="B1508" s="6" t="str">
        <f>"费泓瑜"</f>
        <v>费泓瑜</v>
      </c>
      <c r="C1508" s="6" t="str">
        <f t="shared" si="786"/>
        <v>男</v>
      </c>
      <c r="D1508" s="6" t="str">
        <f>"1995-06-26"</f>
        <v>1995-06-26</v>
      </c>
      <c r="E1508" s="6" t="str">
        <f>"大学本科"</f>
        <v>大学本科</v>
      </c>
      <c r="F1508" s="6" t="str">
        <f>"学士学位"</f>
        <v>学士学位</v>
      </c>
      <c r="G1508" s="6" t="str">
        <f>"环境工程"</f>
        <v>环境工程</v>
      </c>
      <c r="H1508" s="7" t="s">
        <v>9</v>
      </c>
    </row>
    <row r="1509" spans="1:8" ht="15" customHeight="1">
      <c r="A1509" s="5">
        <v>1507</v>
      </c>
      <c r="B1509" s="6" t="str">
        <f>"杨大魏"</f>
        <v>杨大魏</v>
      </c>
      <c r="C1509" s="6" t="str">
        <f t="shared" si="786"/>
        <v>男</v>
      </c>
      <c r="D1509" s="6" t="str">
        <f>"1999-11-17"</f>
        <v>1999-11-17</v>
      </c>
      <c r="E1509" s="6" t="str">
        <f aca="true" t="shared" si="789" ref="E1509:E1515">"本科"</f>
        <v>本科</v>
      </c>
      <c r="F1509" s="6" t="str">
        <f t="shared" si="788"/>
        <v>管理学学士</v>
      </c>
      <c r="G1509" s="6" t="str">
        <f>"公共事业管理"</f>
        <v>公共事业管理</v>
      </c>
      <c r="H1509" s="7" t="s">
        <v>9</v>
      </c>
    </row>
    <row r="1510" spans="1:8" ht="15" customHeight="1">
      <c r="A1510" s="5">
        <v>1508</v>
      </c>
      <c r="B1510" s="6" t="str">
        <f>"林明范"</f>
        <v>林明范</v>
      </c>
      <c r="C1510" s="6" t="str">
        <f t="shared" si="787"/>
        <v>女</v>
      </c>
      <c r="D1510" s="6" t="str">
        <f>"1996-09-15"</f>
        <v>1996-09-15</v>
      </c>
      <c r="E1510" s="6" t="str">
        <f t="shared" si="789"/>
        <v>本科</v>
      </c>
      <c r="F1510" s="6" t="str">
        <f>"会计学学士"</f>
        <v>会计学学士</v>
      </c>
      <c r="G1510" s="6" t="str">
        <f>"会计学 "</f>
        <v>会计学 </v>
      </c>
      <c r="H1510" s="7" t="s">
        <v>9</v>
      </c>
    </row>
    <row r="1511" spans="1:8" ht="15" customHeight="1">
      <c r="A1511" s="5">
        <v>1509</v>
      </c>
      <c r="B1511" s="6" t="str">
        <f>"许禄烈"</f>
        <v>许禄烈</v>
      </c>
      <c r="C1511" s="6" t="str">
        <f aca="true" t="shared" si="790" ref="C1511:C1516">"男"</f>
        <v>男</v>
      </c>
      <c r="D1511" s="6" t="str">
        <f>"1988-09-23"</f>
        <v>1988-09-23</v>
      </c>
      <c r="E1511" s="6" t="str">
        <f t="shared" si="789"/>
        <v>本科</v>
      </c>
      <c r="F1511" s="6" t="str">
        <f>"学士"</f>
        <v>学士</v>
      </c>
      <c r="G1511" s="6" t="str">
        <f>"计算机科学与技术"</f>
        <v>计算机科学与技术</v>
      </c>
      <c r="H1511" s="7" t="s">
        <v>9</v>
      </c>
    </row>
    <row r="1512" spans="1:8" ht="15" customHeight="1">
      <c r="A1512" s="5">
        <v>1510</v>
      </c>
      <c r="B1512" s="6" t="str">
        <f>"陈泽凯"</f>
        <v>陈泽凯</v>
      </c>
      <c r="C1512" s="6" t="str">
        <f t="shared" si="790"/>
        <v>男</v>
      </c>
      <c r="D1512" s="6" t="str">
        <f>"1998-07-24"</f>
        <v>1998-07-24</v>
      </c>
      <c r="E1512" s="6" t="str">
        <f t="shared" si="789"/>
        <v>本科</v>
      </c>
      <c r="F1512" s="6" t="str">
        <f>"管理学学士"</f>
        <v>管理学学士</v>
      </c>
      <c r="G1512" s="6" t="str">
        <f>"人力资源管理"</f>
        <v>人力资源管理</v>
      </c>
      <c r="H1512" s="7" t="s">
        <v>9</v>
      </c>
    </row>
    <row r="1513" spans="1:8" ht="15" customHeight="1">
      <c r="A1513" s="5">
        <v>1511</v>
      </c>
      <c r="B1513" s="6" t="str">
        <f>"杨全业"</f>
        <v>杨全业</v>
      </c>
      <c r="C1513" s="6" t="str">
        <f t="shared" si="790"/>
        <v>男</v>
      </c>
      <c r="D1513" s="6" t="str">
        <f>"1994-02-27"</f>
        <v>1994-02-27</v>
      </c>
      <c r="E1513" s="6" t="str">
        <f t="shared" si="789"/>
        <v>本科</v>
      </c>
      <c r="F1513" s="6" t="str">
        <f>"经济学学士"</f>
        <v>经济学学士</v>
      </c>
      <c r="G1513" s="6" t="str">
        <f aca="true" t="shared" si="791" ref="G1513:G1517">"国际经济与贸易"</f>
        <v>国际经济与贸易</v>
      </c>
      <c r="H1513" s="7" t="s">
        <v>9</v>
      </c>
    </row>
    <row r="1514" spans="1:8" ht="15" customHeight="1">
      <c r="A1514" s="5">
        <v>1512</v>
      </c>
      <c r="B1514" s="6" t="str">
        <f>"李睿群"</f>
        <v>李睿群</v>
      </c>
      <c r="C1514" s="6" t="str">
        <f t="shared" si="790"/>
        <v>男</v>
      </c>
      <c r="D1514" s="6" t="str">
        <f>"1999-10-24"</f>
        <v>1999-10-24</v>
      </c>
      <c r="E1514" s="6" t="str">
        <f t="shared" si="789"/>
        <v>本科</v>
      </c>
      <c r="F1514" s="6" t="str">
        <f>"管理学学士"</f>
        <v>管理学学士</v>
      </c>
      <c r="G1514" s="6" t="str">
        <f>"国际商务"</f>
        <v>国际商务</v>
      </c>
      <c r="H1514" s="7" t="s">
        <v>9</v>
      </c>
    </row>
    <row r="1515" spans="1:8" ht="15" customHeight="1">
      <c r="A1515" s="5">
        <v>1513</v>
      </c>
      <c r="B1515" s="6" t="str">
        <f>"苏贤辉"</f>
        <v>苏贤辉</v>
      </c>
      <c r="C1515" s="6" t="str">
        <f t="shared" si="790"/>
        <v>男</v>
      </c>
      <c r="D1515" s="6" t="str">
        <f>"1993-09-10"</f>
        <v>1993-09-10</v>
      </c>
      <c r="E1515" s="6" t="str">
        <f t="shared" si="789"/>
        <v>本科</v>
      </c>
      <c r="F1515" s="6" t="str">
        <f>"学士"</f>
        <v>学士</v>
      </c>
      <c r="G1515" s="6" t="str">
        <f t="shared" si="791"/>
        <v>国际经济与贸易</v>
      </c>
      <c r="H1515" s="7" t="s">
        <v>9</v>
      </c>
    </row>
    <row r="1516" spans="1:8" ht="15" customHeight="1">
      <c r="A1516" s="5">
        <v>1514</v>
      </c>
      <c r="B1516" s="6" t="str">
        <f>"符加方"</f>
        <v>符加方</v>
      </c>
      <c r="C1516" s="6" t="str">
        <f t="shared" si="790"/>
        <v>男</v>
      </c>
      <c r="D1516" s="6" t="str">
        <f>"1992-06-02"</f>
        <v>1992-06-02</v>
      </c>
      <c r="E1516" s="6" t="str">
        <f>"大学本科学历"</f>
        <v>大学本科学历</v>
      </c>
      <c r="F1516" s="6" t="str">
        <f>"文学学士"</f>
        <v>文学学士</v>
      </c>
      <c r="G1516" s="6" t="str">
        <f>"汉语言文学（师范类））"</f>
        <v>汉语言文学（师范类））</v>
      </c>
      <c r="H1516" s="7" t="s">
        <v>9</v>
      </c>
    </row>
    <row r="1517" spans="1:8" ht="15" customHeight="1">
      <c r="A1517" s="5">
        <v>1515</v>
      </c>
      <c r="B1517" s="6" t="str">
        <f>"陈太坤"</f>
        <v>陈太坤</v>
      </c>
      <c r="C1517" s="6" t="str">
        <f>"女"</f>
        <v>女</v>
      </c>
      <c r="D1517" s="6" t="str">
        <f>"1991-04-05"</f>
        <v>1991-04-05</v>
      </c>
      <c r="E1517" s="6" t="str">
        <f>"全日制本科"</f>
        <v>全日制本科</v>
      </c>
      <c r="F1517" s="6" t="str">
        <f>"经济学学士"</f>
        <v>经济学学士</v>
      </c>
      <c r="G1517" s="6" t="str">
        <f t="shared" si="791"/>
        <v>国际经济与贸易</v>
      </c>
      <c r="H1517" s="7" t="s">
        <v>9</v>
      </c>
    </row>
    <row r="1518" spans="1:8" ht="15" customHeight="1">
      <c r="A1518" s="5">
        <v>1516</v>
      </c>
      <c r="B1518" s="6" t="str">
        <f>"王小娇"</f>
        <v>王小娇</v>
      </c>
      <c r="C1518" s="6" t="str">
        <f>"女"</f>
        <v>女</v>
      </c>
      <c r="D1518" s="6" t="str">
        <f>"1993-08-04"</f>
        <v>1993-08-04</v>
      </c>
      <c r="E1518" s="6" t="str">
        <f>"研究生学历"</f>
        <v>研究生学历</v>
      </c>
      <c r="F1518" s="6" t="str">
        <f>"农学硕士"</f>
        <v>农学硕士</v>
      </c>
      <c r="G1518" s="6" t="str">
        <f>"观赏园艺"</f>
        <v>观赏园艺</v>
      </c>
      <c r="H1518" s="7" t="s">
        <v>9</v>
      </c>
    </row>
    <row r="1519" spans="1:8" ht="15" customHeight="1">
      <c r="A1519" s="5">
        <v>1517</v>
      </c>
      <c r="B1519" s="6" t="str">
        <f>"黄楠棣"</f>
        <v>黄楠棣</v>
      </c>
      <c r="C1519" s="6" t="str">
        <f aca="true" t="shared" si="792" ref="C1519:C1523">"男"</f>
        <v>男</v>
      </c>
      <c r="D1519" s="6" t="str">
        <f>"1996-07-15"</f>
        <v>1996-07-15</v>
      </c>
      <c r="E1519" s="6" t="str">
        <f>"大学本科"</f>
        <v>大学本科</v>
      </c>
      <c r="F1519" s="6" t="str">
        <f aca="true" t="shared" si="793" ref="F1519:F1523">"工学学士"</f>
        <v>工学学士</v>
      </c>
      <c r="G1519" s="6" t="str">
        <f>"物联网工程"</f>
        <v>物联网工程</v>
      </c>
      <c r="H1519" s="7" t="s">
        <v>9</v>
      </c>
    </row>
    <row r="1520" spans="1:8" ht="15" customHeight="1">
      <c r="A1520" s="5">
        <v>1518</v>
      </c>
      <c r="B1520" s="6" t="str">
        <f>"李慧"</f>
        <v>李慧</v>
      </c>
      <c r="C1520" s="6" t="str">
        <f t="shared" si="792"/>
        <v>男</v>
      </c>
      <c r="D1520" s="6" t="str">
        <f>"1995-08-15"</f>
        <v>1995-08-15</v>
      </c>
      <c r="E1520" s="6" t="str">
        <f aca="true" t="shared" si="794" ref="E1520:E1525">"本科"</f>
        <v>本科</v>
      </c>
      <c r="F1520" s="6" t="str">
        <f t="shared" si="793"/>
        <v>工学学士</v>
      </c>
      <c r="G1520" s="6" t="str">
        <f>"土木工程"</f>
        <v>土木工程</v>
      </c>
      <c r="H1520" s="7" t="s">
        <v>9</v>
      </c>
    </row>
    <row r="1521" spans="1:8" ht="15" customHeight="1">
      <c r="A1521" s="5">
        <v>1519</v>
      </c>
      <c r="B1521" s="6" t="str">
        <f>"符永康"</f>
        <v>符永康</v>
      </c>
      <c r="C1521" s="6" t="str">
        <f t="shared" si="792"/>
        <v>男</v>
      </c>
      <c r="D1521" s="6" t="str">
        <f>"2000-05-22"</f>
        <v>2000-05-22</v>
      </c>
      <c r="E1521" s="6" t="str">
        <f t="shared" si="794"/>
        <v>本科</v>
      </c>
      <c r="F1521" s="6" t="str">
        <f>"经济学学士"</f>
        <v>经济学学士</v>
      </c>
      <c r="G1521" s="6" t="str">
        <f>"国际经济与贸易"</f>
        <v>国际经济与贸易</v>
      </c>
      <c r="H1521" s="7" t="s">
        <v>9</v>
      </c>
    </row>
    <row r="1522" spans="1:8" ht="15" customHeight="1">
      <c r="A1522" s="5">
        <v>1520</v>
      </c>
      <c r="B1522" s="6" t="str">
        <f>"左紫龙"</f>
        <v>左紫龙</v>
      </c>
      <c r="C1522" s="6" t="str">
        <f t="shared" si="792"/>
        <v>男</v>
      </c>
      <c r="D1522" s="6" t="str">
        <f>"1997-02-18"</f>
        <v>1997-02-18</v>
      </c>
      <c r="E1522" s="6" t="str">
        <f t="shared" si="794"/>
        <v>本科</v>
      </c>
      <c r="F1522" s="6" t="str">
        <f t="shared" si="793"/>
        <v>工学学士</v>
      </c>
      <c r="G1522" s="6" t="str">
        <f>"风景园林（园林工程技术方向）"</f>
        <v>风景园林（园林工程技术方向）</v>
      </c>
      <c r="H1522" s="7" t="s">
        <v>9</v>
      </c>
    </row>
    <row r="1523" spans="1:8" ht="15" customHeight="1">
      <c r="A1523" s="5">
        <v>1521</v>
      </c>
      <c r="B1523" s="6" t="str">
        <f>"覃雄书"</f>
        <v>覃雄书</v>
      </c>
      <c r="C1523" s="6" t="str">
        <f t="shared" si="792"/>
        <v>男</v>
      </c>
      <c r="D1523" s="6" t="str">
        <f>"1998-09-17"</f>
        <v>1998-09-17</v>
      </c>
      <c r="E1523" s="6" t="str">
        <f t="shared" si="794"/>
        <v>本科</v>
      </c>
      <c r="F1523" s="6" t="str">
        <f t="shared" si="793"/>
        <v>工学学士</v>
      </c>
      <c r="G1523" s="6" t="str">
        <f>"计算机科学与技术"</f>
        <v>计算机科学与技术</v>
      </c>
      <c r="H1523" s="7" t="s">
        <v>9</v>
      </c>
    </row>
    <row r="1524" spans="1:8" ht="15" customHeight="1">
      <c r="A1524" s="5">
        <v>1522</v>
      </c>
      <c r="B1524" s="6" t="str">
        <f>"毛文芳"</f>
        <v>毛文芳</v>
      </c>
      <c r="C1524" s="6" t="str">
        <f aca="true" t="shared" si="795" ref="C1524:C1530">"女"</f>
        <v>女</v>
      </c>
      <c r="D1524" s="6" t="str">
        <f>"1992-08-19"</f>
        <v>1992-08-19</v>
      </c>
      <c r="E1524" s="6" t="str">
        <f t="shared" si="794"/>
        <v>本科</v>
      </c>
      <c r="F1524" s="6" t="str">
        <f>"经济学学士"</f>
        <v>经济学学士</v>
      </c>
      <c r="G1524" s="6" t="str">
        <f>"经济学"</f>
        <v>经济学</v>
      </c>
      <c r="H1524" s="7" t="s">
        <v>9</v>
      </c>
    </row>
    <row r="1525" spans="1:8" ht="15" customHeight="1">
      <c r="A1525" s="5">
        <v>1523</v>
      </c>
      <c r="B1525" s="6" t="str">
        <f>"吴丽丽"</f>
        <v>吴丽丽</v>
      </c>
      <c r="C1525" s="6" t="str">
        <f t="shared" si="795"/>
        <v>女</v>
      </c>
      <c r="D1525" s="6" t="str">
        <f>"1992-04-27"</f>
        <v>1992-04-27</v>
      </c>
      <c r="E1525" s="6" t="str">
        <f t="shared" si="794"/>
        <v>本科</v>
      </c>
      <c r="F1525" s="6" t="str">
        <f>"农学学士"</f>
        <v>农学学士</v>
      </c>
      <c r="G1525" s="6" t="str">
        <f>"植物保护（农药方向）"</f>
        <v>植物保护（农药方向）</v>
      </c>
      <c r="H1525" s="7" t="s">
        <v>9</v>
      </c>
    </row>
    <row r="1526" spans="1:8" ht="15" customHeight="1">
      <c r="A1526" s="5">
        <v>1524</v>
      </c>
      <c r="B1526" s="6" t="str">
        <f>"符志承"</f>
        <v>符志承</v>
      </c>
      <c r="C1526" s="6" t="str">
        <f aca="true" t="shared" si="796" ref="C1526:C1531">"男"</f>
        <v>男</v>
      </c>
      <c r="D1526" s="6" t="str">
        <f>"1997-12-07"</f>
        <v>1997-12-07</v>
      </c>
      <c r="E1526" s="6" t="str">
        <f>"大学本科学历"</f>
        <v>大学本科学历</v>
      </c>
      <c r="F1526" s="6" t="str">
        <f>"工学学士"</f>
        <v>工学学士</v>
      </c>
      <c r="G1526" s="6" t="str">
        <f>"土木工程"</f>
        <v>土木工程</v>
      </c>
      <c r="H1526" s="7" t="s">
        <v>9</v>
      </c>
    </row>
    <row r="1527" spans="1:8" ht="15" customHeight="1">
      <c r="A1527" s="5">
        <v>1525</v>
      </c>
      <c r="B1527" s="6" t="str">
        <f>"黎维荣"</f>
        <v>黎维荣</v>
      </c>
      <c r="C1527" s="6" t="str">
        <f t="shared" si="796"/>
        <v>男</v>
      </c>
      <c r="D1527" s="6" t="str">
        <f>"1990-04-06"</f>
        <v>1990-04-06</v>
      </c>
      <c r="E1527" s="6" t="str">
        <f aca="true" t="shared" si="797" ref="E1527:E1530">"本科"</f>
        <v>本科</v>
      </c>
      <c r="F1527" s="6" t="str">
        <f>"管理学学士学位"</f>
        <v>管理学学士学位</v>
      </c>
      <c r="G1527" s="6" t="str">
        <f>"会计学"</f>
        <v>会计学</v>
      </c>
      <c r="H1527" s="7" t="s">
        <v>9</v>
      </c>
    </row>
    <row r="1528" spans="1:8" ht="15" customHeight="1">
      <c r="A1528" s="5">
        <v>1526</v>
      </c>
      <c r="B1528" s="6" t="str">
        <f>"符萍"</f>
        <v>符萍</v>
      </c>
      <c r="C1528" s="6" t="str">
        <f t="shared" si="795"/>
        <v>女</v>
      </c>
      <c r="D1528" s="6" t="str">
        <f>"2001-01-03"</f>
        <v>2001-01-03</v>
      </c>
      <c r="E1528" s="6" t="str">
        <f t="shared" si="797"/>
        <v>本科</v>
      </c>
      <c r="F1528" s="6" t="str">
        <f>"学士"</f>
        <v>学士</v>
      </c>
      <c r="G1528" s="6" t="str">
        <f>"旅游管理"</f>
        <v>旅游管理</v>
      </c>
      <c r="H1528" s="7" t="s">
        <v>9</v>
      </c>
    </row>
    <row r="1529" spans="1:8" ht="15" customHeight="1">
      <c r="A1529" s="5">
        <v>1527</v>
      </c>
      <c r="B1529" s="6" t="str">
        <f>"詹才佳"</f>
        <v>詹才佳</v>
      </c>
      <c r="C1529" s="6" t="str">
        <f t="shared" si="795"/>
        <v>女</v>
      </c>
      <c r="D1529" s="6" t="str">
        <f>"1998-08-18"</f>
        <v>1998-08-18</v>
      </c>
      <c r="E1529" s="6" t="str">
        <f t="shared" si="797"/>
        <v>本科</v>
      </c>
      <c r="F1529" s="6" t="str">
        <f>"工学学士"</f>
        <v>工学学士</v>
      </c>
      <c r="G1529" s="6" t="str">
        <f>"物联网工程"</f>
        <v>物联网工程</v>
      </c>
      <c r="H1529" s="7" t="s">
        <v>9</v>
      </c>
    </row>
    <row r="1530" spans="1:8" ht="15" customHeight="1">
      <c r="A1530" s="5">
        <v>1528</v>
      </c>
      <c r="B1530" s="6" t="str">
        <f>"胡神茵"</f>
        <v>胡神茵</v>
      </c>
      <c r="C1530" s="6" t="str">
        <f t="shared" si="795"/>
        <v>女</v>
      </c>
      <c r="D1530" s="6" t="str">
        <f>"1997-08-27"</f>
        <v>1997-08-27</v>
      </c>
      <c r="E1530" s="6" t="str">
        <f t="shared" si="797"/>
        <v>本科</v>
      </c>
      <c r="F1530" s="6" t="str">
        <f>"工科学士"</f>
        <v>工科学士</v>
      </c>
      <c r="G1530" s="6" t="str">
        <f>"城乡规划"</f>
        <v>城乡规划</v>
      </c>
      <c r="H1530" s="7" t="s">
        <v>9</v>
      </c>
    </row>
    <row r="1531" spans="1:8" ht="15" customHeight="1">
      <c r="A1531" s="5">
        <v>1529</v>
      </c>
      <c r="B1531" s="6" t="str">
        <f>"周永文"</f>
        <v>周永文</v>
      </c>
      <c r="C1531" s="6" t="str">
        <f t="shared" si="796"/>
        <v>男</v>
      </c>
      <c r="D1531" s="6" t="str">
        <f>"1991-05-10"</f>
        <v>1991-05-10</v>
      </c>
      <c r="E1531" s="6" t="str">
        <f>"大学本科学历"</f>
        <v>大学本科学历</v>
      </c>
      <c r="F1531" s="6" t="str">
        <f>"管理学学士"</f>
        <v>管理学学士</v>
      </c>
      <c r="G1531" s="6" t="str">
        <f>"人力资源管理"</f>
        <v>人力资源管理</v>
      </c>
      <c r="H1531" s="7" t="s">
        <v>9</v>
      </c>
    </row>
    <row r="1532" spans="1:8" ht="15" customHeight="1">
      <c r="A1532" s="5">
        <v>1530</v>
      </c>
      <c r="B1532" s="6" t="str">
        <f>"郑鸿讯"</f>
        <v>郑鸿讯</v>
      </c>
      <c r="C1532" s="6" t="str">
        <f>"女"</f>
        <v>女</v>
      </c>
      <c r="D1532" s="6" t="str">
        <f>"1999-03-08"</f>
        <v>1999-03-08</v>
      </c>
      <c r="E1532" s="6" t="str">
        <f aca="true" t="shared" si="798" ref="E1532:E1540">"本科"</f>
        <v>本科</v>
      </c>
      <c r="F1532" s="6" t="str">
        <f>"理学学士"</f>
        <v>理学学士</v>
      </c>
      <c r="G1532" s="6" t="str">
        <f>"环境科学"</f>
        <v>环境科学</v>
      </c>
      <c r="H1532" s="7" t="s">
        <v>9</v>
      </c>
    </row>
    <row r="1533" spans="1:8" ht="15" customHeight="1">
      <c r="A1533" s="5">
        <v>1531</v>
      </c>
      <c r="B1533" s="6" t="str">
        <f>"杨裕豪"</f>
        <v>杨裕豪</v>
      </c>
      <c r="C1533" s="6" t="str">
        <f aca="true" t="shared" si="799" ref="C1533:C1539">"男"</f>
        <v>男</v>
      </c>
      <c r="D1533" s="6" t="str">
        <f>"1993-05-26"</f>
        <v>1993-05-26</v>
      </c>
      <c r="E1533" s="6" t="str">
        <f t="shared" si="798"/>
        <v>本科</v>
      </c>
      <c r="F1533" s="6" t="str">
        <f>"管理学学士"</f>
        <v>管理学学士</v>
      </c>
      <c r="G1533" s="6" t="str">
        <f>"会计"</f>
        <v>会计</v>
      </c>
      <c r="H1533" s="7" t="s">
        <v>9</v>
      </c>
    </row>
    <row r="1534" spans="1:8" ht="15" customHeight="1">
      <c r="A1534" s="5">
        <v>1532</v>
      </c>
      <c r="B1534" s="6" t="str">
        <f>"王瀚泽"</f>
        <v>王瀚泽</v>
      </c>
      <c r="C1534" s="6" t="str">
        <f t="shared" si="799"/>
        <v>男</v>
      </c>
      <c r="D1534" s="6" t="str">
        <f>"1998-05-03"</f>
        <v>1998-05-03</v>
      </c>
      <c r="E1534" s="6" t="str">
        <f t="shared" si="798"/>
        <v>本科</v>
      </c>
      <c r="F1534" s="6" t="str">
        <f>"学士"</f>
        <v>学士</v>
      </c>
      <c r="G1534" s="6" t="str">
        <f>"经济学"</f>
        <v>经济学</v>
      </c>
      <c r="H1534" s="7" t="s">
        <v>9</v>
      </c>
    </row>
    <row r="1535" spans="1:8" ht="15" customHeight="1">
      <c r="A1535" s="5">
        <v>1533</v>
      </c>
      <c r="B1535" s="6" t="str">
        <f>"覃荣发"</f>
        <v>覃荣发</v>
      </c>
      <c r="C1535" s="6" t="str">
        <f t="shared" si="799"/>
        <v>男</v>
      </c>
      <c r="D1535" s="6" t="str">
        <f>"1998-11-29"</f>
        <v>1998-11-29</v>
      </c>
      <c r="E1535" s="6" t="str">
        <f t="shared" si="798"/>
        <v>本科</v>
      </c>
      <c r="F1535" s="6" t="str">
        <f aca="true" t="shared" si="800" ref="F1535:F1538">"文学学士"</f>
        <v>文学学士</v>
      </c>
      <c r="G1535" s="6" t="str">
        <f aca="true" t="shared" si="801" ref="G1535:G1538">"汉语言文学"</f>
        <v>汉语言文学</v>
      </c>
      <c r="H1535" s="7" t="s">
        <v>9</v>
      </c>
    </row>
    <row r="1536" spans="1:8" ht="15" customHeight="1">
      <c r="A1536" s="5">
        <v>1534</v>
      </c>
      <c r="B1536" s="6" t="str">
        <f>"邓海达"</f>
        <v>邓海达</v>
      </c>
      <c r="C1536" s="6" t="str">
        <f t="shared" si="799"/>
        <v>男</v>
      </c>
      <c r="D1536" s="6" t="str">
        <f>"2000-11-29"</f>
        <v>2000-11-29</v>
      </c>
      <c r="E1536" s="6" t="str">
        <f t="shared" si="798"/>
        <v>本科</v>
      </c>
      <c r="F1536" s="6" t="str">
        <f>"理学学士"</f>
        <v>理学学士</v>
      </c>
      <c r="G1536" s="6" t="str">
        <f>"应用生物科学"</f>
        <v>应用生物科学</v>
      </c>
      <c r="H1536" s="7" t="s">
        <v>9</v>
      </c>
    </row>
    <row r="1537" spans="1:8" ht="15" customHeight="1">
      <c r="A1537" s="5">
        <v>1535</v>
      </c>
      <c r="B1537" s="6" t="str">
        <f>"黎壮林"</f>
        <v>黎壮林</v>
      </c>
      <c r="C1537" s="6" t="str">
        <f t="shared" si="799"/>
        <v>男</v>
      </c>
      <c r="D1537" s="6" t="str">
        <f>"1991-01-10"</f>
        <v>1991-01-10</v>
      </c>
      <c r="E1537" s="6" t="str">
        <f t="shared" si="798"/>
        <v>本科</v>
      </c>
      <c r="F1537" s="6" t="str">
        <f t="shared" si="800"/>
        <v>文学学士</v>
      </c>
      <c r="G1537" s="6" t="str">
        <f t="shared" si="801"/>
        <v>汉语言文学</v>
      </c>
      <c r="H1537" s="7" t="s">
        <v>9</v>
      </c>
    </row>
    <row r="1538" spans="1:8" ht="15" customHeight="1">
      <c r="A1538" s="5">
        <v>1536</v>
      </c>
      <c r="B1538" s="6" t="str">
        <f>"黄歆珂"</f>
        <v>黄歆珂</v>
      </c>
      <c r="C1538" s="6" t="str">
        <f t="shared" si="799"/>
        <v>男</v>
      </c>
      <c r="D1538" s="6" t="str">
        <f>"1995-07-28"</f>
        <v>1995-07-28</v>
      </c>
      <c r="E1538" s="6" t="str">
        <f t="shared" si="798"/>
        <v>本科</v>
      </c>
      <c r="F1538" s="6" t="str">
        <f t="shared" si="800"/>
        <v>文学学士</v>
      </c>
      <c r="G1538" s="6" t="str">
        <f t="shared" si="801"/>
        <v>汉语言文学</v>
      </c>
      <c r="H1538" s="7" t="s">
        <v>9</v>
      </c>
    </row>
    <row r="1539" spans="1:8" ht="15" customHeight="1">
      <c r="A1539" s="5">
        <v>1537</v>
      </c>
      <c r="B1539" s="6" t="str">
        <f>"何奕东"</f>
        <v>何奕东</v>
      </c>
      <c r="C1539" s="6" t="str">
        <f t="shared" si="799"/>
        <v>男</v>
      </c>
      <c r="D1539" s="6" t="str">
        <f>"1997-04-23"</f>
        <v>1997-04-23</v>
      </c>
      <c r="E1539" s="6" t="str">
        <f t="shared" si="798"/>
        <v>本科</v>
      </c>
      <c r="F1539" s="6" t="str">
        <f>"管理学学士"</f>
        <v>管理学学士</v>
      </c>
      <c r="G1539" s="6" t="str">
        <f>"酒店管理"</f>
        <v>酒店管理</v>
      </c>
      <c r="H1539" s="7" t="s">
        <v>9</v>
      </c>
    </row>
    <row r="1540" spans="1:8" ht="15" customHeight="1">
      <c r="A1540" s="5">
        <v>1538</v>
      </c>
      <c r="B1540" s="6" t="str">
        <f>"薛欧妃"</f>
        <v>薛欧妃</v>
      </c>
      <c r="C1540" s="6" t="str">
        <f aca="true" t="shared" si="802" ref="C1540:C1542">"女"</f>
        <v>女</v>
      </c>
      <c r="D1540" s="6" t="str">
        <f>"1999-03-17"</f>
        <v>1999-03-17</v>
      </c>
      <c r="E1540" s="6" t="str">
        <f t="shared" si="798"/>
        <v>本科</v>
      </c>
      <c r="F1540" s="6" t="str">
        <f>"学士"</f>
        <v>学士</v>
      </c>
      <c r="G1540" s="6" t="str">
        <f>"汉语国际教育专业"</f>
        <v>汉语国际教育专业</v>
      </c>
      <c r="H1540" s="7" t="s">
        <v>9</v>
      </c>
    </row>
    <row r="1541" spans="1:8" ht="15" customHeight="1">
      <c r="A1541" s="5">
        <v>1539</v>
      </c>
      <c r="B1541" s="6" t="str">
        <f>"陈倩"</f>
        <v>陈倩</v>
      </c>
      <c r="C1541" s="6" t="str">
        <f t="shared" si="802"/>
        <v>女</v>
      </c>
      <c r="D1541" s="6" t="str">
        <f>"1994-06-18"</f>
        <v>1994-06-18</v>
      </c>
      <c r="E1541" s="6" t="str">
        <f>"普通高等学校本科"</f>
        <v>普通高等学校本科</v>
      </c>
      <c r="F1541" s="6" t="str">
        <f>"工学学士"</f>
        <v>工学学士</v>
      </c>
      <c r="G1541" s="6" t="str">
        <f>"环境工程"</f>
        <v>环境工程</v>
      </c>
      <c r="H1541" s="7" t="s">
        <v>9</v>
      </c>
    </row>
    <row r="1542" spans="1:8" ht="15" customHeight="1">
      <c r="A1542" s="5">
        <v>1540</v>
      </c>
      <c r="B1542" s="6" t="str">
        <f>"晏先丽"</f>
        <v>晏先丽</v>
      </c>
      <c r="C1542" s="6" t="str">
        <f t="shared" si="802"/>
        <v>女</v>
      </c>
      <c r="D1542" s="6" t="str">
        <f>"1994-11-15"</f>
        <v>1994-11-15</v>
      </c>
      <c r="E1542" s="6" t="str">
        <f aca="true" t="shared" si="803" ref="E1542:E1545">"本科"</f>
        <v>本科</v>
      </c>
      <c r="F1542" s="6" t="str">
        <f>"工学学士"</f>
        <v>工学学士</v>
      </c>
      <c r="G1542" s="6" t="str">
        <f>"计算机科学与技术"</f>
        <v>计算机科学与技术</v>
      </c>
      <c r="H1542" s="7" t="s">
        <v>9</v>
      </c>
    </row>
    <row r="1543" spans="1:8" ht="15" customHeight="1">
      <c r="A1543" s="5">
        <v>1541</v>
      </c>
      <c r="B1543" s="6" t="str">
        <f>"陈奕宏"</f>
        <v>陈奕宏</v>
      </c>
      <c r="C1543" s="6" t="str">
        <f aca="true" t="shared" si="804" ref="C1543:C1547">"男"</f>
        <v>男</v>
      </c>
      <c r="D1543" s="6" t="str">
        <f>"1999-08-25"</f>
        <v>1999-08-25</v>
      </c>
      <c r="E1543" s="6" t="str">
        <f t="shared" si="803"/>
        <v>本科</v>
      </c>
      <c r="F1543" s="6" t="str">
        <f>"学士学位"</f>
        <v>学士学位</v>
      </c>
      <c r="G1543" s="6" t="str">
        <f>"环境工程"</f>
        <v>环境工程</v>
      </c>
      <c r="H1543" s="7" t="s">
        <v>9</v>
      </c>
    </row>
    <row r="1544" spans="1:8" ht="15" customHeight="1">
      <c r="A1544" s="5">
        <v>1542</v>
      </c>
      <c r="B1544" s="6" t="str">
        <f>"黄日辉"</f>
        <v>黄日辉</v>
      </c>
      <c r="C1544" s="6" t="str">
        <f t="shared" si="804"/>
        <v>男</v>
      </c>
      <c r="D1544" s="6" t="str">
        <f>"1992-12-10"</f>
        <v>1992-12-10</v>
      </c>
      <c r="E1544" s="6" t="str">
        <f t="shared" si="803"/>
        <v>本科</v>
      </c>
      <c r="F1544" s="6" t="str">
        <f aca="true" t="shared" si="805" ref="F1544:F1547">"管理学学士"</f>
        <v>管理学学士</v>
      </c>
      <c r="G1544" s="6" t="str">
        <f>"财务管理"</f>
        <v>财务管理</v>
      </c>
      <c r="H1544" s="7" t="s">
        <v>9</v>
      </c>
    </row>
    <row r="1545" spans="1:8" ht="15" customHeight="1">
      <c r="A1545" s="5">
        <v>1543</v>
      </c>
      <c r="B1545" s="6" t="str">
        <f>"陈圻金"</f>
        <v>陈圻金</v>
      </c>
      <c r="C1545" s="6" t="str">
        <f t="shared" si="804"/>
        <v>男</v>
      </c>
      <c r="D1545" s="6" t="str">
        <f>"1997-09-16"</f>
        <v>1997-09-16</v>
      </c>
      <c r="E1545" s="6" t="str">
        <f t="shared" si="803"/>
        <v>本科</v>
      </c>
      <c r="F1545" s="6" t="str">
        <f>"经济学学士"</f>
        <v>经济学学士</v>
      </c>
      <c r="G1545" s="6" t="str">
        <f>"经济统计学"</f>
        <v>经济统计学</v>
      </c>
      <c r="H1545" s="7" t="s">
        <v>9</v>
      </c>
    </row>
    <row r="1546" spans="1:8" ht="15" customHeight="1">
      <c r="A1546" s="5">
        <v>1544</v>
      </c>
      <c r="B1546" s="6" t="str">
        <f>"符阳基"</f>
        <v>符阳基</v>
      </c>
      <c r="C1546" s="6" t="str">
        <f t="shared" si="804"/>
        <v>男</v>
      </c>
      <c r="D1546" s="6" t="str">
        <f>"1996-07-08"</f>
        <v>1996-07-08</v>
      </c>
      <c r="E1546" s="6" t="str">
        <f aca="true" t="shared" si="806" ref="E1546:E1551">"大学本科"</f>
        <v>大学本科</v>
      </c>
      <c r="F1546" s="6" t="str">
        <f t="shared" si="805"/>
        <v>管理学学士</v>
      </c>
      <c r="G1546" s="6" t="str">
        <f>"资产评估"</f>
        <v>资产评估</v>
      </c>
      <c r="H1546" s="7" t="s">
        <v>9</v>
      </c>
    </row>
    <row r="1547" spans="1:8" ht="15" customHeight="1">
      <c r="A1547" s="5">
        <v>1545</v>
      </c>
      <c r="B1547" s="6" t="str">
        <f>"刘硕文"</f>
        <v>刘硕文</v>
      </c>
      <c r="C1547" s="6" t="str">
        <f t="shared" si="804"/>
        <v>男</v>
      </c>
      <c r="D1547" s="6" t="str">
        <f>"1998-06-29"</f>
        <v>1998-06-29</v>
      </c>
      <c r="E1547" s="6" t="str">
        <f t="shared" si="806"/>
        <v>大学本科</v>
      </c>
      <c r="F1547" s="6" t="str">
        <f t="shared" si="805"/>
        <v>管理学学士</v>
      </c>
      <c r="G1547" s="6" t="str">
        <f>"财务管理"</f>
        <v>财务管理</v>
      </c>
      <c r="H1547" s="7" t="s">
        <v>9</v>
      </c>
    </row>
    <row r="1548" spans="1:8" ht="15" customHeight="1">
      <c r="A1548" s="5">
        <v>1546</v>
      </c>
      <c r="B1548" s="6" t="str">
        <f>"陈燕布"</f>
        <v>陈燕布</v>
      </c>
      <c r="C1548" s="6" t="str">
        <f aca="true" t="shared" si="807" ref="C1548:C1553">"女"</f>
        <v>女</v>
      </c>
      <c r="D1548" s="6" t="str">
        <f>"2000-11-26"</f>
        <v>2000-11-26</v>
      </c>
      <c r="E1548" s="6" t="str">
        <f>"大学本科学历"</f>
        <v>大学本科学历</v>
      </c>
      <c r="F1548" s="6" t="str">
        <f>"文学文士"</f>
        <v>文学文士</v>
      </c>
      <c r="G1548" s="6" t="str">
        <f>"汉语言文学"</f>
        <v>汉语言文学</v>
      </c>
      <c r="H1548" s="7" t="s">
        <v>9</v>
      </c>
    </row>
    <row r="1549" spans="1:8" ht="15" customHeight="1">
      <c r="A1549" s="5">
        <v>1547</v>
      </c>
      <c r="B1549" s="6" t="str">
        <f>"云薇"</f>
        <v>云薇</v>
      </c>
      <c r="C1549" s="6" t="str">
        <f t="shared" si="807"/>
        <v>女</v>
      </c>
      <c r="D1549" s="6" t="str">
        <f>"1999-03-08"</f>
        <v>1999-03-08</v>
      </c>
      <c r="E1549" s="6" t="str">
        <f aca="true" t="shared" si="808" ref="E1549:E1554">"本科"</f>
        <v>本科</v>
      </c>
      <c r="F1549" s="6" t="str">
        <f>"管理学学士"</f>
        <v>管理学学士</v>
      </c>
      <c r="G1549" s="6" t="str">
        <f>"行政管理"</f>
        <v>行政管理</v>
      </c>
      <c r="H1549" s="7" t="s">
        <v>9</v>
      </c>
    </row>
    <row r="1550" spans="1:8" ht="15" customHeight="1">
      <c r="A1550" s="5">
        <v>1548</v>
      </c>
      <c r="B1550" s="6" t="str">
        <f>"王松烽"</f>
        <v>王松烽</v>
      </c>
      <c r="C1550" s="6" t="str">
        <f aca="true" t="shared" si="809" ref="C1550:C1552">"男"</f>
        <v>男</v>
      </c>
      <c r="D1550" s="6" t="str">
        <f>"1998-08-07"</f>
        <v>1998-08-07</v>
      </c>
      <c r="E1550" s="6" t="str">
        <f t="shared" si="808"/>
        <v>本科</v>
      </c>
      <c r="F1550" s="6" t="str">
        <f>"工学学士"</f>
        <v>工学学士</v>
      </c>
      <c r="G1550" s="6" t="str">
        <f>"建筑学"</f>
        <v>建筑学</v>
      </c>
      <c r="H1550" s="7" t="s">
        <v>9</v>
      </c>
    </row>
    <row r="1551" spans="1:8" ht="15" customHeight="1">
      <c r="A1551" s="5">
        <v>1549</v>
      </c>
      <c r="B1551" s="6" t="str">
        <f>"李洪毅"</f>
        <v>李洪毅</v>
      </c>
      <c r="C1551" s="6" t="str">
        <f t="shared" si="809"/>
        <v>男</v>
      </c>
      <c r="D1551" s="6" t="str">
        <f>"2000-07-22"</f>
        <v>2000-07-22</v>
      </c>
      <c r="E1551" s="6" t="str">
        <f t="shared" si="806"/>
        <v>大学本科</v>
      </c>
      <c r="F1551" s="6" t="str">
        <f>"农学学士"</f>
        <v>农学学士</v>
      </c>
      <c r="G1551" s="6" t="str">
        <f>"植物科学与技术"</f>
        <v>植物科学与技术</v>
      </c>
      <c r="H1551" s="7" t="s">
        <v>9</v>
      </c>
    </row>
    <row r="1552" spans="1:8" ht="15" customHeight="1">
      <c r="A1552" s="5">
        <v>1550</v>
      </c>
      <c r="B1552" s="6" t="str">
        <f>"王光龙"</f>
        <v>王光龙</v>
      </c>
      <c r="C1552" s="6" t="str">
        <f t="shared" si="809"/>
        <v>男</v>
      </c>
      <c r="D1552" s="6" t="str">
        <f>"2000-03-18"</f>
        <v>2000-03-18</v>
      </c>
      <c r="E1552" s="6" t="str">
        <f t="shared" si="808"/>
        <v>本科</v>
      </c>
      <c r="F1552" s="6" t="str">
        <f>"工学学士 "</f>
        <v>工学学士 </v>
      </c>
      <c r="G1552" s="6" t="str">
        <f>"土木工程"</f>
        <v>土木工程</v>
      </c>
      <c r="H1552" s="7" t="s">
        <v>9</v>
      </c>
    </row>
    <row r="1553" spans="1:8" ht="15" customHeight="1">
      <c r="A1553" s="5">
        <v>1551</v>
      </c>
      <c r="B1553" s="6" t="str">
        <f>"孙蕾"</f>
        <v>孙蕾</v>
      </c>
      <c r="C1553" s="6" t="str">
        <f t="shared" si="807"/>
        <v>女</v>
      </c>
      <c r="D1553" s="6" t="str">
        <f>"1999-10-02"</f>
        <v>1999-10-02</v>
      </c>
      <c r="E1553" s="6" t="str">
        <f t="shared" si="808"/>
        <v>本科</v>
      </c>
      <c r="F1553" s="6" t="str">
        <f>"学士学位"</f>
        <v>学士学位</v>
      </c>
      <c r="G1553" s="6" t="str">
        <f>"市场营销"</f>
        <v>市场营销</v>
      </c>
      <c r="H1553" s="7" t="s">
        <v>9</v>
      </c>
    </row>
    <row r="1554" spans="1:8" ht="15" customHeight="1">
      <c r="A1554" s="5">
        <v>1552</v>
      </c>
      <c r="B1554" s="6" t="str">
        <f>"陈承鑫"</f>
        <v>陈承鑫</v>
      </c>
      <c r="C1554" s="6" t="str">
        <f aca="true" t="shared" si="810" ref="C1554:C1558">"男"</f>
        <v>男</v>
      </c>
      <c r="D1554" s="6" t="str">
        <f>"1997-02-09"</f>
        <v>1997-02-09</v>
      </c>
      <c r="E1554" s="6" t="str">
        <f t="shared" si="808"/>
        <v>本科</v>
      </c>
      <c r="F1554" s="6" t="str">
        <f>"工科学士"</f>
        <v>工科学士</v>
      </c>
      <c r="G1554" s="6" t="str">
        <f>"计算机科学与技术"</f>
        <v>计算机科学与技术</v>
      </c>
      <c r="H1554" s="7" t="s">
        <v>9</v>
      </c>
    </row>
    <row r="1555" spans="1:8" ht="15" customHeight="1">
      <c r="A1555" s="5">
        <v>1553</v>
      </c>
      <c r="B1555" s="6" t="str">
        <f>"张文壮"</f>
        <v>张文壮</v>
      </c>
      <c r="C1555" s="6" t="str">
        <f t="shared" si="810"/>
        <v>男</v>
      </c>
      <c r="D1555" s="6" t="str">
        <f>"1991-07-24"</f>
        <v>1991-07-24</v>
      </c>
      <c r="E1555" s="6" t="str">
        <f>"大学本科"</f>
        <v>大学本科</v>
      </c>
      <c r="F1555" s="6" t="str">
        <f>"理学学士"</f>
        <v>理学学士</v>
      </c>
      <c r="G1555" s="6" t="str">
        <f>"环境科学"</f>
        <v>环境科学</v>
      </c>
      <c r="H1555" s="7" t="s">
        <v>9</v>
      </c>
    </row>
    <row r="1556" spans="1:8" ht="15" customHeight="1">
      <c r="A1556" s="5">
        <v>1554</v>
      </c>
      <c r="B1556" s="6" t="str">
        <f>"叶帆"</f>
        <v>叶帆</v>
      </c>
      <c r="C1556" s="6" t="str">
        <f aca="true" t="shared" si="811" ref="C1556:C1560">"女"</f>
        <v>女</v>
      </c>
      <c r="D1556" s="6" t="str">
        <f>"1995-11-02"</f>
        <v>1995-11-02</v>
      </c>
      <c r="E1556" s="6" t="str">
        <f aca="true" t="shared" si="812" ref="E1556:E1562">"本科"</f>
        <v>本科</v>
      </c>
      <c r="F1556" s="6" t="str">
        <f>"管理学士"</f>
        <v>管理学士</v>
      </c>
      <c r="G1556" s="6" t="str">
        <f>"财务管理"</f>
        <v>财务管理</v>
      </c>
      <c r="H1556" s="7" t="s">
        <v>9</v>
      </c>
    </row>
    <row r="1557" spans="1:8" ht="15" customHeight="1">
      <c r="A1557" s="5">
        <v>1555</v>
      </c>
      <c r="B1557" s="6" t="str">
        <f>"钟文玲"</f>
        <v>钟文玲</v>
      </c>
      <c r="C1557" s="6" t="str">
        <f t="shared" si="811"/>
        <v>女</v>
      </c>
      <c r="D1557" s="6" t="str">
        <f>"1992-02-09"</f>
        <v>1992-02-09</v>
      </c>
      <c r="E1557" s="6" t="str">
        <f t="shared" si="812"/>
        <v>本科</v>
      </c>
      <c r="F1557" s="6" t="str">
        <f aca="true" t="shared" si="813" ref="F1557:F1559">"管理学学士"</f>
        <v>管理学学士</v>
      </c>
      <c r="G1557" s="6" t="str">
        <f>"劳动与社会保障"</f>
        <v>劳动与社会保障</v>
      </c>
      <c r="H1557" s="7" t="s">
        <v>9</v>
      </c>
    </row>
    <row r="1558" spans="1:8" ht="15" customHeight="1">
      <c r="A1558" s="5">
        <v>1556</v>
      </c>
      <c r="B1558" s="6" t="str">
        <f>"陈光彪"</f>
        <v>陈光彪</v>
      </c>
      <c r="C1558" s="6" t="str">
        <f t="shared" si="810"/>
        <v>男</v>
      </c>
      <c r="D1558" s="6" t="str">
        <f>"1997-10-20"</f>
        <v>1997-10-20</v>
      </c>
      <c r="E1558" s="6" t="str">
        <f>"大学本科"</f>
        <v>大学本科</v>
      </c>
      <c r="F1558" s="6" t="str">
        <f t="shared" si="813"/>
        <v>管理学学士</v>
      </c>
      <c r="G1558" s="6" t="str">
        <f>"审计学"</f>
        <v>审计学</v>
      </c>
      <c r="H1558" s="7" t="s">
        <v>9</v>
      </c>
    </row>
    <row r="1559" spans="1:8" ht="15" customHeight="1">
      <c r="A1559" s="5">
        <v>1557</v>
      </c>
      <c r="B1559" s="6" t="str">
        <f>"孙江艳"</f>
        <v>孙江艳</v>
      </c>
      <c r="C1559" s="6" t="str">
        <f t="shared" si="811"/>
        <v>女</v>
      </c>
      <c r="D1559" s="6" t="str">
        <f>"1996-10-21"</f>
        <v>1996-10-21</v>
      </c>
      <c r="E1559" s="6" t="str">
        <f>"大学本科学历"</f>
        <v>大学本科学历</v>
      </c>
      <c r="F1559" s="6" t="str">
        <f t="shared" si="813"/>
        <v>管理学学士</v>
      </c>
      <c r="G1559" s="6" t="str">
        <f>"信息管理与信息系统"</f>
        <v>信息管理与信息系统</v>
      </c>
      <c r="H1559" s="7" t="s">
        <v>9</v>
      </c>
    </row>
    <row r="1560" spans="1:8" ht="15" customHeight="1">
      <c r="A1560" s="5">
        <v>1558</v>
      </c>
      <c r="B1560" s="6" t="str">
        <f>"林慧婷"</f>
        <v>林慧婷</v>
      </c>
      <c r="C1560" s="6" t="str">
        <f t="shared" si="811"/>
        <v>女</v>
      </c>
      <c r="D1560" s="6" t="str">
        <f>"1998-06-24"</f>
        <v>1998-06-24</v>
      </c>
      <c r="E1560" s="6" t="str">
        <f t="shared" si="812"/>
        <v>本科</v>
      </c>
      <c r="F1560" s="6" t="str">
        <f>"管理学士学位"</f>
        <v>管理学士学位</v>
      </c>
      <c r="G1560" s="6" t="str">
        <f>"酒店管理"</f>
        <v>酒店管理</v>
      </c>
      <c r="H1560" s="7" t="s">
        <v>9</v>
      </c>
    </row>
    <row r="1561" spans="1:8" ht="15" customHeight="1">
      <c r="A1561" s="5">
        <v>1559</v>
      </c>
      <c r="B1561" s="6" t="str">
        <f>"夏高龙"</f>
        <v>夏高龙</v>
      </c>
      <c r="C1561" s="6" t="str">
        <f aca="true" t="shared" si="814" ref="C1561:C1564">"男"</f>
        <v>男</v>
      </c>
      <c r="D1561" s="6" t="str">
        <f>"1998-03-27"</f>
        <v>1998-03-27</v>
      </c>
      <c r="E1561" s="6" t="str">
        <f t="shared" si="812"/>
        <v>本科</v>
      </c>
      <c r="F1561" s="6" t="str">
        <f>"学士"</f>
        <v>学士</v>
      </c>
      <c r="G1561" s="6" t="str">
        <f>"计算机科学与技术（师范）"</f>
        <v>计算机科学与技术（师范）</v>
      </c>
      <c r="H1561" s="7" t="s">
        <v>9</v>
      </c>
    </row>
    <row r="1562" spans="1:8" ht="15" customHeight="1">
      <c r="A1562" s="5">
        <v>1560</v>
      </c>
      <c r="B1562" s="6" t="str">
        <f>"张宇"</f>
        <v>张宇</v>
      </c>
      <c r="C1562" s="6" t="str">
        <f aca="true" t="shared" si="815" ref="C1562:C1567">"女"</f>
        <v>女</v>
      </c>
      <c r="D1562" s="6" t="str">
        <f>"1997-06-10"</f>
        <v>1997-06-10</v>
      </c>
      <c r="E1562" s="6" t="str">
        <f t="shared" si="812"/>
        <v>本科</v>
      </c>
      <c r="F1562" s="6" t="str">
        <f>"农学学位"</f>
        <v>农学学位</v>
      </c>
      <c r="G1562" s="6" t="str">
        <f>"园艺"</f>
        <v>园艺</v>
      </c>
      <c r="H1562" s="7" t="s">
        <v>9</v>
      </c>
    </row>
    <row r="1563" spans="1:8" ht="15" customHeight="1">
      <c r="A1563" s="5">
        <v>1561</v>
      </c>
      <c r="B1563" s="6" t="str">
        <f>"廖殿才"</f>
        <v>廖殿才</v>
      </c>
      <c r="C1563" s="6" t="str">
        <f t="shared" si="814"/>
        <v>男</v>
      </c>
      <c r="D1563" s="6" t="str">
        <f>"1996-08-22"</f>
        <v>1996-08-22</v>
      </c>
      <c r="E1563" s="6" t="str">
        <f>"全日制本科"</f>
        <v>全日制本科</v>
      </c>
      <c r="F1563" s="6" t="str">
        <f>"管理学学士"</f>
        <v>管理学学士</v>
      </c>
      <c r="G1563" s="6" t="str">
        <f>"工商管理"</f>
        <v>工商管理</v>
      </c>
      <c r="H1563" s="7" t="s">
        <v>9</v>
      </c>
    </row>
    <row r="1564" spans="1:8" ht="15" customHeight="1">
      <c r="A1564" s="5">
        <v>1562</v>
      </c>
      <c r="B1564" s="6" t="str">
        <f>"符万森"</f>
        <v>符万森</v>
      </c>
      <c r="C1564" s="6" t="str">
        <f t="shared" si="814"/>
        <v>男</v>
      </c>
      <c r="D1564" s="6" t="str">
        <f>"1991-03-24"</f>
        <v>1991-03-24</v>
      </c>
      <c r="E1564" s="6" t="str">
        <f>"大学本科学历"</f>
        <v>大学本科学历</v>
      </c>
      <c r="F1564" s="6" t="str">
        <f>"文学学士"</f>
        <v>文学学士</v>
      </c>
      <c r="G1564" s="6" t="str">
        <f>"汉语言"</f>
        <v>汉语言</v>
      </c>
      <c r="H1564" s="7" t="s">
        <v>9</v>
      </c>
    </row>
    <row r="1565" spans="1:8" ht="15" customHeight="1">
      <c r="A1565" s="5">
        <v>1563</v>
      </c>
      <c r="B1565" s="6" t="str">
        <f>"曾小凤"</f>
        <v>曾小凤</v>
      </c>
      <c r="C1565" s="6" t="str">
        <f t="shared" si="815"/>
        <v>女</v>
      </c>
      <c r="D1565" s="6" t="str">
        <f>"1995-10-05"</f>
        <v>1995-10-05</v>
      </c>
      <c r="E1565" s="6" t="str">
        <f aca="true" t="shared" si="816" ref="E1565:E1571">"本科"</f>
        <v>本科</v>
      </c>
      <c r="F1565" s="6" t="str">
        <f>"工学学士"</f>
        <v>工学学士</v>
      </c>
      <c r="G1565" s="6" t="str">
        <f>"城乡规划"</f>
        <v>城乡规划</v>
      </c>
      <c r="H1565" s="7" t="s">
        <v>9</v>
      </c>
    </row>
    <row r="1566" spans="1:8" ht="15" customHeight="1">
      <c r="A1566" s="5">
        <v>1564</v>
      </c>
      <c r="B1566" s="6" t="str">
        <f>"李小冰"</f>
        <v>李小冰</v>
      </c>
      <c r="C1566" s="6" t="str">
        <f t="shared" si="815"/>
        <v>女</v>
      </c>
      <c r="D1566" s="6" t="str">
        <f>"1995-08-21"</f>
        <v>1995-08-21</v>
      </c>
      <c r="E1566" s="6" t="str">
        <f>"大学本科"</f>
        <v>大学本科</v>
      </c>
      <c r="F1566" s="6" t="str">
        <f>"经济学学士"</f>
        <v>经济学学士</v>
      </c>
      <c r="G1566" s="6" t="str">
        <f>"经济学专业"</f>
        <v>经济学专业</v>
      </c>
      <c r="H1566" s="7" t="s">
        <v>9</v>
      </c>
    </row>
    <row r="1567" spans="1:8" ht="15" customHeight="1">
      <c r="A1567" s="5">
        <v>1565</v>
      </c>
      <c r="B1567" s="6" t="str">
        <f>"张慧丽"</f>
        <v>张慧丽</v>
      </c>
      <c r="C1567" s="6" t="str">
        <f t="shared" si="815"/>
        <v>女</v>
      </c>
      <c r="D1567" s="6" t="str">
        <f>"1997-08-28"</f>
        <v>1997-08-28</v>
      </c>
      <c r="E1567" s="6" t="str">
        <f>"研究生"</f>
        <v>研究生</v>
      </c>
      <c r="F1567" s="6" t="str">
        <f>"农学硕士"</f>
        <v>农学硕士</v>
      </c>
      <c r="G1567" s="6" t="str">
        <f>"农艺与种业"</f>
        <v>农艺与种业</v>
      </c>
      <c r="H1567" s="7" t="s">
        <v>9</v>
      </c>
    </row>
    <row r="1568" spans="1:8" ht="15" customHeight="1">
      <c r="A1568" s="5">
        <v>1566</v>
      </c>
      <c r="B1568" s="6" t="str">
        <f>"吴勤敏"</f>
        <v>吴勤敏</v>
      </c>
      <c r="C1568" s="6" t="str">
        <f aca="true" t="shared" si="817" ref="C1568:C1571">"男"</f>
        <v>男</v>
      </c>
      <c r="D1568" s="6" t="str">
        <f>"1993-01-13"</f>
        <v>1993-01-13</v>
      </c>
      <c r="E1568" s="6" t="str">
        <f t="shared" si="816"/>
        <v>本科</v>
      </c>
      <c r="F1568" s="6" t="str">
        <f>"学士"</f>
        <v>学士</v>
      </c>
      <c r="G1568" s="6" t="str">
        <f>"环境工程"</f>
        <v>环境工程</v>
      </c>
      <c r="H1568" s="7" t="s">
        <v>9</v>
      </c>
    </row>
    <row r="1569" spans="1:8" ht="15" customHeight="1">
      <c r="A1569" s="5">
        <v>1567</v>
      </c>
      <c r="B1569" s="6" t="str">
        <f>"张冰"</f>
        <v>张冰</v>
      </c>
      <c r="C1569" s="6" t="str">
        <f aca="true" t="shared" si="818" ref="C1569:C1574">"女"</f>
        <v>女</v>
      </c>
      <c r="D1569" s="6" t="str">
        <f>"1991-11-16"</f>
        <v>1991-11-16</v>
      </c>
      <c r="E1569" s="6" t="str">
        <f>"大学本科"</f>
        <v>大学本科</v>
      </c>
      <c r="F1569" s="6" t="str">
        <f>"管理学学士学位"</f>
        <v>管理学学士学位</v>
      </c>
      <c r="G1569" s="6" t="str">
        <f>"信息管理与信息系统"</f>
        <v>信息管理与信息系统</v>
      </c>
      <c r="H1569" s="7" t="s">
        <v>9</v>
      </c>
    </row>
    <row r="1570" spans="1:8" ht="15" customHeight="1">
      <c r="A1570" s="5">
        <v>1568</v>
      </c>
      <c r="B1570" s="6" t="str">
        <f>"李通"</f>
        <v>李通</v>
      </c>
      <c r="C1570" s="6" t="str">
        <f t="shared" si="817"/>
        <v>男</v>
      </c>
      <c r="D1570" s="6" t="str">
        <f>"1998-07-20"</f>
        <v>1998-07-20</v>
      </c>
      <c r="E1570" s="6" t="str">
        <f t="shared" si="816"/>
        <v>本科</v>
      </c>
      <c r="F1570" s="6" t="str">
        <f>"工学学士"</f>
        <v>工学学士</v>
      </c>
      <c r="G1570" s="6" t="str">
        <f>"土木工程"</f>
        <v>土木工程</v>
      </c>
      <c r="H1570" s="7" t="s">
        <v>9</v>
      </c>
    </row>
    <row r="1571" spans="1:8" ht="15" customHeight="1">
      <c r="A1571" s="5">
        <v>1569</v>
      </c>
      <c r="B1571" s="6" t="str">
        <f>"卓泽海"</f>
        <v>卓泽海</v>
      </c>
      <c r="C1571" s="6" t="str">
        <f t="shared" si="817"/>
        <v>男</v>
      </c>
      <c r="D1571" s="6" t="str">
        <f>"1997-05-24"</f>
        <v>1997-05-24</v>
      </c>
      <c r="E1571" s="6" t="str">
        <f t="shared" si="816"/>
        <v>本科</v>
      </c>
      <c r="F1571" s="6" t="str">
        <f aca="true" t="shared" si="819" ref="F1571:F1576">"管理学学士"</f>
        <v>管理学学士</v>
      </c>
      <c r="G1571" s="6" t="str">
        <f>"会计学"</f>
        <v>会计学</v>
      </c>
      <c r="H1571" s="7" t="s">
        <v>9</v>
      </c>
    </row>
    <row r="1572" spans="1:8" ht="15" customHeight="1">
      <c r="A1572" s="5">
        <v>1570</v>
      </c>
      <c r="B1572" s="6" t="str">
        <f>"陈焕丽"</f>
        <v>陈焕丽</v>
      </c>
      <c r="C1572" s="6" t="str">
        <f t="shared" si="818"/>
        <v>女</v>
      </c>
      <c r="D1572" s="6" t="str">
        <f>"1998-06-24"</f>
        <v>1998-06-24</v>
      </c>
      <c r="E1572" s="6" t="str">
        <f>"大学本科学历"</f>
        <v>大学本科学历</v>
      </c>
      <c r="F1572" s="6" t="str">
        <f t="shared" si="819"/>
        <v>管理学学士</v>
      </c>
      <c r="G1572" s="6" t="str">
        <f>"信息管理与信息系统"</f>
        <v>信息管理与信息系统</v>
      </c>
      <c r="H1572" s="7" t="s">
        <v>9</v>
      </c>
    </row>
    <row r="1573" spans="1:8" ht="15" customHeight="1">
      <c r="A1573" s="5">
        <v>1571</v>
      </c>
      <c r="B1573" s="6" t="str">
        <f>"罗燕华"</f>
        <v>罗燕华</v>
      </c>
      <c r="C1573" s="6" t="str">
        <f t="shared" si="818"/>
        <v>女</v>
      </c>
      <c r="D1573" s="6" t="str">
        <f>"1991-11-24"</f>
        <v>1991-11-24</v>
      </c>
      <c r="E1573" s="6" t="str">
        <f aca="true" t="shared" si="820" ref="E1573:E1581">"本科"</f>
        <v>本科</v>
      </c>
      <c r="F1573" s="6" t="str">
        <f>"经济学学士"</f>
        <v>经济学学士</v>
      </c>
      <c r="G1573" s="6" t="str">
        <f>"财务会计教育"</f>
        <v>财务会计教育</v>
      </c>
      <c r="H1573" s="7" t="s">
        <v>9</v>
      </c>
    </row>
    <row r="1574" spans="1:8" ht="15" customHeight="1">
      <c r="A1574" s="5">
        <v>1572</v>
      </c>
      <c r="B1574" s="6" t="str">
        <f>"柳小英"</f>
        <v>柳小英</v>
      </c>
      <c r="C1574" s="6" t="str">
        <f t="shared" si="818"/>
        <v>女</v>
      </c>
      <c r="D1574" s="6" t="str">
        <f>"1988-07-13"</f>
        <v>1988-07-13</v>
      </c>
      <c r="E1574" s="6" t="str">
        <f t="shared" si="820"/>
        <v>本科</v>
      </c>
      <c r="F1574" s="6" t="str">
        <f>"经济学学士"</f>
        <v>经济学学士</v>
      </c>
      <c r="G1574" s="6" t="str">
        <f>"电子商务"</f>
        <v>电子商务</v>
      </c>
      <c r="H1574" s="7" t="s">
        <v>9</v>
      </c>
    </row>
    <row r="1575" spans="1:8" ht="15" customHeight="1">
      <c r="A1575" s="5">
        <v>1573</v>
      </c>
      <c r="B1575" s="6" t="str">
        <f>"廖会腾"</f>
        <v>廖会腾</v>
      </c>
      <c r="C1575" s="6" t="str">
        <f aca="true" t="shared" si="821" ref="C1575:C1579">"男"</f>
        <v>男</v>
      </c>
      <c r="D1575" s="6" t="str">
        <f>"1991-08-19"</f>
        <v>1991-08-19</v>
      </c>
      <c r="E1575" s="6" t="str">
        <f>"大学本科"</f>
        <v>大学本科</v>
      </c>
      <c r="F1575" s="6" t="str">
        <f>"工学学士"</f>
        <v>工学学士</v>
      </c>
      <c r="G1575" s="6" t="str">
        <f>"土木工程（道路与桥梁）"</f>
        <v>土木工程（道路与桥梁）</v>
      </c>
      <c r="H1575" s="7" t="s">
        <v>9</v>
      </c>
    </row>
    <row r="1576" spans="1:8" ht="15" customHeight="1">
      <c r="A1576" s="5">
        <v>1574</v>
      </c>
      <c r="B1576" s="6" t="str">
        <f>"王捶生"</f>
        <v>王捶生</v>
      </c>
      <c r="C1576" s="6" t="str">
        <f t="shared" si="821"/>
        <v>男</v>
      </c>
      <c r="D1576" s="6" t="str">
        <f>"1996-01-31"</f>
        <v>1996-01-31</v>
      </c>
      <c r="E1576" s="6" t="str">
        <f t="shared" si="820"/>
        <v>本科</v>
      </c>
      <c r="F1576" s="6" t="str">
        <f t="shared" si="819"/>
        <v>管理学学士</v>
      </c>
      <c r="G1576" s="6" t="str">
        <f aca="true" t="shared" si="822" ref="G1576:G1578">"财务管理"</f>
        <v>财务管理</v>
      </c>
      <c r="H1576" s="7" t="s">
        <v>9</v>
      </c>
    </row>
    <row r="1577" spans="1:8" ht="15" customHeight="1">
      <c r="A1577" s="5">
        <v>1575</v>
      </c>
      <c r="B1577" s="6" t="str">
        <f>"周洁"</f>
        <v>周洁</v>
      </c>
      <c r="C1577" s="6" t="str">
        <f aca="true" t="shared" si="823" ref="C1577:C1580">"女"</f>
        <v>女</v>
      </c>
      <c r="D1577" s="6" t="str">
        <f>"1995-03-04"</f>
        <v>1995-03-04</v>
      </c>
      <c r="E1577" s="6" t="str">
        <f t="shared" si="820"/>
        <v>本科</v>
      </c>
      <c r="F1577" s="6" t="str">
        <f>"学士"</f>
        <v>学士</v>
      </c>
      <c r="G1577" s="6" t="str">
        <f t="shared" si="822"/>
        <v>财务管理</v>
      </c>
      <c r="H1577" s="7" t="s">
        <v>9</v>
      </c>
    </row>
    <row r="1578" spans="1:8" ht="15" customHeight="1">
      <c r="A1578" s="5">
        <v>1576</v>
      </c>
      <c r="B1578" s="6" t="str">
        <f>"陈贤悦"</f>
        <v>陈贤悦</v>
      </c>
      <c r="C1578" s="6" t="str">
        <f t="shared" si="823"/>
        <v>女</v>
      </c>
      <c r="D1578" s="6" t="str">
        <f>"1996-04-19"</f>
        <v>1996-04-19</v>
      </c>
      <c r="E1578" s="6" t="str">
        <f t="shared" si="820"/>
        <v>本科</v>
      </c>
      <c r="F1578" s="6" t="str">
        <f aca="true" t="shared" si="824" ref="F1578:F1583">"管理学学士"</f>
        <v>管理学学士</v>
      </c>
      <c r="G1578" s="6" t="str">
        <f t="shared" si="822"/>
        <v>财务管理</v>
      </c>
      <c r="H1578" s="7" t="s">
        <v>9</v>
      </c>
    </row>
    <row r="1579" spans="1:8" ht="15" customHeight="1">
      <c r="A1579" s="5">
        <v>1577</v>
      </c>
      <c r="B1579" s="6" t="str">
        <f>"张泽霖"</f>
        <v>张泽霖</v>
      </c>
      <c r="C1579" s="6" t="str">
        <f t="shared" si="821"/>
        <v>男</v>
      </c>
      <c r="D1579" s="6" t="str">
        <f>"1995-03-31"</f>
        <v>1995-03-31</v>
      </c>
      <c r="E1579" s="6" t="str">
        <f t="shared" si="820"/>
        <v>本科</v>
      </c>
      <c r="F1579" s="6" t="str">
        <f>"工学学士"</f>
        <v>工学学士</v>
      </c>
      <c r="G1579" s="6" t="str">
        <f>"土木工程"</f>
        <v>土木工程</v>
      </c>
      <c r="H1579" s="7" t="s">
        <v>9</v>
      </c>
    </row>
    <row r="1580" spans="1:8" ht="15" customHeight="1">
      <c r="A1580" s="5">
        <v>1578</v>
      </c>
      <c r="B1580" s="6" t="str">
        <f>"许恋梅"</f>
        <v>许恋梅</v>
      </c>
      <c r="C1580" s="6" t="str">
        <f t="shared" si="823"/>
        <v>女</v>
      </c>
      <c r="D1580" s="6" t="str">
        <f>"1995-04-09"</f>
        <v>1995-04-09</v>
      </c>
      <c r="E1580" s="6" t="str">
        <f t="shared" si="820"/>
        <v>本科</v>
      </c>
      <c r="F1580" s="6" t="str">
        <f t="shared" si="824"/>
        <v>管理学学士</v>
      </c>
      <c r="G1580" s="6" t="str">
        <f>"信息管理与信息系统"</f>
        <v>信息管理与信息系统</v>
      </c>
      <c r="H1580" s="7" t="s">
        <v>9</v>
      </c>
    </row>
    <row r="1581" spans="1:8" ht="15" customHeight="1">
      <c r="A1581" s="5">
        <v>1579</v>
      </c>
      <c r="B1581" s="6" t="str">
        <f>"朱家言"</f>
        <v>朱家言</v>
      </c>
      <c r="C1581" s="6" t="str">
        <f aca="true" t="shared" si="825" ref="C1581:C1585">"男"</f>
        <v>男</v>
      </c>
      <c r="D1581" s="6" t="str">
        <f>"1995-09-28"</f>
        <v>1995-09-28</v>
      </c>
      <c r="E1581" s="6" t="str">
        <f t="shared" si="820"/>
        <v>本科</v>
      </c>
      <c r="F1581" s="6" t="str">
        <f t="shared" si="824"/>
        <v>管理学学士</v>
      </c>
      <c r="G1581" s="6" t="str">
        <f>"劳动与社会保障"</f>
        <v>劳动与社会保障</v>
      </c>
      <c r="H1581" s="7" t="s">
        <v>9</v>
      </c>
    </row>
    <row r="1582" spans="1:8" ht="15" customHeight="1">
      <c r="A1582" s="5">
        <v>1580</v>
      </c>
      <c r="B1582" s="6" t="str">
        <f>"张钦智"</f>
        <v>张钦智</v>
      </c>
      <c r="C1582" s="6" t="str">
        <f t="shared" si="825"/>
        <v>男</v>
      </c>
      <c r="D1582" s="6" t="str">
        <f>"1998-04-03"</f>
        <v>1998-04-03</v>
      </c>
      <c r="E1582" s="6" t="str">
        <f>"大学本科"</f>
        <v>大学本科</v>
      </c>
      <c r="F1582" s="6" t="str">
        <f t="shared" si="824"/>
        <v>管理学学士</v>
      </c>
      <c r="G1582" s="6" t="str">
        <f>"工商管理"</f>
        <v>工商管理</v>
      </c>
      <c r="H1582" s="7" t="s">
        <v>9</v>
      </c>
    </row>
    <row r="1583" spans="1:8" ht="15" customHeight="1">
      <c r="A1583" s="5">
        <v>1581</v>
      </c>
      <c r="B1583" s="6" t="str">
        <f>"符小珍"</f>
        <v>符小珍</v>
      </c>
      <c r="C1583" s="6" t="str">
        <f aca="true" t="shared" si="826" ref="C1583:C1586">"女"</f>
        <v>女</v>
      </c>
      <c r="D1583" s="6" t="str">
        <f>"1992-03-05"</f>
        <v>1992-03-05</v>
      </c>
      <c r="E1583" s="6" t="str">
        <f>"大学本科学历"</f>
        <v>大学本科学历</v>
      </c>
      <c r="F1583" s="6" t="str">
        <f t="shared" si="824"/>
        <v>管理学学士</v>
      </c>
      <c r="G1583" s="6" t="str">
        <f>"工商管理"</f>
        <v>工商管理</v>
      </c>
      <c r="H1583" s="7" t="s">
        <v>9</v>
      </c>
    </row>
    <row r="1584" spans="1:8" ht="15" customHeight="1">
      <c r="A1584" s="5">
        <v>1582</v>
      </c>
      <c r="B1584" s="6" t="str">
        <f>"苏紫"</f>
        <v>苏紫</v>
      </c>
      <c r="C1584" s="6" t="str">
        <f t="shared" si="826"/>
        <v>女</v>
      </c>
      <c r="D1584" s="6" t="str">
        <f>"1993-09-30"</f>
        <v>1993-09-30</v>
      </c>
      <c r="E1584" s="6" t="str">
        <f aca="true" t="shared" si="827" ref="E1584:E1591">"本科"</f>
        <v>本科</v>
      </c>
      <c r="F1584" s="6" t="str">
        <f>"学士"</f>
        <v>学士</v>
      </c>
      <c r="G1584" s="6" t="str">
        <f>"国际经济与贸易"</f>
        <v>国际经济与贸易</v>
      </c>
      <c r="H1584" s="7" t="s">
        <v>9</v>
      </c>
    </row>
    <row r="1585" spans="1:8" ht="15" customHeight="1">
      <c r="A1585" s="5">
        <v>1583</v>
      </c>
      <c r="B1585" s="6" t="str">
        <f>"林铭鹏"</f>
        <v>林铭鹏</v>
      </c>
      <c r="C1585" s="6" t="str">
        <f t="shared" si="825"/>
        <v>男</v>
      </c>
      <c r="D1585" s="6" t="str">
        <f>"1994-08-07"</f>
        <v>1994-08-07</v>
      </c>
      <c r="E1585" s="6" t="str">
        <f t="shared" si="827"/>
        <v>本科</v>
      </c>
      <c r="F1585" s="6" t="str">
        <f aca="true" t="shared" si="828" ref="F1585:F1588">"管理学学士"</f>
        <v>管理学学士</v>
      </c>
      <c r="G1585" s="6" t="str">
        <f>"商务策划管理"</f>
        <v>商务策划管理</v>
      </c>
      <c r="H1585" s="7" t="s">
        <v>9</v>
      </c>
    </row>
    <row r="1586" spans="1:8" ht="15" customHeight="1">
      <c r="A1586" s="5">
        <v>1584</v>
      </c>
      <c r="B1586" s="6" t="str">
        <f>"张建霞"</f>
        <v>张建霞</v>
      </c>
      <c r="C1586" s="6" t="str">
        <f t="shared" si="826"/>
        <v>女</v>
      </c>
      <c r="D1586" s="6" t="str">
        <f>"1999-05-13"</f>
        <v>1999-05-13</v>
      </c>
      <c r="E1586" s="6" t="str">
        <f>"大学本科"</f>
        <v>大学本科</v>
      </c>
      <c r="F1586" s="6" t="str">
        <f t="shared" si="828"/>
        <v>管理学学士</v>
      </c>
      <c r="G1586" s="6" t="str">
        <f>"审计学"</f>
        <v>审计学</v>
      </c>
      <c r="H1586" s="7" t="s">
        <v>9</v>
      </c>
    </row>
    <row r="1587" spans="1:8" ht="15" customHeight="1">
      <c r="A1587" s="5">
        <v>1585</v>
      </c>
      <c r="B1587" s="6" t="str">
        <f>"李明传"</f>
        <v>李明传</v>
      </c>
      <c r="C1587" s="6" t="str">
        <f aca="true" t="shared" si="829" ref="C1587:C1590">"男"</f>
        <v>男</v>
      </c>
      <c r="D1587" s="6" t="str">
        <f>"1995-03-01"</f>
        <v>1995-03-01</v>
      </c>
      <c r="E1587" s="6" t="str">
        <f>"研究生"</f>
        <v>研究生</v>
      </c>
      <c r="F1587" s="6" t="str">
        <f>"农业硕士"</f>
        <v>农业硕士</v>
      </c>
      <c r="G1587" s="6" t="str">
        <f>"渔业发展"</f>
        <v>渔业发展</v>
      </c>
      <c r="H1587" s="7" t="s">
        <v>9</v>
      </c>
    </row>
    <row r="1588" spans="1:8" ht="15" customHeight="1">
      <c r="A1588" s="5">
        <v>1586</v>
      </c>
      <c r="B1588" s="6" t="str">
        <f>"杨扬"</f>
        <v>杨扬</v>
      </c>
      <c r="C1588" s="6" t="str">
        <f aca="true" t="shared" si="830" ref="C1588:C1592">"女"</f>
        <v>女</v>
      </c>
      <c r="D1588" s="6" t="str">
        <f>"1991-05-28"</f>
        <v>1991-05-28</v>
      </c>
      <c r="E1588" s="6" t="str">
        <f>"大学本科"</f>
        <v>大学本科</v>
      </c>
      <c r="F1588" s="6" t="str">
        <f t="shared" si="828"/>
        <v>管理学学士</v>
      </c>
      <c r="G1588" s="6" t="str">
        <f>"工商管理"</f>
        <v>工商管理</v>
      </c>
      <c r="H1588" s="7" t="s">
        <v>9</v>
      </c>
    </row>
    <row r="1589" spans="1:8" ht="15" customHeight="1">
      <c r="A1589" s="5">
        <v>1587</v>
      </c>
      <c r="B1589" s="6" t="str">
        <f>"邢福哲"</f>
        <v>邢福哲</v>
      </c>
      <c r="C1589" s="6" t="str">
        <f t="shared" si="829"/>
        <v>男</v>
      </c>
      <c r="D1589" s="6" t="str">
        <f>"1990-12-26"</f>
        <v>1990-12-26</v>
      </c>
      <c r="E1589" s="6" t="str">
        <f t="shared" si="827"/>
        <v>本科</v>
      </c>
      <c r="F1589" s="6" t="str">
        <f>"管理学士"</f>
        <v>管理学士</v>
      </c>
      <c r="G1589" s="6" t="str">
        <f>"工程管理"</f>
        <v>工程管理</v>
      </c>
      <c r="H1589" s="7" t="s">
        <v>9</v>
      </c>
    </row>
    <row r="1590" spans="1:8" ht="15" customHeight="1">
      <c r="A1590" s="5">
        <v>1588</v>
      </c>
      <c r="B1590" s="6" t="str">
        <f>"王泷"</f>
        <v>王泷</v>
      </c>
      <c r="C1590" s="6" t="str">
        <f t="shared" si="829"/>
        <v>男</v>
      </c>
      <c r="D1590" s="6" t="str">
        <f>"1996-10-03"</f>
        <v>1996-10-03</v>
      </c>
      <c r="E1590" s="6" t="str">
        <f t="shared" si="827"/>
        <v>本科</v>
      </c>
      <c r="F1590" s="6" t="str">
        <f>"文学学士"</f>
        <v>文学学士</v>
      </c>
      <c r="G1590" s="6" t="str">
        <f>"秘书学"</f>
        <v>秘书学</v>
      </c>
      <c r="H1590" s="7" t="s">
        <v>9</v>
      </c>
    </row>
    <row r="1591" spans="1:8" ht="15" customHeight="1">
      <c r="A1591" s="5">
        <v>1589</v>
      </c>
      <c r="B1591" s="6" t="str">
        <f>"张薇"</f>
        <v>张薇</v>
      </c>
      <c r="C1591" s="6" t="str">
        <f t="shared" si="830"/>
        <v>女</v>
      </c>
      <c r="D1591" s="6" t="str">
        <f>"1997-03-20"</f>
        <v>1997-03-20</v>
      </c>
      <c r="E1591" s="6" t="str">
        <f t="shared" si="827"/>
        <v>本科</v>
      </c>
      <c r="F1591" s="6" t="str">
        <f>"管理学学士"</f>
        <v>管理学学士</v>
      </c>
      <c r="G1591" s="6" t="str">
        <f>"酒店管理"</f>
        <v>酒店管理</v>
      </c>
      <c r="H1591" s="7" t="s">
        <v>9</v>
      </c>
    </row>
    <row r="1592" spans="1:8" ht="15" customHeight="1">
      <c r="A1592" s="5">
        <v>1590</v>
      </c>
      <c r="B1592" s="6" t="str">
        <f>"刘颖"</f>
        <v>刘颖</v>
      </c>
      <c r="C1592" s="6" t="str">
        <f t="shared" si="830"/>
        <v>女</v>
      </c>
      <c r="D1592" s="6" t="str">
        <f>"1999-12-04"</f>
        <v>1999-12-04</v>
      </c>
      <c r="E1592" s="6" t="str">
        <f>"大学本科"</f>
        <v>大学本科</v>
      </c>
      <c r="F1592" s="6" t="str">
        <f>"管理学学士"</f>
        <v>管理学学士</v>
      </c>
      <c r="G1592" s="6" t="str">
        <f>"行政管理"</f>
        <v>行政管理</v>
      </c>
      <c r="H1592" s="7" t="s">
        <v>9</v>
      </c>
    </row>
    <row r="1593" spans="1:8" ht="15" customHeight="1">
      <c r="A1593" s="5">
        <v>1591</v>
      </c>
      <c r="B1593" s="6" t="str">
        <f>"吴启晁"</f>
        <v>吴启晁</v>
      </c>
      <c r="C1593" s="6" t="str">
        <f aca="true" t="shared" si="831" ref="C1593:C1598">"男"</f>
        <v>男</v>
      </c>
      <c r="D1593" s="6" t="str">
        <f>"1993-06-06"</f>
        <v>1993-06-06</v>
      </c>
      <c r="E1593" s="6" t="str">
        <f aca="true" t="shared" si="832" ref="E1593:E1595">"本科"</f>
        <v>本科</v>
      </c>
      <c r="F1593" s="6" t="str">
        <f>"学士"</f>
        <v>学士</v>
      </c>
      <c r="G1593" s="6" t="str">
        <f>"环境科学"</f>
        <v>环境科学</v>
      </c>
      <c r="H1593" s="7" t="s">
        <v>9</v>
      </c>
    </row>
    <row r="1594" spans="1:8" ht="15" customHeight="1">
      <c r="A1594" s="5">
        <v>1592</v>
      </c>
      <c r="B1594" s="6" t="str">
        <f>"黎盈"</f>
        <v>黎盈</v>
      </c>
      <c r="C1594" s="6" t="str">
        <f aca="true" t="shared" si="833" ref="C1594:C1600">"女"</f>
        <v>女</v>
      </c>
      <c r="D1594" s="6" t="str">
        <f>"2000-02-05"</f>
        <v>2000-02-05</v>
      </c>
      <c r="E1594" s="6" t="str">
        <f t="shared" si="832"/>
        <v>本科</v>
      </c>
      <c r="F1594" s="6" t="str">
        <f aca="true" t="shared" si="834" ref="F1594:F1597">"经济学学士"</f>
        <v>经济学学士</v>
      </c>
      <c r="G1594" s="6" t="str">
        <f>"经济统计学"</f>
        <v>经济统计学</v>
      </c>
      <c r="H1594" s="7" t="s">
        <v>9</v>
      </c>
    </row>
    <row r="1595" spans="1:8" ht="15" customHeight="1">
      <c r="A1595" s="5">
        <v>1593</v>
      </c>
      <c r="B1595" s="6" t="str">
        <f>"符玉昌"</f>
        <v>符玉昌</v>
      </c>
      <c r="C1595" s="6" t="str">
        <f t="shared" si="831"/>
        <v>男</v>
      </c>
      <c r="D1595" s="6" t="str">
        <f>"1997-03-08"</f>
        <v>1997-03-08</v>
      </c>
      <c r="E1595" s="6" t="str">
        <f t="shared" si="832"/>
        <v>本科</v>
      </c>
      <c r="F1595" s="6" t="str">
        <f>"农学学士"</f>
        <v>农学学士</v>
      </c>
      <c r="G1595" s="6" t="str">
        <f>"园艺(草坪科学与工程方向)"</f>
        <v>园艺(草坪科学与工程方向)</v>
      </c>
      <c r="H1595" s="7" t="s">
        <v>9</v>
      </c>
    </row>
    <row r="1596" spans="1:8" ht="15" customHeight="1">
      <c r="A1596" s="5">
        <v>1594</v>
      </c>
      <c r="B1596" s="6" t="str">
        <f>"罗虹"</f>
        <v>罗虹</v>
      </c>
      <c r="C1596" s="6" t="str">
        <f t="shared" si="833"/>
        <v>女</v>
      </c>
      <c r="D1596" s="6" t="str">
        <f>"1996-02-21"</f>
        <v>1996-02-21</v>
      </c>
      <c r="E1596" s="6" t="str">
        <f>"大学本科"</f>
        <v>大学本科</v>
      </c>
      <c r="F1596" s="6" t="str">
        <f t="shared" si="834"/>
        <v>经济学学士</v>
      </c>
      <c r="G1596" s="6" t="str">
        <f>"税收学"</f>
        <v>税收学</v>
      </c>
      <c r="H1596" s="7" t="s">
        <v>9</v>
      </c>
    </row>
    <row r="1597" spans="1:8" ht="15" customHeight="1">
      <c r="A1597" s="5">
        <v>1595</v>
      </c>
      <c r="B1597" s="6" t="str">
        <f>"罗九天"</f>
        <v>罗九天</v>
      </c>
      <c r="C1597" s="6" t="str">
        <f t="shared" si="831"/>
        <v>男</v>
      </c>
      <c r="D1597" s="6" t="str">
        <f>"1989-11-02"</f>
        <v>1989-11-02</v>
      </c>
      <c r="E1597" s="6" t="str">
        <f aca="true" t="shared" si="835" ref="E1597:E1603">"本科"</f>
        <v>本科</v>
      </c>
      <c r="F1597" s="6" t="str">
        <f t="shared" si="834"/>
        <v>经济学学士</v>
      </c>
      <c r="G1597" s="6" t="str">
        <f>"国际经济与贸易"</f>
        <v>国际经济与贸易</v>
      </c>
      <c r="H1597" s="7" t="s">
        <v>9</v>
      </c>
    </row>
    <row r="1598" spans="1:8" ht="15" customHeight="1">
      <c r="A1598" s="5">
        <v>1596</v>
      </c>
      <c r="B1598" s="6" t="str">
        <f>"韦厚鹏"</f>
        <v>韦厚鹏</v>
      </c>
      <c r="C1598" s="6" t="str">
        <f t="shared" si="831"/>
        <v>男</v>
      </c>
      <c r="D1598" s="6" t="str">
        <f>"1999-06-06"</f>
        <v>1999-06-06</v>
      </c>
      <c r="E1598" s="6" t="str">
        <f t="shared" si="835"/>
        <v>本科</v>
      </c>
      <c r="F1598" s="6" t="str">
        <f>"学士"</f>
        <v>学士</v>
      </c>
      <c r="G1598" s="6" t="str">
        <f>"旅游管理"</f>
        <v>旅游管理</v>
      </c>
      <c r="H1598" s="7" t="s">
        <v>9</v>
      </c>
    </row>
    <row r="1599" spans="1:8" ht="15" customHeight="1">
      <c r="A1599" s="5">
        <v>1597</v>
      </c>
      <c r="B1599" s="6" t="str">
        <f>"张裕曼"</f>
        <v>张裕曼</v>
      </c>
      <c r="C1599" s="6" t="str">
        <f t="shared" si="833"/>
        <v>女</v>
      </c>
      <c r="D1599" s="6" t="str">
        <f>"2001-01-27"</f>
        <v>2001-01-27</v>
      </c>
      <c r="E1599" s="6" t="str">
        <f t="shared" si="835"/>
        <v>本科</v>
      </c>
      <c r="F1599" s="6" t="str">
        <f>"学士学位"</f>
        <v>学士学位</v>
      </c>
      <c r="G1599" s="6" t="str">
        <f>"国际商务"</f>
        <v>国际商务</v>
      </c>
      <c r="H1599" s="7" t="s">
        <v>9</v>
      </c>
    </row>
    <row r="1600" spans="1:8" ht="15" customHeight="1">
      <c r="A1600" s="5">
        <v>1598</v>
      </c>
      <c r="B1600" s="6" t="str">
        <f>"陈丹丹"</f>
        <v>陈丹丹</v>
      </c>
      <c r="C1600" s="6" t="str">
        <f t="shared" si="833"/>
        <v>女</v>
      </c>
      <c r="D1600" s="6" t="str">
        <f>"1995-10-11"</f>
        <v>1995-10-11</v>
      </c>
      <c r="E1600" s="6" t="str">
        <f t="shared" si="835"/>
        <v>本科</v>
      </c>
      <c r="F1600" s="6" t="str">
        <f aca="true" t="shared" si="836" ref="F1600:F1604">"管理学学士"</f>
        <v>管理学学士</v>
      </c>
      <c r="G1600" s="6" t="str">
        <f>"行政管理（文秘方向）"</f>
        <v>行政管理（文秘方向）</v>
      </c>
      <c r="H1600" s="7" t="s">
        <v>9</v>
      </c>
    </row>
    <row r="1601" spans="1:8" ht="15" customHeight="1">
      <c r="A1601" s="5">
        <v>1599</v>
      </c>
      <c r="B1601" s="6" t="str">
        <f>"刘强"</f>
        <v>刘强</v>
      </c>
      <c r="C1601" s="6" t="str">
        <f aca="true" t="shared" si="837" ref="C1601:C1605">"男"</f>
        <v>男</v>
      </c>
      <c r="D1601" s="6" t="str">
        <f>"1994-07-04"</f>
        <v>1994-07-04</v>
      </c>
      <c r="E1601" s="6" t="str">
        <f t="shared" si="835"/>
        <v>本科</v>
      </c>
      <c r="F1601" s="6" t="str">
        <f>"经济学学士"</f>
        <v>经济学学士</v>
      </c>
      <c r="G1601" s="6" t="str">
        <f>"经济学"</f>
        <v>经济学</v>
      </c>
      <c r="H1601" s="7" t="s">
        <v>9</v>
      </c>
    </row>
    <row r="1602" spans="1:8" ht="15" customHeight="1">
      <c r="A1602" s="5">
        <v>1600</v>
      </c>
      <c r="B1602" s="6" t="str">
        <f>"麦正苗"</f>
        <v>麦正苗</v>
      </c>
      <c r="C1602" s="6" t="str">
        <f>"女"</f>
        <v>女</v>
      </c>
      <c r="D1602" s="6" t="str">
        <f>"2001-05-03"</f>
        <v>2001-05-03</v>
      </c>
      <c r="E1602" s="6" t="str">
        <f t="shared" si="835"/>
        <v>本科</v>
      </c>
      <c r="F1602" s="6" t="str">
        <f t="shared" si="836"/>
        <v>管理学学士</v>
      </c>
      <c r="G1602" s="6" t="str">
        <f>"市场营销"</f>
        <v>市场营销</v>
      </c>
      <c r="H1602" s="7" t="s">
        <v>9</v>
      </c>
    </row>
    <row r="1603" spans="1:8" ht="15" customHeight="1">
      <c r="A1603" s="5">
        <v>1601</v>
      </c>
      <c r="B1603" s="6" t="str">
        <f>"王鸿鑫"</f>
        <v>王鸿鑫</v>
      </c>
      <c r="C1603" s="6" t="str">
        <f t="shared" si="837"/>
        <v>男</v>
      </c>
      <c r="D1603" s="6" t="str">
        <f>"1998-01-24"</f>
        <v>1998-01-24</v>
      </c>
      <c r="E1603" s="6" t="str">
        <f t="shared" si="835"/>
        <v>本科</v>
      </c>
      <c r="F1603" s="6" t="str">
        <f>"管理学学士学位"</f>
        <v>管理学学士学位</v>
      </c>
      <c r="G1603" s="6" t="str">
        <f>"财务管理"</f>
        <v>财务管理</v>
      </c>
      <c r="H1603" s="7" t="s">
        <v>9</v>
      </c>
    </row>
    <row r="1604" spans="1:8" ht="15" customHeight="1">
      <c r="A1604" s="5">
        <v>1602</v>
      </c>
      <c r="B1604" s="6" t="str">
        <f>"王浩屹"</f>
        <v>王浩屹</v>
      </c>
      <c r="C1604" s="6" t="str">
        <f t="shared" si="837"/>
        <v>男</v>
      </c>
      <c r="D1604" s="6" t="str">
        <f>"1998-06-04"</f>
        <v>1998-06-04</v>
      </c>
      <c r="E1604" s="6" t="str">
        <f aca="true" t="shared" si="838" ref="E1604:E1609">"大学本科"</f>
        <v>大学本科</v>
      </c>
      <c r="F1604" s="6" t="str">
        <f t="shared" si="836"/>
        <v>管理学学士</v>
      </c>
      <c r="G1604" s="6" t="str">
        <f>"工程管理（土木工程管理）"</f>
        <v>工程管理（土木工程管理）</v>
      </c>
      <c r="H1604" s="7" t="s">
        <v>9</v>
      </c>
    </row>
    <row r="1605" spans="1:8" ht="15" customHeight="1">
      <c r="A1605" s="5">
        <v>1603</v>
      </c>
      <c r="B1605" s="6" t="str">
        <f>"苏致刚"</f>
        <v>苏致刚</v>
      </c>
      <c r="C1605" s="6" t="str">
        <f t="shared" si="837"/>
        <v>男</v>
      </c>
      <c r="D1605" s="6" t="str">
        <f>"1996-09-30"</f>
        <v>1996-09-30</v>
      </c>
      <c r="E1605" s="6" t="str">
        <f t="shared" si="838"/>
        <v>大学本科</v>
      </c>
      <c r="F1605" s="6" t="str">
        <f>"学士"</f>
        <v>学士</v>
      </c>
      <c r="G1605" s="6" t="str">
        <f aca="true" t="shared" si="839" ref="G1605:G1609">"土木工程"</f>
        <v>土木工程</v>
      </c>
      <c r="H1605" s="7" t="s">
        <v>9</v>
      </c>
    </row>
    <row r="1606" spans="1:8" ht="15" customHeight="1">
      <c r="A1606" s="5">
        <v>1604</v>
      </c>
      <c r="B1606" s="6" t="str">
        <f>"杨翠银"</f>
        <v>杨翠银</v>
      </c>
      <c r="C1606" s="6" t="str">
        <f aca="true" t="shared" si="840" ref="C1606:C1611">"女"</f>
        <v>女</v>
      </c>
      <c r="D1606" s="6" t="str">
        <f>"1995-05-08"</f>
        <v>1995-05-08</v>
      </c>
      <c r="E1606" s="6" t="str">
        <f aca="true" t="shared" si="841" ref="E1606:E1610">"本科"</f>
        <v>本科</v>
      </c>
      <c r="F1606" s="6" t="str">
        <f aca="true" t="shared" si="842" ref="F1606:F1610">"工学学士"</f>
        <v>工学学士</v>
      </c>
      <c r="G1606" s="6" t="str">
        <f>"物联网工程"</f>
        <v>物联网工程</v>
      </c>
      <c r="H1606" s="7" t="s">
        <v>9</v>
      </c>
    </row>
    <row r="1607" spans="1:8" ht="15" customHeight="1">
      <c r="A1607" s="5">
        <v>1605</v>
      </c>
      <c r="B1607" s="6" t="str">
        <f>"谢业权"</f>
        <v>谢业权</v>
      </c>
      <c r="C1607" s="6" t="str">
        <f aca="true" t="shared" si="843" ref="C1607:C1609">"男"</f>
        <v>男</v>
      </c>
      <c r="D1607" s="6" t="str">
        <f>"1998-04-14"</f>
        <v>1998-04-14</v>
      </c>
      <c r="E1607" s="6" t="str">
        <f t="shared" si="841"/>
        <v>本科</v>
      </c>
      <c r="F1607" s="6" t="str">
        <f aca="true" t="shared" si="844" ref="F1607:F1612">"管理学学士"</f>
        <v>管理学学士</v>
      </c>
      <c r="G1607" s="6" t="str">
        <f>"工商管理"</f>
        <v>工商管理</v>
      </c>
      <c r="H1607" s="7" t="s">
        <v>9</v>
      </c>
    </row>
    <row r="1608" spans="1:8" ht="15" customHeight="1">
      <c r="A1608" s="5">
        <v>1606</v>
      </c>
      <c r="B1608" s="6" t="str">
        <f>"罗祖威"</f>
        <v>罗祖威</v>
      </c>
      <c r="C1608" s="6" t="str">
        <f t="shared" si="843"/>
        <v>男</v>
      </c>
      <c r="D1608" s="6" t="str">
        <f>"2000-01-28"</f>
        <v>2000-01-28</v>
      </c>
      <c r="E1608" s="6" t="str">
        <f t="shared" si="838"/>
        <v>大学本科</v>
      </c>
      <c r="F1608" s="6" t="str">
        <f t="shared" si="842"/>
        <v>工学学士</v>
      </c>
      <c r="G1608" s="6" t="str">
        <f t="shared" si="839"/>
        <v>土木工程</v>
      </c>
      <c r="H1608" s="7" t="s">
        <v>9</v>
      </c>
    </row>
    <row r="1609" spans="1:8" ht="15" customHeight="1">
      <c r="A1609" s="5">
        <v>1607</v>
      </c>
      <c r="B1609" s="6" t="str">
        <f>"符应麟"</f>
        <v>符应麟</v>
      </c>
      <c r="C1609" s="6" t="str">
        <f t="shared" si="843"/>
        <v>男</v>
      </c>
      <c r="D1609" s="6" t="str">
        <f>"1997-08-19"</f>
        <v>1997-08-19</v>
      </c>
      <c r="E1609" s="6" t="str">
        <f t="shared" si="838"/>
        <v>大学本科</v>
      </c>
      <c r="F1609" s="6" t="str">
        <f t="shared" si="842"/>
        <v>工学学士</v>
      </c>
      <c r="G1609" s="6" t="str">
        <f t="shared" si="839"/>
        <v>土木工程</v>
      </c>
      <c r="H1609" s="7" t="s">
        <v>9</v>
      </c>
    </row>
    <row r="1610" spans="1:8" ht="15" customHeight="1">
      <c r="A1610" s="5">
        <v>1608</v>
      </c>
      <c r="B1610" s="6" t="str">
        <f>"徐皓澜"</f>
        <v>徐皓澜</v>
      </c>
      <c r="C1610" s="6" t="str">
        <f t="shared" si="840"/>
        <v>女</v>
      </c>
      <c r="D1610" s="6" t="str">
        <f>"2001-01-24"</f>
        <v>2001-01-24</v>
      </c>
      <c r="E1610" s="6" t="str">
        <f t="shared" si="841"/>
        <v>本科</v>
      </c>
      <c r="F1610" s="6" t="str">
        <f t="shared" si="842"/>
        <v>工学学士</v>
      </c>
      <c r="G1610" s="6" t="str">
        <f>"建筑学"</f>
        <v>建筑学</v>
      </c>
      <c r="H1610" s="7" t="s">
        <v>9</v>
      </c>
    </row>
    <row r="1611" spans="1:8" ht="15" customHeight="1">
      <c r="A1611" s="5">
        <v>1609</v>
      </c>
      <c r="B1611" s="6" t="str">
        <f>"许春蝶"</f>
        <v>许春蝶</v>
      </c>
      <c r="C1611" s="6" t="str">
        <f t="shared" si="840"/>
        <v>女</v>
      </c>
      <c r="D1611" s="6" t="str">
        <f>"1995-01-30"</f>
        <v>1995-01-30</v>
      </c>
      <c r="E1611" s="6" t="str">
        <f>"大学本科"</f>
        <v>大学本科</v>
      </c>
      <c r="F1611" s="6" t="str">
        <f t="shared" si="844"/>
        <v>管理学学士</v>
      </c>
      <c r="G1611" s="6" t="str">
        <f>"旅游管理"</f>
        <v>旅游管理</v>
      </c>
      <c r="H1611" s="7" t="s">
        <v>9</v>
      </c>
    </row>
    <row r="1612" spans="1:8" ht="15" customHeight="1">
      <c r="A1612" s="5">
        <v>1610</v>
      </c>
      <c r="B1612" s="6" t="str">
        <f>"周宇"</f>
        <v>周宇</v>
      </c>
      <c r="C1612" s="6" t="str">
        <f aca="true" t="shared" si="845" ref="C1612:C1616">"男"</f>
        <v>男</v>
      </c>
      <c r="D1612" s="6" t="str">
        <f>"1992-10-08"</f>
        <v>1992-10-08</v>
      </c>
      <c r="E1612" s="6" t="str">
        <f>"大学本科"</f>
        <v>大学本科</v>
      </c>
      <c r="F1612" s="6" t="str">
        <f t="shared" si="844"/>
        <v>管理学学士</v>
      </c>
      <c r="G1612" s="6" t="str">
        <f>"工业工程"</f>
        <v>工业工程</v>
      </c>
      <c r="H1612" s="7" t="s">
        <v>9</v>
      </c>
    </row>
    <row r="1613" spans="1:8" ht="15" customHeight="1">
      <c r="A1613" s="5">
        <v>1611</v>
      </c>
      <c r="B1613" s="6" t="str">
        <f>"张耿前"</f>
        <v>张耿前</v>
      </c>
      <c r="C1613" s="6" t="str">
        <f t="shared" si="845"/>
        <v>男</v>
      </c>
      <c r="D1613" s="6" t="str">
        <f>"1992-09-12"</f>
        <v>1992-09-12</v>
      </c>
      <c r="E1613" s="6" t="str">
        <f>"全日制本科"</f>
        <v>全日制本科</v>
      </c>
      <c r="F1613" s="6" t="str">
        <f>"工学学士"</f>
        <v>工学学士</v>
      </c>
      <c r="G1613" s="6" t="str">
        <f>"土木工程"</f>
        <v>土木工程</v>
      </c>
      <c r="H1613" s="7" t="s">
        <v>9</v>
      </c>
    </row>
    <row r="1614" spans="1:8" ht="15" customHeight="1">
      <c r="A1614" s="5">
        <v>1612</v>
      </c>
      <c r="B1614" s="6" t="str">
        <f>"吴丽娇"</f>
        <v>吴丽娇</v>
      </c>
      <c r="C1614" s="6" t="str">
        <f aca="true" t="shared" si="846" ref="C1614:C1618">"女"</f>
        <v>女</v>
      </c>
      <c r="D1614" s="6" t="str">
        <f>"1998-12-14"</f>
        <v>1998-12-14</v>
      </c>
      <c r="E1614" s="6" t="str">
        <f aca="true" t="shared" si="847" ref="E1614:E1620">"本科"</f>
        <v>本科</v>
      </c>
      <c r="F1614" s="6" t="str">
        <f>"管理学学士"</f>
        <v>管理学学士</v>
      </c>
      <c r="G1614" s="6" t="str">
        <f>"信息管理与信息系统"</f>
        <v>信息管理与信息系统</v>
      </c>
      <c r="H1614" s="7" t="s">
        <v>9</v>
      </c>
    </row>
    <row r="1615" spans="1:8" ht="15" customHeight="1">
      <c r="A1615" s="5">
        <v>1613</v>
      </c>
      <c r="B1615" s="6" t="str">
        <f>"何俏"</f>
        <v>何俏</v>
      </c>
      <c r="C1615" s="6" t="str">
        <f t="shared" si="846"/>
        <v>女</v>
      </c>
      <c r="D1615" s="6" t="str">
        <f>"1990-08-12"</f>
        <v>1990-08-12</v>
      </c>
      <c r="E1615" s="6" t="str">
        <f t="shared" si="847"/>
        <v>本科</v>
      </c>
      <c r="F1615" s="6" t="str">
        <f>"管理学学士"</f>
        <v>管理学学士</v>
      </c>
      <c r="G1615" s="6" t="str">
        <f>"工程管理"</f>
        <v>工程管理</v>
      </c>
      <c r="H1615" s="7" t="s">
        <v>9</v>
      </c>
    </row>
    <row r="1616" spans="1:8" ht="15" customHeight="1">
      <c r="A1616" s="5">
        <v>1614</v>
      </c>
      <c r="B1616" s="6" t="str">
        <f>"彭轩睿"</f>
        <v>彭轩睿</v>
      </c>
      <c r="C1616" s="6" t="str">
        <f t="shared" si="845"/>
        <v>男</v>
      </c>
      <c r="D1616" s="6" t="str">
        <f>"1999-10-28"</f>
        <v>1999-10-28</v>
      </c>
      <c r="E1616" s="6" t="str">
        <f t="shared" si="847"/>
        <v>本科</v>
      </c>
      <c r="F1616" s="6" t="str">
        <f>"工学学士"</f>
        <v>工学学士</v>
      </c>
      <c r="G1616" s="6" t="str">
        <f>"土木工程"</f>
        <v>土木工程</v>
      </c>
      <c r="H1616" s="7" t="s">
        <v>9</v>
      </c>
    </row>
    <row r="1617" spans="1:8" ht="15" customHeight="1">
      <c r="A1617" s="5">
        <v>1615</v>
      </c>
      <c r="B1617" s="6" t="str">
        <f>"林燕子"</f>
        <v>林燕子</v>
      </c>
      <c r="C1617" s="6" t="str">
        <f t="shared" si="846"/>
        <v>女</v>
      </c>
      <c r="D1617" s="6" t="str">
        <f>"1999-04-18"</f>
        <v>1999-04-18</v>
      </c>
      <c r="E1617" s="6" t="str">
        <f t="shared" si="847"/>
        <v>本科</v>
      </c>
      <c r="F1617" s="6" t="str">
        <f>"经济学学士"</f>
        <v>经济学学士</v>
      </c>
      <c r="G1617" s="6" t="str">
        <f>"保险学"</f>
        <v>保险学</v>
      </c>
      <c r="H1617" s="7" t="s">
        <v>9</v>
      </c>
    </row>
    <row r="1618" spans="1:8" ht="15" customHeight="1">
      <c r="A1618" s="5">
        <v>1616</v>
      </c>
      <c r="B1618" s="6" t="str">
        <f>"陈杨洁"</f>
        <v>陈杨洁</v>
      </c>
      <c r="C1618" s="6" t="str">
        <f t="shared" si="846"/>
        <v>女</v>
      </c>
      <c r="D1618" s="6" t="str">
        <f>"1999-10-21"</f>
        <v>1999-10-21</v>
      </c>
      <c r="E1618" s="6" t="str">
        <f t="shared" si="847"/>
        <v>本科</v>
      </c>
      <c r="F1618" s="6" t="str">
        <f>"学士"</f>
        <v>学士</v>
      </c>
      <c r="G1618" s="6" t="str">
        <f>"会计学"</f>
        <v>会计学</v>
      </c>
      <c r="H1618" s="7" t="s">
        <v>9</v>
      </c>
    </row>
    <row r="1619" spans="1:8" ht="15" customHeight="1">
      <c r="A1619" s="5">
        <v>1617</v>
      </c>
      <c r="B1619" s="6" t="str">
        <f>"王子棋"</f>
        <v>王子棋</v>
      </c>
      <c r="C1619" s="6" t="str">
        <f aca="true" t="shared" si="848" ref="C1619:C1624">"男"</f>
        <v>男</v>
      </c>
      <c r="D1619" s="6" t="str">
        <f>"1988-04-17"</f>
        <v>1988-04-17</v>
      </c>
      <c r="E1619" s="6" t="str">
        <f t="shared" si="847"/>
        <v>本科</v>
      </c>
      <c r="F1619" s="6" t="str">
        <f>"经济学学士"</f>
        <v>经济学学士</v>
      </c>
      <c r="G1619" s="6" t="str">
        <f>"金融学"</f>
        <v>金融学</v>
      </c>
      <c r="H1619" s="7" t="s">
        <v>9</v>
      </c>
    </row>
    <row r="1620" spans="1:8" ht="15" customHeight="1">
      <c r="A1620" s="5">
        <v>1618</v>
      </c>
      <c r="B1620" s="6" t="str">
        <f>"吴姑来"</f>
        <v>吴姑来</v>
      </c>
      <c r="C1620" s="6" t="str">
        <f aca="true" t="shared" si="849" ref="C1620:C1623">"女"</f>
        <v>女</v>
      </c>
      <c r="D1620" s="6" t="str">
        <f>"1997-11-11"</f>
        <v>1997-11-11</v>
      </c>
      <c r="E1620" s="6" t="str">
        <f t="shared" si="847"/>
        <v>本科</v>
      </c>
      <c r="F1620" s="6" t="str">
        <f aca="true" t="shared" si="850" ref="F1620:F1622">"管理学学士"</f>
        <v>管理学学士</v>
      </c>
      <c r="G1620" s="6" t="str">
        <f>"人力资源管理"</f>
        <v>人力资源管理</v>
      </c>
      <c r="H1620" s="7" t="s">
        <v>9</v>
      </c>
    </row>
    <row r="1621" spans="1:8" ht="15" customHeight="1">
      <c r="A1621" s="5">
        <v>1619</v>
      </c>
      <c r="B1621" s="6" t="str">
        <f>"魏巍"</f>
        <v>魏巍</v>
      </c>
      <c r="C1621" s="6" t="str">
        <f t="shared" si="848"/>
        <v>男</v>
      </c>
      <c r="D1621" s="6" t="str">
        <f>"1993-08-09"</f>
        <v>1993-08-09</v>
      </c>
      <c r="E1621" s="6" t="str">
        <f aca="true" t="shared" si="851" ref="E1621:E1624">"大学本科"</f>
        <v>大学本科</v>
      </c>
      <c r="F1621" s="6" t="str">
        <f t="shared" si="850"/>
        <v>管理学学士</v>
      </c>
      <c r="G1621" s="6" t="str">
        <f>"工程管理"</f>
        <v>工程管理</v>
      </c>
      <c r="H1621" s="7" t="s">
        <v>9</v>
      </c>
    </row>
    <row r="1622" spans="1:8" ht="15" customHeight="1">
      <c r="A1622" s="5">
        <v>1620</v>
      </c>
      <c r="B1622" s="6" t="str">
        <f>"郑引兰"</f>
        <v>郑引兰</v>
      </c>
      <c r="C1622" s="6" t="str">
        <f t="shared" si="849"/>
        <v>女</v>
      </c>
      <c r="D1622" s="6" t="str">
        <f>"1998-05-31"</f>
        <v>1998-05-31</v>
      </c>
      <c r="E1622" s="6" t="str">
        <f t="shared" si="851"/>
        <v>大学本科</v>
      </c>
      <c r="F1622" s="6" t="str">
        <f t="shared" si="850"/>
        <v>管理学学士</v>
      </c>
      <c r="G1622" s="6" t="str">
        <f>"行政管理(行政文秘方向）"</f>
        <v>行政管理(行政文秘方向）</v>
      </c>
      <c r="H1622" s="7" t="s">
        <v>9</v>
      </c>
    </row>
    <row r="1623" spans="1:8" ht="15" customHeight="1">
      <c r="A1623" s="5">
        <v>1621</v>
      </c>
      <c r="B1623" s="6" t="str">
        <f>"邓玉婷"</f>
        <v>邓玉婷</v>
      </c>
      <c r="C1623" s="6" t="str">
        <f t="shared" si="849"/>
        <v>女</v>
      </c>
      <c r="D1623" s="6" t="str">
        <f>"2000-12-23"</f>
        <v>2000-12-23</v>
      </c>
      <c r="E1623" s="6" t="str">
        <f>"本科"</f>
        <v>本科</v>
      </c>
      <c r="F1623" s="6" t="str">
        <f>"经济学学士"</f>
        <v>经济学学士</v>
      </c>
      <c r="G1623" s="6" t="str">
        <f>"国际经济与贸易"</f>
        <v>国际经济与贸易</v>
      </c>
      <c r="H1623" s="7" t="s">
        <v>9</v>
      </c>
    </row>
    <row r="1624" spans="1:8" ht="15" customHeight="1">
      <c r="A1624" s="5">
        <v>1622</v>
      </c>
      <c r="B1624" s="6" t="str">
        <f>"翁应达"</f>
        <v>翁应达</v>
      </c>
      <c r="C1624" s="6" t="str">
        <f t="shared" si="848"/>
        <v>男</v>
      </c>
      <c r="D1624" s="6" t="str">
        <f>"1996-05-10"</f>
        <v>1996-05-10</v>
      </c>
      <c r="E1624" s="6" t="str">
        <f t="shared" si="851"/>
        <v>大学本科</v>
      </c>
      <c r="F1624" s="6" t="str">
        <f>"经济学学士学位"</f>
        <v>经济学学士学位</v>
      </c>
      <c r="G1624" s="6" t="str">
        <f>"经济学（国际金融方向）"</f>
        <v>经济学（国际金融方向）</v>
      </c>
      <c r="H1624" s="7" t="s">
        <v>9</v>
      </c>
    </row>
    <row r="1625" spans="1:8" ht="15" customHeight="1">
      <c r="A1625" s="5">
        <v>1623</v>
      </c>
      <c r="B1625" s="6" t="str">
        <f>"封雅静"</f>
        <v>封雅静</v>
      </c>
      <c r="C1625" s="6" t="str">
        <f aca="true" t="shared" si="852" ref="C1625:C1631">"女"</f>
        <v>女</v>
      </c>
      <c r="D1625" s="6" t="str">
        <f>"2000-08-01"</f>
        <v>2000-08-01</v>
      </c>
      <c r="E1625" s="6" t="str">
        <f>"全日制大学本科"</f>
        <v>全日制大学本科</v>
      </c>
      <c r="F1625" s="6" t="str">
        <f>"文学学士"</f>
        <v>文学学士</v>
      </c>
      <c r="G1625" s="6" t="str">
        <f>"汉语言文学"</f>
        <v>汉语言文学</v>
      </c>
      <c r="H1625" s="7" t="s">
        <v>9</v>
      </c>
    </row>
    <row r="1626" spans="1:8" ht="15" customHeight="1">
      <c r="A1626" s="5">
        <v>1624</v>
      </c>
      <c r="B1626" s="6" t="str">
        <f>"刘彤彤"</f>
        <v>刘彤彤</v>
      </c>
      <c r="C1626" s="6" t="str">
        <f t="shared" si="852"/>
        <v>女</v>
      </c>
      <c r="D1626" s="6" t="str">
        <f>"2000-01-14"</f>
        <v>2000-01-14</v>
      </c>
      <c r="E1626" s="6" t="str">
        <f aca="true" t="shared" si="853" ref="E1626:E1631">"大学本科"</f>
        <v>大学本科</v>
      </c>
      <c r="F1626" s="6" t="str">
        <f>"金融学学士"</f>
        <v>金融学学士</v>
      </c>
      <c r="G1626" s="6" t="str">
        <f>"金融学"</f>
        <v>金融学</v>
      </c>
      <c r="H1626" s="7" t="s">
        <v>9</v>
      </c>
    </row>
    <row r="1627" spans="1:8" ht="15" customHeight="1">
      <c r="A1627" s="5">
        <v>1625</v>
      </c>
      <c r="B1627" s="6" t="str">
        <f>"张山霖"</f>
        <v>张山霖</v>
      </c>
      <c r="C1627" s="6" t="str">
        <f>"男"</f>
        <v>男</v>
      </c>
      <c r="D1627" s="6" t="str">
        <f>"1999-02-13"</f>
        <v>1999-02-13</v>
      </c>
      <c r="E1627" s="6" t="str">
        <f aca="true" t="shared" si="854" ref="E1627:E1630">"本科"</f>
        <v>本科</v>
      </c>
      <c r="F1627" s="6" t="str">
        <f>"管理学学士"</f>
        <v>管理学学士</v>
      </c>
      <c r="G1627" s="6" t="str">
        <f>"会计学"</f>
        <v>会计学</v>
      </c>
      <c r="H1627" s="7" t="s">
        <v>9</v>
      </c>
    </row>
    <row r="1628" spans="1:8" ht="15" customHeight="1">
      <c r="A1628" s="5">
        <v>1626</v>
      </c>
      <c r="B1628" s="6" t="str">
        <f>"林巧"</f>
        <v>林巧</v>
      </c>
      <c r="C1628" s="6" t="str">
        <f t="shared" si="852"/>
        <v>女</v>
      </c>
      <c r="D1628" s="6" t="str">
        <f>"1990-06-03"</f>
        <v>1990-06-03</v>
      </c>
      <c r="E1628" s="6" t="str">
        <f t="shared" si="853"/>
        <v>大学本科</v>
      </c>
      <c r="F1628" s="6" t="str">
        <f>"经济学学士"</f>
        <v>经济学学士</v>
      </c>
      <c r="G1628" s="6" t="str">
        <f>"国际经济与贸易（国际商务与报关）"</f>
        <v>国际经济与贸易（国际商务与报关）</v>
      </c>
      <c r="H1628" s="7" t="s">
        <v>9</v>
      </c>
    </row>
    <row r="1629" spans="1:8" ht="15" customHeight="1">
      <c r="A1629" s="5">
        <v>1627</v>
      </c>
      <c r="B1629" s="6" t="str">
        <f>"郝彤"</f>
        <v>郝彤</v>
      </c>
      <c r="C1629" s="6" t="str">
        <f t="shared" si="852"/>
        <v>女</v>
      </c>
      <c r="D1629" s="6" t="str">
        <f>"1995-11-12"</f>
        <v>1995-11-12</v>
      </c>
      <c r="E1629" s="6" t="str">
        <f t="shared" si="854"/>
        <v>本科</v>
      </c>
      <c r="F1629" s="6" t="str">
        <f>"经济学学士"</f>
        <v>经济学学士</v>
      </c>
      <c r="G1629" s="6" t="str">
        <f>"信用管理"</f>
        <v>信用管理</v>
      </c>
      <c r="H1629" s="7" t="s">
        <v>9</v>
      </c>
    </row>
    <row r="1630" spans="1:8" ht="15" customHeight="1">
      <c r="A1630" s="5">
        <v>1628</v>
      </c>
      <c r="B1630" s="6" t="str">
        <f>"胡宇萍"</f>
        <v>胡宇萍</v>
      </c>
      <c r="C1630" s="6" t="str">
        <f t="shared" si="852"/>
        <v>女</v>
      </c>
      <c r="D1630" s="6" t="str">
        <f>"1992-07-20"</f>
        <v>1992-07-20</v>
      </c>
      <c r="E1630" s="6" t="str">
        <f t="shared" si="854"/>
        <v>本科</v>
      </c>
      <c r="F1630" s="6" t="str">
        <f>"农学学士"</f>
        <v>农学学士</v>
      </c>
      <c r="G1630" s="6" t="str">
        <f>"林学"</f>
        <v>林学</v>
      </c>
      <c r="H1630" s="7" t="s">
        <v>9</v>
      </c>
    </row>
    <row r="1631" spans="1:8" ht="15" customHeight="1">
      <c r="A1631" s="5">
        <v>1629</v>
      </c>
      <c r="B1631" s="6" t="str">
        <f>"李涛群"</f>
        <v>李涛群</v>
      </c>
      <c r="C1631" s="6" t="str">
        <f t="shared" si="852"/>
        <v>女</v>
      </c>
      <c r="D1631" s="6" t="str">
        <f>"1996-08-01"</f>
        <v>1996-08-01</v>
      </c>
      <c r="E1631" s="6" t="str">
        <f t="shared" si="853"/>
        <v>大学本科</v>
      </c>
      <c r="F1631" s="6" t="str">
        <f>"管理学学士"</f>
        <v>管理学学士</v>
      </c>
      <c r="G1631" s="6" t="str">
        <f>"财务管理"</f>
        <v>财务管理</v>
      </c>
      <c r="H1631" s="7" t="s">
        <v>9</v>
      </c>
    </row>
    <row r="1632" spans="1:8" ht="15" customHeight="1">
      <c r="A1632" s="5">
        <v>1630</v>
      </c>
      <c r="B1632" s="6" t="str">
        <f>"吴钟岗"</f>
        <v>吴钟岗</v>
      </c>
      <c r="C1632" s="6" t="str">
        <f aca="true" t="shared" si="855" ref="C1632:C1638">"男"</f>
        <v>男</v>
      </c>
      <c r="D1632" s="6" t="str">
        <f>"1994-11-12"</f>
        <v>1994-11-12</v>
      </c>
      <c r="E1632" s="6" t="str">
        <f aca="true" t="shared" si="856" ref="E1632:E1640">"本科"</f>
        <v>本科</v>
      </c>
      <c r="F1632" s="6" t="str">
        <f aca="true" t="shared" si="857" ref="F1632:F1639">"工学学士"</f>
        <v>工学学士</v>
      </c>
      <c r="G1632" s="6" t="str">
        <f>"物联网工程"</f>
        <v>物联网工程</v>
      </c>
      <c r="H1632" s="7" t="s">
        <v>9</v>
      </c>
    </row>
    <row r="1633" spans="1:8" ht="15" customHeight="1">
      <c r="A1633" s="5">
        <v>1631</v>
      </c>
      <c r="B1633" s="6" t="str">
        <f>"王慧敏"</f>
        <v>王慧敏</v>
      </c>
      <c r="C1633" s="6" t="str">
        <f>"女"</f>
        <v>女</v>
      </c>
      <c r="D1633" s="6" t="str">
        <f>"1999-12-10"</f>
        <v>1999-12-10</v>
      </c>
      <c r="E1633" s="6" t="str">
        <f>"大学本科"</f>
        <v>大学本科</v>
      </c>
      <c r="F1633" s="6" t="str">
        <f>"文学学士"</f>
        <v>文学学士</v>
      </c>
      <c r="G1633" s="6" t="str">
        <f>"汉语国际教育"</f>
        <v>汉语国际教育</v>
      </c>
      <c r="H1633" s="7" t="s">
        <v>9</v>
      </c>
    </row>
    <row r="1634" spans="1:8" ht="15" customHeight="1">
      <c r="A1634" s="5">
        <v>1632</v>
      </c>
      <c r="B1634" s="6" t="str">
        <f>"陈亚"</f>
        <v>陈亚</v>
      </c>
      <c r="C1634" s="6" t="str">
        <f t="shared" si="855"/>
        <v>男</v>
      </c>
      <c r="D1634" s="6" t="str">
        <f>"1991-06-23"</f>
        <v>1991-06-23</v>
      </c>
      <c r="E1634" s="6" t="str">
        <f t="shared" si="856"/>
        <v>本科</v>
      </c>
      <c r="F1634" s="6" t="str">
        <f>"工学"</f>
        <v>工学</v>
      </c>
      <c r="G1634" s="6" t="str">
        <f>"土木工程"</f>
        <v>土木工程</v>
      </c>
      <c r="H1634" s="7" t="s">
        <v>9</v>
      </c>
    </row>
    <row r="1635" spans="1:8" ht="15" customHeight="1">
      <c r="A1635" s="5">
        <v>1633</v>
      </c>
      <c r="B1635" s="6" t="str">
        <f>"苏林真"</f>
        <v>苏林真</v>
      </c>
      <c r="C1635" s="6" t="str">
        <f t="shared" si="855"/>
        <v>男</v>
      </c>
      <c r="D1635" s="6" t="str">
        <f>"1996-01-20"</f>
        <v>1996-01-20</v>
      </c>
      <c r="E1635" s="6" t="str">
        <f>"大学本科"</f>
        <v>大学本科</v>
      </c>
      <c r="F1635" s="6" t="str">
        <f>"管理学学士"</f>
        <v>管理学学士</v>
      </c>
      <c r="G1635" s="6" t="str">
        <f>"人力资源管理"</f>
        <v>人力资源管理</v>
      </c>
      <c r="H1635" s="7" t="s">
        <v>9</v>
      </c>
    </row>
    <row r="1636" spans="1:8" ht="15" customHeight="1">
      <c r="A1636" s="5">
        <v>1634</v>
      </c>
      <c r="B1636" s="6" t="str">
        <f>"孙令防"</f>
        <v>孙令防</v>
      </c>
      <c r="C1636" s="6" t="str">
        <f t="shared" si="855"/>
        <v>男</v>
      </c>
      <c r="D1636" s="6" t="str">
        <f>"1993-06-06"</f>
        <v>1993-06-06</v>
      </c>
      <c r="E1636" s="6" t="str">
        <f t="shared" si="856"/>
        <v>本科</v>
      </c>
      <c r="F1636" s="6" t="str">
        <f t="shared" si="857"/>
        <v>工学学士</v>
      </c>
      <c r="G1636" s="6" t="str">
        <f>"建筑环境与设备工程"</f>
        <v>建筑环境与设备工程</v>
      </c>
      <c r="H1636" s="7" t="s">
        <v>9</v>
      </c>
    </row>
    <row r="1637" spans="1:8" ht="15" customHeight="1">
      <c r="A1637" s="5">
        <v>1635</v>
      </c>
      <c r="B1637" s="6" t="str">
        <f>"麦锦浩"</f>
        <v>麦锦浩</v>
      </c>
      <c r="C1637" s="6" t="str">
        <f t="shared" si="855"/>
        <v>男</v>
      </c>
      <c r="D1637" s="6" t="str">
        <f>"1994-07-12"</f>
        <v>1994-07-12</v>
      </c>
      <c r="E1637" s="6" t="str">
        <f t="shared" si="856"/>
        <v>本科</v>
      </c>
      <c r="F1637" s="6" t="str">
        <f t="shared" si="857"/>
        <v>工学学士</v>
      </c>
      <c r="G1637" s="6" t="str">
        <f>"给排水科学与工程"</f>
        <v>给排水科学与工程</v>
      </c>
      <c r="H1637" s="7" t="s">
        <v>9</v>
      </c>
    </row>
    <row r="1638" spans="1:8" ht="15" customHeight="1">
      <c r="A1638" s="5">
        <v>1636</v>
      </c>
      <c r="B1638" s="6" t="str">
        <f>"孟春兴"</f>
        <v>孟春兴</v>
      </c>
      <c r="C1638" s="6" t="str">
        <f t="shared" si="855"/>
        <v>男</v>
      </c>
      <c r="D1638" s="6" t="str">
        <f>"1997-06-17"</f>
        <v>1997-06-17</v>
      </c>
      <c r="E1638" s="6" t="str">
        <f t="shared" si="856"/>
        <v>本科</v>
      </c>
      <c r="F1638" s="6" t="str">
        <f t="shared" si="857"/>
        <v>工学学士</v>
      </c>
      <c r="G1638" s="6" t="str">
        <f>"土木工程"</f>
        <v>土木工程</v>
      </c>
      <c r="H1638" s="7" t="s">
        <v>9</v>
      </c>
    </row>
    <row r="1639" spans="1:8" ht="15" customHeight="1">
      <c r="A1639" s="5">
        <v>1637</v>
      </c>
      <c r="B1639" s="6" t="str">
        <f>"李明惠"</f>
        <v>李明惠</v>
      </c>
      <c r="C1639" s="6" t="str">
        <f aca="true" t="shared" si="858" ref="C1639:C1645">"女"</f>
        <v>女</v>
      </c>
      <c r="D1639" s="6" t="str">
        <f>"1999-12-19"</f>
        <v>1999-12-19</v>
      </c>
      <c r="E1639" s="6" t="str">
        <f t="shared" si="856"/>
        <v>本科</v>
      </c>
      <c r="F1639" s="6" t="str">
        <f t="shared" si="857"/>
        <v>工学学士</v>
      </c>
      <c r="G1639" s="6" t="str">
        <f>"物流工程"</f>
        <v>物流工程</v>
      </c>
      <c r="H1639" s="7" t="s">
        <v>9</v>
      </c>
    </row>
    <row r="1640" spans="1:8" ht="15" customHeight="1">
      <c r="A1640" s="5">
        <v>1638</v>
      </c>
      <c r="B1640" s="6" t="str">
        <f>"郭亮"</f>
        <v>郭亮</v>
      </c>
      <c r="C1640" s="6" t="str">
        <f t="shared" si="858"/>
        <v>女</v>
      </c>
      <c r="D1640" s="6" t="str">
        <f>"1999-11-05"</f>
        <v>1999-11-05</v>
      </c>
      <c r="E1640" s="6" t="str">
        <f t="shared" si="856"/>
        <v>本科</v>
      </c>
      <c r="F1640" s="6" t="str">
        <f aca="true" t="shared" si="859" ref="F1640:F1644">"管理学学士"</f>
        <v>管理学学士</v>
      </c>
      <c r="G1640" s="6" t="str">
        <f>"人力资源管理"</f>
        <v>人力资源管理</v>
      </c>
      <c r="H1640" s="7" t="s">
        <v>9</v>
      </c>
    </row>
    <row r="1641" spans="1:8" ht="15" customHeight="1">
      <c r="A1641" s="5">
        <v>1639</v>
      </c>
      <c r="B1641" s="6" t="str">
        <f>"黄国轩"</f>
        <v>黄国轩</v>
      </c>
      <c r="C1641" s="6" t="str">
        <f aca="true" t="shared" si="860" ref="C1641:C1647">"男"</f>
        <v>男</v>
      </c>
      <c r="D1641" s="6" t="str">
        <f>"1992-02-08"</f>
        <v>1992-02-08</v>
      </c>
      <c r="E1641" s="6" t="str">
        <f>"大学本科"</f>
        <v>大学本科</v>
      </c>
      <c r="F1641" s="6" t="str">
        <f t="shared" si="859"/>
        <v>管理学学士</v>
      </c>
      <c r="G1641" s="6" t="str">
        <f>"财务管理"</f>
        <v>财务管理</v>
      </c>
      <c r="H1641" s="7" t="s">
        <v>9</v>
      </c>
    </row>
    <row r="1642" spans="1:8" ht="15" customHeight="1">
      <c r="A1642" s="5">
        <v>1640</v>
      </c>
      <c r="B1642" s="6" t="str">
        <f>"陈乔重"</f>
        <v>陈乔重</v>
      </c>
      <c r="C1642" s="6" t="str">
        <f t="shared" si="860"/>
        <v>男</v>
      </c>
      <c r="D1642" s="6" t="str">
        <f>"1993-10-17"</f>
        <v>1993-10-17</v>
      </c>
      <c r="E1642" s="6" t="str">
        <f>"大学本科学历"</f>
        <v>大学本科学历</v>
      </c>
      <c r="F1642" s="6" t="str">
        <f>"工学学士"</f>
        <v>工学学士</v>
      </c>
      <c r="G1642" s="6" t="str">
        <f>"土木工程"</f>
        <v>土木工程</v>
      </c>
      <c r="H1642" s="7" t="s">
        <v>9</v>
      </c>
    </row>
    <row r="1643" spans="1:8" ht="15" customHeight="1">
      <c r="A1643" s="5">
        <v>1641</v>
      </c>
      <c r="B1643" s="6" t="str">
        <f>"邢婉婷"</f>
        <v>邢婉婷</v>
      </c>
      <c r="C1643" s="6" t="str">
        <f t="shared" si="858"/>
        <v>女</v>
      </c>
      <c r="D1643" s="6" t="str">
        <f>"1999-11-17"</f>
        <v>1999-11-17</v>
      </c>
      <c r="E1643" s="6" t="str">
        <f aca="true" t="shared" si="861" ref="E1643:E1647">"本科"</f>
        <v>本科</v>
      </c>
      <c r="F1643" s="6" t="str">
        <f t="shared" si="859"/>
        <v>管理学学士</v>
      </c>
      <c r="G1643" s="6" t="str">
        <f>"旅游管理"</f>
        <v>旅游管理</v>
      </c>
      <c r="H1643" s="7" t="s">
        <v>9</v>
      </c>
    </row>
    <row r="1644" spans="1:8" ht="15" customHeight="1">
      <c r="A1644" s="5">
        <v>1642</v>
      </c>
      <c r="B1644" s="6" t="str">
        <f>"陈虹玉"</f>
        <v>陈虹玉</v>
      </c>
      <c r="C1644" s="6" t="str">
        <f t="shared" si="858"/>
        <v>女</v>
      </c>
      <c r="D1644" s="6" t="str">
        <f>"1998-12-22"</f>
        <v>1998-12-22</v>
      </c>
      <c r="E1644" s="6" t="str">
        <f>"全日制本科"</f>
        <v>全日制本科</v>
      </c>
      <c r="F1644" s="6" t="str">
        <f t="shared" si="859"/>
        <v>管理学学士</v>
      </c>
      <c r="G1644" s="6" t="str">
        <f>"旅游管理"</f>
        <v>旅游管理</v>
      </c>
      <c r="H1644" s="7" t="s">
        <v>9</v>
      </c>
    </row>
    <row r="1645" spans="1:8" ht="15" customHeight="1">
      <c r="A1645" s="5">
        <v>1643</v>
      </c>
      <c r="B1645" s="6" t="str">
        <f>"符方蕊"</f>
        <v>符方蕊</v>
      </c>
      <c r="C1645" s="6" t="str">
        <f t="shared" si="858"/>
        <v>女</v>
      </c>
      <c r="D1645" s="6" t="str">
        <f>"1997-07-10"</f>
        <v>1997-07-10</v>
      </c>
      <c r="E1645" s="6" t="str">
        <f t="shared" si="861"/>
        <v>本科</v>
      </c>
      <c r="F1645" s="6" t="str">
        <f>"理工学士"</f>
        <v>理工学士</v>
      </c>
      <c r="G1645" s="6" t="str">
        <f>"生态学"</f>
        <v>生态学</v>
      </c>
      <c r="H1645" s="7" t="s">
        <v>9</v>
      </c>
    </row>
    <row r="1646" spans="1:8" ht="15" customHeight="1">
      <c r="A1646" s="5">
        <v>1644</v>
      </c>
      <c r="B1646" s="6" t="str">
        <f>"时佳勇"</f>
        <v>时佳勇</v>
      </c>
      <c r="C1646" s="6" t="str">
        <f t="shared" si="860"/>
        <v>男</v>
      </c>
      <c r="D1646" s="6" t="str">
        <f>"1999-11-02"</f>
        <v>1999-11-02</v>
      </c>
      <c r="E1646" s="6" t="str">
        <f t="shared" si="861"/>
        <v>本科</v>
      </c>
      <c r="F1646" s="6" t="str">
        <f>"学士"</f>
        <v>学士</v>
      </c>
      <c r="G1646" s="6" t="str">
        <f>"行政管理"</f>
        <v>行政管理</v>
      </c>
      <c r="H1646" s="7" t="s">
        <v>9</v>
      </c>
    </row>
    <row r="1647" spans="1:8" ht="15" customHeight="1">
      <c r="A1647" s="5">
        <v>1645</v>
      </c>
      <c r="B1647" s="6" t="str">
        <f>"张代政"</f>
        <v>张代政</v>
      </c>
      <c r="C1647" s="6" t="str">
        <f t="shared" si="860"/>
        <v>男</v>
      </c>
      <c r="D1647" s="6" t="str">
        <f>"1995-03-22"</f>
        <v>1995-03-22</v>
      </c>
      <c r="E1647" s="6" t="str">
        <f t="shared" si="861"/>
        <v>本科</v>
      </c>
      <c r="F1647" s="6" t="str">
        <f>"管理学学士"</f>
        <v>管理学学士</v>
      </c>
      <c r="G1647" s="6" t="str">
        <f>"工程管理"</f>
        <v>工程管理</v>
      </c>
      <c r="H1647" s="7" t="s">
        <v>9</v>
      </c>
    </row>
    <row r="1648" spans="1:8" ht="15" customHeight="1">
      <c r="A1648" s="5">
        <v>1646</v>
      </c>
      <c r="B1648" s="6" t="str">
        <f>"黄夏雨"</f>
        <v>黄夏雨</v>
      </c>
      <c r="C1648" s="6" t="str">
        <f aca="true" t="shared" si="862" ref="C1648:C1650">"女"</f>
        <v>女</v>
      </c>
      <c r="D1648" s="6" t="str">
        <f>"1996-10-20"</f>
        <v>1996-10-20</v>
      </c>
      <c r="E1648" s="6" t="str">
        <f aca="true" t="shared" si="863" ref="E1648:E1653">"大学本科"</f>
        <v>大学本科</v>
      </c>
      <c r="F1648" s="6" t="str">
        <f>"学士学位"</f>
        <v>学士学位</v>
      </c>
      <c r="G1648" s="6" t="str">
        <f>"园林专业"</f>
        <v>园林专业</v>
      </c>
      <c r="H1648" s="7" t="s">
        <v>9</v>
      </c>
    </row>
    <row r="1649" spans="1:8" ht="15" customHeight="1">
      <c r="A1649" s="5">
        <v>1647</v>
      </c>
      <c r="B1649" s="6" t="str">
        <f>"周春玉"</f>
        <v>周春玉</v>
      </c>
      <c r="C1649" s="6" t="str">
        <f t="shared" si="862"/>
        <v>女</v>
      </c>
      <c r="D1649" s="6" t="str">
        <f>"1993-01-24"</f>
        <v>1993-01-24</v>
      </c>
      <c r="E1649" s="6" t="str">
        <f aca="true" t="shared" si="864" ref="E1649:E1651">"本科"</f>
        <v>本科</v>
      </c>
      <c r="F1649" s="6" t="str">
        <f>"文学学士"</f>
        <v>文学学士</v>
      </c>
      <c r="G1649" s="6" t="str">
        <f>"汉语言文学"</f>
        <v>汉语言文学</v>
      </c>
      <c r="H1649" s="7" t="s">
        <v>9</v>
      </c>
    </row>
    <row r="1650" spans="1:8" ht="15" customHeight="1">
      <c r="A1650" s="5">
        <v>1648</v>
      </c>
      <c r="B1650" s="6" t="str">
        <f>"黄叶过"</f>
        <v>黄叶过</v>
      </c>
      <c r="C1650" s="6" t="str">
        <f t="shared" si="862"/>
        <v>女</v>
      </c>
      <c r="D1650" s="6" t="str">
        <f>"1999-06-23"</f>
        <v>1999-06-23</v>
      </c>
      <c r="E1650" s="6" t="str">
        <f t="shared" si="864"/>
        <v>本科</v>
      </c>
      <c r="F1650" s="6" t="str">
        <f>"经济学学士"</f>
        <v>经济学学士</v>
      </c>
      <c r="G1650" s="6" t="str">
        <f>"国际经济与贸易"</f>
        <v>国际经济与贸易</v>
      </c>
      <c r="H1650" s="7" t="s">
        <v>9</v>
      </c>
    </row>
    <row r="1651" spans="1:8" ht="15" customHeight="1">
      <c r="A1651" s="5">
        <v>1649</v>
      </c>
      <c r="B1651" s="6" t="str">
        <f>"吴浩东"</f>
        <v>吴浩东</v>
      </c>
      <c r="C1651" s="6" t="str">
        <f aca="true" t="shared" si="865" ref="C1651:C1653">"男"</f>
        <v>男</v>
      </c>
      <c r="D1651" s="6" t="str">
        <f>"1992-03-10"</f>
        <v>1992-03-10</v>
      </c>
      <c r="E1651" s="6" t="str">
        <f t="shared" si="864"/>
        <v>本科</v>
      </c>
      <c r="F1651" s="6" t="str">
        <f>"经济学学士"</f>
        <v>经济学学士</v>
      </c>
      <c r="G1651" s="6" t="str">
        <f>"金融学"</f>
        <v>金融学</v>
      </c>
      <c r="H1651" s="7" t="s">
        <v>9</v>
      </c>
    </row>
    <row r="1652" spans="1:8" ht="15" customHeight="1">
      <c r="A1652" s="5">
        <v>1650</v>
      </c>
      <c r="B1652" s="6" t="str">
        <f>"陈忠松"</f>
        <v>陈忠松</v>
      </c>
      <c r="C1652" s="6" t="str">
        <f t="shared" si="865"/>
        <v>男</v>
      </c>
      <c r="D1652" s="6" t="str">
        <f>"1999-09-27"</f>
        <v>1999-09-27</v>
      </c>
      <c r="E1652" s="6" t="str">
        <f t="shared" si="863"/>
        <v>大学本科</v>
      </c>
      <c r="F1652" s="6" t="str">
        <f aca="true" t="shared" si="866" ref="F1652:F1654">"工学学士"</f>
        <v>工学学士</v>
      </c>
      <c r="G1652" s="6" t="str">
        <f>"土木工程"</f>
        <v>土木工程</v>
      </c>
      <c r="H1652" s="7" t="s">
        <v>9</v>
      </c>
    </row>
    <row r="1653" spans="1:8" ht="15" customHeight="1">
      <c r="A1653" s="5">
        <v>1651</v>
      </c>
      <c r="B1653" s="6" t="str">
        <f>"唐俊业"</f>
        <v>唐俊业</v>
      </c>
      <c r="C1653" s="6" t="str">
        <f t="shared" si="865"/>
        <v>男</v>
      </c>
      <c r="D1653" s="6" t="str">
        <f>"1997-02-15"</f>
        <v>1997-02-15</v>
      </c>
      <c r="E1653" s="6" t="str">
        <f t="shared" si="863"/>
        <v>大学本科</v>
      </c>
      <c r="F1653" s="6" t="str">
        <f t="shared" si="866"/>
        <v>工学学士</v>
      </c>
      <c r="G1653" s="6" t="str">
        <f>"工程管理（土木工程管理）"</f>
        <v>工程管理（土木工程管理）</v>
      </c>
      <c r="H1653" s="7" t="s">
        <v>9</v>
      </c>
    </row>
    <row r="1654" spans="1:8" ht="15" customHeight="1">
      <c r="A1654" s="5">
        <v>1652</v>
      </c>
      <c r="B1654" s="6" t="str">
        <f>"黄琪"</f>
        <v>黄琪</v>
      </c>
      <c r="C1654" s="6" t="str">
        <f aca="true" t="shared" si="867" ref="C1654:C1657">"女"</f>
        <v>女</v>
      </c>
      <c r="D1654" s="6" t="str">
        <f>"1997-03-22"</f>
        <v>1997-03-22</v>
      </c>
      <c r="E1654" s="6" t="str">
        <f>"本科"</f>
        <v>本科</v>
      </c>
      <c r="F1654" s="6" t="str">
        <f t="shared" si="866"/>
        <v>工学学士</v>
      </c>
      <c r="G1654" s="6" t="str">
        <f>"城乡规划"</f>
        <v>城乡规划</v>
      </c>
      <c r="H1654" s="7" t="s">
        <v>9</v>
      </c>
    </row>
    <row r="1655" spans="1:8" ht="15" customHeight="1">
      <c r="A1655" s="5">
        <v>1653</v>
      </c>
      <c r="B1655" s="6" t="str">
        <f>"李川丁"</f>
        <v>李川丁</v>
      </c>
      <c r="C1655" s="6" t="str">
        <f t="shared" si="867"/>
        <v>女</v>
      </c>
      <c r="D1655" s="6" t="str">
        <f>"1999-09-27"</f>
        <v>1999-09-27</v>
      </c>
      <c r="E1655" s="6" t="str">
        <f aca="true" t="shared" si="868" ref="E1655:E1659">"大学本科"</f>
        <v>大学本科</v>
      </c>
      <c r="F1655" s="6" t="str">
        <f aca="true" t="shared" si="869" ref="F1655:F1658">"管理学学士"</f>
        <v>管理学学士</v>
      </c>
      <c r="G1655" s="6" t="str">
        <f aca="true" t="shared" si="870" ref="G1655:G1658">"旅游管理"</f>
        <v>旅游管理</v>
      </c>
      <c r="H1655" s="7" t="s">
        <v>9</v>
      </c>
    </row>
    <row r="1656" spans="1:8" ht="15" customHeight="1">
      <c r="A1656" s="5">
        <v>1654</v>
      </c>
      <c r="B1656" s="6" t="str">
        <f>"陈月花"</f>
        <v>陈月花</v>
      </c>
      <c r="C1656" s="6" t="str">
        <f t="shared" si="867"/>
        <v>女</v>
      </c>
      <c r="D1656" s="6" t="str">
        <f>"1999-06-28"</f>
        <v>1999-06-28</v>
      </c>
      <c r="E1656" s="6" t="str">
        <f>"本科"</f>
        <v>本科</v>
      </c>
      <c r="F1656" s="6" t="str">
        <f>"学士"</f>
        <v>学士</v>
      </c>
      <c r="G1656" s="6" t="str">
        <f t="shared" si="870"/>
        <v>旅游管理</v>
      </c>
      <c r="H1656" s="7" t="s">
        <v>9</v>
      </c>
    </row>
    <row r="1657" spans="1:8" ht="15" customHeight="1">
      <c r="A1657" s="5">
        <v>1655</v>
      </c>
      <c r="B1657" s="6" t="str">
        <f>"王雅"</f>
        <v>王雅</v>
      </c>
      <c r="C1657" s="6" t="str">
        <f t="shared" si="867"/>
        <v>女</v>
      </c>
      <c r="D1657" s="6" t="str">
        <f>"1998-05-11"</f>
        <v>1998-05-11</v>
      </c>
      <c r="E1657" s="6" t="str">
        <f t="shared" si="868"/>
        <v>大学本科</v>
      </c>
      <c r="F1657" s="6" t="str">
        <f t="shared" si="869"/>
        <v>管理学学士</v>
      </c>
      <c r="G1657" s="6" t="str">
        <f>"财务管理"</f>
        <v>财务管理</v>
      </c>
      <c r="H1657" s="7" t="s">
        <v>9</v>
      </c>
    </row>
    <row r="1658" spans="1:8" ht="15" customHeight="1">
      <c r="A1658" s="5">
        <v>1656</v>
      </c>
      <c r="B1658" s="6" t="str">
        <f>"王本鹏"</f>
        <v>王本鹏</v>
      </c>
      <c r="C1658" s="6" t="str">
        <f aca="true" t="shared" si="871" ref="C1658:C1662">"男"</f>
        <v>男</v>
      </c>
      <c r="D1658" s="6" t="str">
        <f>"1994-10-09"</f>
        <v>1994-10-09</v>
      </c>
      <c r="E1658" s="6" t="str">
        <f>"大学本科学历"</f>
        <v>大学本科学历</v>
      </c>
      <c r="F1658" s="6" t="str">
        <f t="shared" si="869"/>
        <v>管理学学士</v>
      </c>
      <c r="G1658" s="6" t="str">
        <f t="shared" si="870"/>
        <v>旅游管理</v>
      </c>
      <c r="H1658" s="7" t="s">
        <v>9</v>
      </c>
    </row>
    <row r="1659" spans="1:8" ht="15" customHeight="1">
      <c r="A1659" s="5">
        <v>1657</v>
      </c>
      <c r="B1659" s="6" t="str">
        <f>"钟毓豪"</f>
        <v>钟毓豪</v>
      </c>
      <c r="C1659" s="6" t="str">
        <f t="shared" si="871"/>
        <v>男</v>
      </c>
      <c r="D1659" s="6" t="str">
        <f>"1992-03-01"</f>
        <v>1992-03-01</v>
      </c>
      <c r="E1659" s="6" t="str">
        <f t="shared" si="868"/>
        <v>大学本科</v>
      </c>
      <c r="F1659" s="6" t="str">
        <f>"农学学士"</f>
        <v>农学学士</v>
      </c>
      <c r="G1659" s="6" t="str">
        <f>"园艺"</f>
        <v>园艺</v>
      </c>
      <c r="H1659" s="7" t="s">
        <v>9</v>
      </c>
    </row>
    <row r="1660" spans="1:8" ht="15" customHeight="1">
      <c r="A1660" s="5">
        <v>1658</v>
      </c>
      <c r="B1660" s="6" t="str">
        <f>"梁"</f>
        <v>梁</v>
      </c>
      <c r="C1660" s="6" t="str">
        <f t="shared" si="871"/>
        <v>男</v>
      </c>
      <c r="D1660" s="6" t="str">
        <f>"1994-12-06"</f>
        <v>1994-12-06</v>
      </c>
      <c r="E1660" s="6" t="str">
        <f>"研究生"</f>
        <v>研究生</v>
      </c>
      <c r="F1660" s="6" t="str">
        <f>"农学硕士"</f>
        <v>农学硕士</v>
      </c>
      <c r="G1660" s="6" t="str">
        <f>"植物保护"</f>
        <v>植物保护</v>
      </c>
      <c r="H1660" s="7" t="s">
        <v>9</v>
      </c>
    </row>
    <row r="1661" spans="1:8" ht="15" customHeight="1">
      <c r="A1661" s="5">
        <v>1659</v>
      </c>
      <c r="B1661" s="6" t="str">
        <f>"王绥柳"</f>
        <v>王绥柳</v>
      </c>
      <c r="C1661" s="6" t="str">
        <f t="shared" si="871"/>
        <v>男</v>
      </c>
      <c r="D1661" s="6" t="str">
        <f>"1999-07-26"</f>
        <v>1999-07-26</v>
      </c>
      <c r="E1661" s="6" t="str">
        <f>"大学本科"</f>
        <v>大学本科</v>
      </c>
      <c r="F1661" s="6" t="str">
        <f>"工学学士"</f>
        <v>工学学士</v>
      </c>
      <c r="G1661" s="6" t="str">
        <f>"给排水科学与工程"</f>
        <v>给排水科学与工程</v>
      </c>
      <c r="H1661" s="7" t="s">
        <v>9</v>
      </c>
    </row>
    <row r="1662" spans="1:8" ht="15" customHeight="1">
      <c r="A1662" s="5">
        <v>1660</v>
      </c>
      <c r="B1662" s="6" t="str">
        <f>"钟文孝"</f>
        <v>钟文孝</v>
      </c>
      <c r="C1662" s="6" t="str">
        <f t="shared" si="871"/>
        <v>男</v>
      </c>
      <c r="D1662" s="6" t="str">
        <f>"2000-03-01"</f>
        <v>2000-03-01</v>
      </c>
      <c r="E1662" s="6" t="str">
        <f aca="true" t="shared" si="872" ref="E1662:E1667">"本科"</f>
        <v>本科</v>
      </c>
      <c r="F1662" s="6" t="str">
        <f>"管理学"</f>
        <v>管理学</v>
      </c>
      <c r="G1662" s="6" t="str">
        <f>"工程管理"</f>
        <v>工程管理</v>
      </c>
      <c r="H1662" s="7" t="s">
        <v>9</v>
      </c>
    </row>
    <row r="1663" spans="1:8" ht="15" customHeight="1">
      <c r="A1663" s="5">
        <v>1661</v>
      </c>
      <c r="B1663" s="6" t="str">
        <f>"符会玉"</f>
        <v>符会玉</v>
      </c>
      <c r="C1663" s="6" t="str">
        <f aca="true" t="shared" si="873" ref="C1663:C1666">"女"</f>
        <v>女</v>
      </c>
      <c r="D1663" s="6" t="str">
        <f>"2000-04-10"</f>
        <v>2000-04-10</v>
      </c>
      <c r="E1663" s="6" t="str">
        <f>"大学本科学历"</f>
        <v>大学本科学历</v>
      </c>
      <c r="F1663" s="6" t="str">
        <f>"工学学士"</f>
        <v>工学学士</v>
      </c>
      <c r="G1663" s="6" t="str">
        <f>"数据科学与大数据技术"</f>
        <v>数据科学与大数据技术</v>
      </c>
      <c r="H1663" s="7" t="s">
        <v>9</v>
      </c>
    </row>
    <row r="1664" spans="1:8" ht="15" customHeight="1">
      <c r="A1664" s="5">
        <v>1662</v>
      </c>
      <c r="B1664" s="6" t="str">
        <f>"张士凯"</f>
        <v>张士凯</v>
      </c>
      <c r="C1664" s="6" t="str">
        <f aca="true" t="shared" si="874" ref="C1664:C1671">"男"</f>
        <v>男</v>
      </c>
      <c r="D1664" s="6" t="str">
        <f>"1999-02-01"</f>
        <v>1999-02-01</v>
      </c>
      <c r="E1664" s="6" t="str">
        <f>"大学本科学历"</f>
        <v>大学本科学历</v>
      </c>
      <c r="F1664" s="6" t="str">
        <f aca="true" t="shared" si="875" ref="F1664:F1669">"管理学学士"</f>
        <v>管理学学士</v>
      </c>
      <c r="G1664" s="6" t="str">
        <f>"农林经济管理专业"</f>
        <v>农林经济管理专业</v>
      </c>
      <c r="H1664" s="7" t="s">
        <v>9</v>
      </c>
    </row>
    <row r="1665" spans="1:8" ht="15" customHeight="1">
      <c r="A1665" s="5">
        <v>1663</v>
      </c>
      <c r="B1665" s="6" t="str">
        <f>"黄林雪 "</f>
        <v>黄林雪 </v>
      </c>
      <c r="C1665" s="6" t="str">
        <f t="shared" si="873"/>
        <v>女</v>
      </c>
      <c r="D1665" s="6" t="str">
        <f>"1999-11-28"</f>
        <v>1999-11-28</v>
      </c>
      <c r="E1665" s="6" t="str">
        <f t="shared" si="872"/>
        <v>本科</v>
      </c>
      <c r="F1665" s="6" t="str">
        <f>"文学学士"</f>
        <v>文学学士</v>
      </c>
      <c r="G1665" s="6" t="str">
        <f>"汉语言文学（师范） "</f>
        <v>汉语言文学（师范） </v>
      </c>
      <c r="H1665" s="7" t="s">
        <v>9</v>
      </c>
    </row>
    <row r="1666" spans="1:8" ht="15" customHeight="1">
      <c r="A1666" s="5">
        <v>1664</v>
      </c>
      <c r="B1666" s="6" t="str">
        <f>"杨泉泉"</f>
        <v>杨泉泉</v>
      </c>
      <c r="C1666" s="6" t="str">
        <f t="shared" si="873"/>
        <v>女</v>
      </c>
      <c r="D1666" s="6" t="str">
        <f>"1995-02-11"</f>
        <v>1995-02-11</v>
      </c>
      <c r="E1666" s="6" t="str">
        <f>"大学本科"</f>
        <v>大学本科</v>
      </c>
      <c r="F1666" s="6" t="str">
        <f>"农学学士"</f>
        <v>农学学士</v>
      </c>
      <c r="G1666" s="6" t="str">
        <f>"园艺"</f>
        <v>园艺</v>
      </c>
      <c r="H1666" s="7" t="s">
        <v>9</v>
      </c>
    </row>
    <row r="1667" spans="1:8" ht="15" customHeight="1">
      <c r="A1667" s="5">
        <v>1665</v>
      </c>
      <c r="B1667" s="6" t="str">
        <f>"王永鹏"</f>
        <v>王永鹏</v>
      </c>
      <c r="C1667" s="6" t="str">
        <f t="shared" si="874"/>
        <v>男</v>
      </c>
      <c r="D1667" s="6" t="str">
        <f>"1998-03-08"</f>
        <v>1998-03-08</v>
      </c>
      <c r="E1667" s="6" t="str">
        <f t="shared" si="872"/>
        <v>本科</v>
      </c>
      <c r="F1667" s="6" t="str">
        <f t="shared" si="875"/>
        <v>管理学学士</v>
      </c>
      <c r="G1667" s="6" t="str">
        <f>"市场营销专业"</f>
        <v>市场营销专业</v>
      </c>
      <c r="H1667" s="7" t="s">
        <v>9</v>
      </c>
    </row>
    <row r="1668" spans="1:8" ht="15" customHeight="1">
      <c r="A1668" s="5">
        <v>1666</v>
      </c>
      <c r="B1668" s="6" t="str">
        <f>"张钰"</f>
        <v>张钰</v>
      </c>
      <c r="C1668" s="6" t="str">
        <f aca="true" t="shared" si="876" ref="C1668:C1673">"女"</f>
        <v>女</v>
      </c>
      <c r="D1668" s="6" t="str">
        <f>"1998-07-01"</f>
        <v>1998-07-01</v>
      </c>
      <c r="E1668" s="6" t="str">
        <f>"全日制本科"</f>
        <v>全日制本科</v>
      </c>
      <c r="F1668" s="6" t="str">
        <f t="shared" si="875"/>
        <v>管理学学士</v>
      </c>
      <c r="G1668" s="6" t="str">
        <f>"市场营销专业"</f>
        <v>市场营销专业</v>
      </c>
      <c r="H1668" s="7" t="s">
        <v>9</v>
      </c>
    </row>
    <row r="1669" spans="1:8" ht="15" customHeight="1">
      <c r="A1669" s="5">
        <v>1667</v>
      </c>
      <c r="B1669" s="6" t="str">
        <f>"杨望"</f>
        <v>杨望</v>
      </c>
      <c r="C1669" s="6" t="str">
        <f t="shared" si="874"/>
        <v>男</v>
      </c>
      <c r="D1669" s="6" t="str">
        <f>"1999-07-16"</f>
        <v>1999-07-16</v>
      </c>
      <c r="E1669" s="6" t="str">
        <f>"大学本科"</f>
        <v>大学本科</v>
      </c>
      <c r="F1669" s="6" t="str">
        <f t="shared" si="875"/>
        <v>管理学学士</v>
      </c>
      <c r="G1669" s="6" t="str">
        <f>"人力资源管理"</f>
        <v>人力资源管理</v>
      </c>
      <c r="H1669" s="7" t="s">
        <v>9</v>
      </c>
    </row>
    <row r="1670" spans="1:8" ht="15" customHeight="1">
      <c r="A1670" s="5">
        <v>1668</v>
      </c>
      <c r="B1670" s="6" t="str">
        <f>"陈家千"</f>
        <v>陈家千</v>
      </c>
      <c r="C1670" s="6" t="str">
        <f t="shared" si="874"/>
        <v>男</v>
      </c>
      <c r="D1670" s="6" t="str">
        <f>"1993-05-16"</f>
        <v>1993-05-16</v>
      </c>
      <c r="E1670" s="6" t="str">
        <f aca="true" t="shared" si="877" ref="E1670:E1680">"本科"</f>
        <v>本科</v>
      </c>
      <c r="F1670" s="6" t="str">
        <f>"工学学士"</f>
        <v>工学学士</v>
      </c>
      <c r="G1670" s="6" t="str">
        <f>"计算机科学与技术"</f>
        <v>计算机科学与技术</v>
      </c>
      <c r="H1670" s="7" t="s">
        <v>9</v>
      </c>
    </row>
    <row r="1671" spans="1:8" ht="15" customHeight="1">
      <c r="A1671" s="5">
        <v>1669</v>
      </c>
      <c r="B1671" s="6" t="str">
        <f>"吴子勇"</f>
        <v>吴子勇</v>
      </c>
      <c r="C1671" s="6" t="str">
        <f t="shared" si="874"/>
        <v>男</v>
      </c>
      <c r="D1671" s="6" t="str">
        <f>"1996-01-03"</f>
        <v>1996-01-03</v>
      </c>
      <c r="E1671" s="6" t="str">
        <f t="shared" si="877"/>
        <v>本科</v>
      </c>
      <c r="F1671" s="6" t="str">
        <f>"工学学士"</f>
        <v>工学学士</v>
      </c>
      <c r="G1671" s="6" t="str">
        <f>"土木工程"</f>
        <v>土木工程</v>
      </c>
      <c r="H1671" s="7" t="s">
        <v>9</v>
      </c>
    </row>
    <row r="1672" spans="1:8" ht="15" customHeight="1">
      <c r="A1672" s="5">
        <v>1670</v>
      </c>
      <c r="B1672" s="6" t="str">
        <f>"张靖悦"</f>
        <v>张靖悦</v>
      </c>
      <c r="C1672" s="6" t="str">
        <f t="shared" si="876"/>
        <v>女</v>
      </c>
      <c r="D1672" s="6" t="str">
        <f>"1999-09-27"</f>
        <v>1999-09-27</v>
      </c>
      <c r="E1672" s="6" t="str">
        <f t="shared" si="877"/>
        <v>本科</v>
      </c>
      <c r="F1672" s="6" t="str">
        <f>"经济学学士"</f>
        <v>经济学学士</v>
      </c>
      <c r="G1672" s="6" t="str">
        <f>"国际经济与贸易"</f>
        <v>国际经济与贸易</v>
      </c>
      <c r="H1672" s="7" t="s">
        <v>9</v>
      </c>
    </row>
    <row r="1673" spans="1:8" ht="15" customHeight="1">
      <c r="A1673" s="5">
        <v>1671</v>
      </c>
      <c r="B1673" s="6" t="str">
        <f>"卢裕祺"</f>
        <v>卢裕祺</v>
      </c>
      <c r="C1673" s="6" t="str">
        <f t="shared" si="876"/>
        <v>女</v>
      </c>
      <c r="D1673" s="6" t="str">
        <f>"2000-07-10"</f>
        <v>2000-07-10</v>
      </c>
      <c r="E1673" s="6" t="str">
        <f t="shared" si="877"/>
        <v>本科</v>
      </c>
      <c r="F1673" s="6" t="str">
        <f>"管理学士"</f>
        <v>管理学士</v>
      </c>
      <c r="G1673" s="6" t="str">
        <f>"会计学"</f>
        <v>会计学</v>
      </c>
      <c r="H1673" s="7" t="s">
        <v>9</v>
      </c>
    </row>
    <row r="1674" spans="1:8" ht="15" customHeight="1">
      <c r="A1674" s="5">
        <v>1672</v>
      </c>
      <c r="B1674" s="6" t="str">
        <f>"江俊宇"</f>
        <v>江俊宇</v>
      </c>
      <c r="C1674" s="6" t="str">
        <f aca="true" t="shared" si="878" ref="C1674:C1677">"男"</f>
        <v>男</v>
      </c>
      <c r="D1674" s="6" t="str">
        <f>"1999-04-17"</f>
        <v>1999-04-17</v>
      </c>
      <c r="E1674" s="6" t="str">
        <f t="shared" si="877"/>
        <v>本科</v>
      </c>
      <c r="F1674" s="6" t="str">
        <f>"管理学学士"</f>
        <v>管理学学士</v>
      </c>
      <c r="G1674" s="6" t="str">
        <f>"人力资源管理"</f>
        <v>人力资源管理</v>
      </c>
      <c r="H1674" s="7" t="s">
        <v>9</v>
      </c>
    </row>
    <row r="1675" spans="1:8" ht="15" customHeight="1">
      <c r="A1675" s="5">
        <v>1673</v>
      </c>
      <c r="B1675" s="6" t="str">
        <f>"符暑涛"</f>
        <v>符暑涛</v>
      </c>
      <c r="C1675" s="6" t="str">
        <f t="shared" si="878"/>
        <v>男</v>
      </c>
      <c r="D1675" s="6" t="str">
        <f>"1998-07-18"</f>
        <v>1998-07-18</v>
      </c>
      <c r="E1675" s="6" t="str">
        <f t="shared" si="877"/>
        <v>本科</v>
      </c>
      <c r="F1675" s="6" t="str">
        <f>"农学学士"</f>
        <v>农学学士</v>
      </c>
      <c r="G1675" s="6" t="str">
        <f>"森林保护"</f>
        <v>森林保护</v>
      </c>
      <c r="H1675" s="7" t="s">
        <v>9</v>
      </c>
    </row>
    <row r="1676" spans="1:8" ht="15" customHeight="1">
      <c r="A1676" s="5">
        <v>1674</v>
      </c>
      <c r="B1676" s="6" t="str">
        <f>"符芳望"</f>
        <v>符芳望</v>
      </c>
      <c r="C1676" s="6" t="str">
        <f t="shared" si="878"/>
        <v>男</v>
      </c>
      <c r="D1676" s="6" t="str">
        <f>"1990-05-15"</f>
        <v>1990-05-15</v>
      </c>
      <c r="E1676" s="6" t="str">
        <f t="shared" si="877"/>
        <v>本科</v>
      </c>
      <c r="F1676" s="6" t="str">
        <f aca="true" t="shared" si="879" ref="F1676:F1680">"工学学士"</f>
        <v>工学学士</v>
      </c>
      <c r="G1676" s="6" t="str">
        <f>"工程管理"</f>
        <v>工程管理</v>
      </c>
      <c r="H1676" s="7" t="s">
        <v>9</v>
      </c>
    </row>
    <row r="1677" spans="1:8" ht="15" customHeight="1">
      <c r="A1677" s="5">
        <v>1675</v>
      </c>
      <c r="B1677" s="6" t="str">
        <f>"林光琤"</f>
        <v>林光琤</v>
      </c>
      <c r="C1677" s="6" t="str">
        <f t="shared" si="878"/>
        <v>男</v>
      </c>
      <c r="D1677" s="6" t="str">
        <f>"1993-12-23"</f>
        <v>1993-12-23</v>
      </c>
      <c r="E1677" s="6" t="str">
        <f t="shared" si="877"/>
        <v>本科</v>
      </c>
      <c r="F1677" s="6" t="str">
        <f t="shared" si="879"/>
        <v>工学学士</v>
      </c>
      <c r="G1677" s="6" t="str">
        <f>"电子商务"</f>
        <v>电子商务</v>
      </c>
      <c r="H1677" s="7" t="s">
        <v>9</v>
      </c>
    </row>
    <row r="1678" spans="1:8" ht="15" customHeight="1">
      <c r="A1678" s="5">
        <v>1676</v>
      </c>
      <c r="B1678" s="6" t="str">
        <f>"朱妙甜"</f>
        <v>朱妙甜</v>
      </c>
      <c r="C1678" s="6" t="str">
        <f>"女"</f>
        <v>女</v>
      </c>
      <c r="D1678" s="6" t="str">
        <f>"1996-09-06"</f>
        <v>1996-09-06</v>
      </c>
      <c r="E1678" s="6" t="str">
        <f t="shared" si="877"/>
        <v>本科</v>
      </c>
      <c r="F1678" s="6" t="str">
        <f>"管理学学士"</f>
        <v>管理学学士</v>
      </c>
      <c r="G1678" s="6" t="str">
        <f>"市场营销"</f>
        <v>市场营销</v>
      </c>
      <c r="H1678" s="7" t="s">
        <v>9</v>
      </c>
    </row>
    <row r="1679" spans="1:8" ht="15" customHeight="1">
      <c r="A1679" s="5">
        <v>1677</v>
      </c>
      <c r="B1679" s="6" t="str">
        <f>"林徐"</f>
        <v>林徐</v>
      </c>
      <c r="C1679" s="6" t="str">
        <f>"女"</f>
        <v>女</v>
      </c>
      <c r="D1679" s="6" t="str">
        <f>"2000-05-11"</f>
        <v>2000-05-11</v>
      </c>
      <c r="E1679" s="6" t="str">
        <f t="shared" si="877"/>
        <v>本科</v>
      </c>
      <c r="F1679" s="6" t="str">
        <f>"农学学士"</f>
        <v>农学学士</v>
      </c>
      <c r="G1679" s="6" t="str">
        <f>"园艺"</f>
        <v>园艺</v>
      </c>
      <c r="H1679" s="7" t="s">
        <v>9</v>
      </c>
    </row>
    <row r="1680" spans="1:8" ht="15" customHeight="1">
      <c r="A1680" s="5">
        <v>1678</v>
      </c>
      <c r="B1680" s="6" t="str">
        <f>"卢子懿"</f>
        <v>卢子懿</v>
      </c>
      <c r="C1680" s="6" t="str">
        <f aca="true" t="shared" si="880" ref="C1680:C1684">"男"</f>
        <v>男</v>
      </c>
      <c r="D1680" s="6" t="str">
        <f>"1999-12-29"</f>
        <v>1999-12-29</v>
      </c>
      <c r="E1680" s="6" t="str">
        <f t="shared" si="877"/>
        <v>本科</v>
      </c>
      <c r="F1680" s="6" t="str">
        <f t="shared" si="879"/>
        <v>工学学士</v>
      </c>
      <c r="G1680" s="6" t="str">
        <f>"土木工程"</f>
        <v>土木工程</v>
      </c>
      <c r="H1680" s="7" t="s">
        <v>9</v>
      </c>
    </row>
    <row r="1681" spans="1:8" ht="15" customHeight="1">
      <c r="A1681" s="5">
        <v>1679</v>
      </c>
      <c r="B1681" s="6" t="str">
        <f>"罗家庆"</f>
        <v>罗家庆</v>
      </c>
      <c r="C1681" s="6" t="str">
        <f t="shared" si="880"/>
        <v>男</v>
      </c>
      <c r="D1681" s="6" t="str">
        <f>"1993-08-18"</f>
        <v>1993-08-18</v>
      </c>
      <c r="E1681" s="6" t="str">
        <f>"研究生"</f>
        <v>研究生</v>
      </c>
      <c r="F1681" s="6" t="str">
        <f>"硕士"</f>
        <v>硕士</v>
      </c>
      <c r="G1681" s="6" t="str">
        <f>"情报学"</f>
        <v>情报学</v>
      </c>
      <c r="H1681" s="7" t="s">
        <v>9</v>
      </c>
    </row>
    <row r="1682" spans="1:8" ht="15" customHeight="1">
      <c r="A1682" s="5">
        <v>1680</v>
      </c>
      <c r="B1682" s="6" t="str">
        <f>"苏锋"</f>
        <v>苏锋</v>
      </c>
      <c r="C1682" s="6" t="str">
        <f t="shared" si="880"/>
        <v>男</v>
      </c>
      <c r="D1682" s="6" t="str">
        <f>"1998-12-22"</f>
        <v>1998-12-22</v>
      </c>
      <c r="E1682" s="6" t="str">
        <f>"全日制本科"</f>
        <v>全日制本科</v>
      </c>
      <c r="F1682" s="6" t="str">
        <f>"管理学学士"</f>
        <v>管理学学士</v>
      </c>
      <c r="G1682" s="6" t="str">
        <f>"土地资源管理"</f>
        <v>土地资源管理</v>
      </c>
      <c r="H1682" s="7" t="s">
        <v>9</v>
      </c>
    </row>
    <row r="1683" spans="1:8" ht="15" customHeight="1">
      <c r="A1683" s="5">
        <v>1681</v>
      </c>
      <c r="B1683" s="8" t="str">
        <f>"王海林"</f>
        <v>王海林</v>
      </c>
      <c r="C1683" s="8" t="str">
        <f t="shared" si="880"/>
        <v>男</v>
      </c>
      <c r="D1683" s="8" t="str">
        <f>"1994-04-13"</f>
        <v>1994-04-13</v>
      </c>
      <c r="E1683" s="8" t="str">
        <f aca="true" t="shared" si="881" ref="E1683:E1685">"本科"</f>
        <v>本科</v>
      </c>
      <c r="F1683" s="8" t="str">
        <f>"工学"</f>
        <v>工学</v>
      </c>
      <c r="G1683" s="8" t="str">
        <f>"工程管理"</f>
        <v>工程管理</v>
      </c>
      <c r="H1683" s="7" t="s">
        <v>10</v>
      </c>
    </row>
    <row r="1684" spans="1:8" ht="15" customHeight="1">
      <c r="A1684" s="5">
        <v>1682</v>
      </c>
      <c r="B1684" s="8" t="str">
        <f>"符志远"</f>
        <v>符志远</v>
      </c>
      <c r="C1684" s="8" t="str">
        <f t="shared" si="880"/>
        <v>男</v>
      </c>
      <c r="D1684" s="8" t="str">
        <f>"2000-05-04"</f>
        <v>2000-05-04</v>
      </c>
      <c r="E1684" s="8" t="str">
        <f t="shared" si="881"/>
        <v>本科</v>
      </c>
      <c r="F1684" s="8" t="str">
        <f>"管理学学士"</f>
        <v>管理学学士</v>
      </c>
      <c r="G1684" s="8" t="str">
        <f>"工程管理"</f>
        <v>工程管理</v>
      </c>
      <c r="H1684" s="7" t="s">
        <v>10</v>
      </c>
    </row>
    <row r="1685" spans="1:8" ht="15" customHeight="1">
      <c r="A1685" s="5">
        <v>1683</v>
      </c>
      <c r="B1685" s="8" t="str">
        <f>"戴颖适"</f>
        <v>戴颖适</v>
      </c>
      <c r="C1685" s="8" t="str">
        <f aca="true" t="shared" si="882" ref="C1685:C1690">"女"</f>
        <v>女</v>
      </c>
      <c r="D1685" s="8" t="str">
        <f>"2001-10-12"</f>
        <v>2001-10-12</v>
      </c>
      <c r="E1685" s="8" t="str">
        <f t="shared" si="881"/>
        <v>本科</v>
      </c>
      <c r="F1685" s="8" t="str">
        <f aca="true" t="shared" si="883" ref="F1685:F1690">"工学学士"</f>
        <v>工学学士</v>
      </c>
      <c r="G1685" s="8" t="str">
        <f>"给排水科学与工程"</f>
        <v>给排水科学与工程</v>
      </c>
      <c r="H1685" s="7" t="s">
        <v>10</v>
      </c>
    </row>
    <row r="1686" spans="1:8" ht="15" customHeight="1">
      <c r="A1686" s="5">
        <v>1684</v>
      </c>
      <c r="B1686" s="8" t="str">
        <f>"欧家宏"</f>
        <v>欧家宏</v>
      </c>
      <c r="C1686" s="8" t="str">
        <f aca="true" t="shared" si="884" ref="C1686:C1689">"男"</f>
        <v>男</v>
      </c>
      <c r="D1686" s="8" t="str">
        <f>"2000-06-02"</f>
        <v>2000-06-02</v>
      </c>
      <c r="E1686" s="8" t="str">
        <f>"大学本科"</f>
        <v>大学本科</v>
      </c>
      <c r="F1686" s="8" t="str">
        <f t="shared" si="883"/>
        <v>工学学士</v>
      </c>
      <c r="G1686" s="8" t="str">
        <f>"港口航道与海岸工程"</f>
        <v>港口航道与海岸工程</v>
      </c>
      <c r="H1686" s="7" t="s">
        <v>10</v>
      </c>
    </row>
    <row r="1687" spans="1:8" ht="15" customHeight="1">
      <c r="A1687" s="5">
        <v>1685</v>
      </c>
      <c r="B1687" s="8" t="str">
        <f>"文福宁"</f>
        <v>文福宁</v>
      </c>
      <c r="C1687" s="8" t="str">
        <f t="shared" si="884"/>
        <v>男</v>
      </c>
      <c r="D1687" s="8" t="str">
        <f>"1996-01-18"</f>
        <v>1996-01-18</v>
      </c>
      <c r="E1687" s="8" t="str">
        <f>"大专"</f>
        <v>大专</v>
      </c>
      <c r="F1687" s="8" t="str">
        <f>"无"</f>
        <v>无</v>
      </c>
      <c r="G1687" s="8" t="str">
        <f>"行政管理"</f>
        <v>行政管理</v>
      </c>
      <c r="H1687" s="7" t="s">
        <v>10</v>
      </c>
    </row>
    <row r="1688" spans="1:8" ht="15" customHeight="1">
      <c r="A1688" s="5">
        <v>1686</v>
      </c>
      <c r="B1688" s="8" t="str">
        <f>"吴珍"</f>
        <v>吴珍</v>
      </c>
      <c r="C1688" s="8" t="str">
        <f t="shared" si="882"/>
        <v>女</v>
      </c>
      <c r="D1688" s="8" t="str">
        <f>"1991-05-30"</f>
        <v>1991-05-30</v>
      </c>
      <c r="E1688" s="8" t="str">
        <f>"大学本科学历"</f>
        <v>大学本科学历</v>
      </c>
      <c r="F1688" s="8" t="str">
        <f>"无"</f>
        <v>无</v>
      </c>
      <c r="G1688" s="8" t="str">
        <f>"土木工程"</f>
        <v>土木工程</v>
      </c>
      <c r="H1688" s="7" t="s">
        <v>10</v>
      </c>
    </row>
    <row r="1689" spans="1:8" ht="15" customHeight="1">
      <c r="A1689" s="5">
        <v>1687</v>
      </c>
      <c r="B1689" s="8" t="str">
        <f>"王达威"</f>
        <v>王达威</v>
      </c>
      <c r="C1689" s="8" t="str">
        <f t="shared" si="884"/>
        <v>男</v>
      </c>
      <c r="D1689" s="8" t="str">
        <f>"1990-04-04"</f>
        <v>1990-04-04</v>
      </c>
      <c r="E1689" s="8" t="str">
        <f aca="true" t="shared" si="885" ref="E1689:E1697">"本科"</f>
        <v>本科</v>
      </c>
      <c r="F1689" s="8" t="str">
        <f t="shared" si="883"/>
        <v>工学学士</v>
      </c>
      <c r="G1689" s="8" t="str">
        <f>"勘查技术与工程"</f>
        <v>勘查技术与工程</v>
      </c>
      <c r="H1689" s="7" t="s">
        <v>10</v>
      </c>
    </row>
    <row r="1690" spans="1:8" ht="15" customHeight="1">
      <c r="A1690" s="5">
        <v>1688</v>
      </c>
      <c r="B1690" s="8" t="str">
        <f>"卢小军"</f>
        <v>卢小军</v>
      </c>
      <c r="C1690" s="8" t="str">
        <f t="shared" si="882"/>
        <v>女</v>
      </c>
      <c r="D1690" s="8" t="str">
        <f>"1996-09-04"</f>
        <v>1996-09-04</v>
      </c>
      <c r="E1690" s="8" t="str">
        <f t="shared" si="885"/>
        <v>本科</v>
      </c>
      <c r="F1690" s="8" t="str">
        <f t="shared" si="883"/>
        <v>工学学士</v>
      </c>
      <c r="G1690" s="8" t="str">
        <f>"城乡规划"</f>
        <v>城乡规划</v>
      </c>
      <c r="H1690" s="7" t="s">
        <v>10</v>
      </c>
    </row>
    <row r="1691" spans="1:8" ht="15" customHeight="1">
      <c r="A1691" s="5">
        <v>1689</v>
      </c>
      <c r="B1691" s="8" t="str">
        <f>"罗涛"</f>
        <v>罗涛</v>
      </c>
      <c r="C1691" s="8" t="str">
        <f aca="true" t="shared" si="886" ref="C1691:C1695">"男"</f>
        <v>男</v>
      </c>
      <c r="D1691" s="8" t="str">
        <f>"1990-05-15"</f>
        <v>1990-05-15</v>
      </c>
      <c r="E1691" s="8" t="str">
        <f t="shared" si="885"/>
        <v>本科</v>
      </c>
      <c r="F1691" s="8" t="str">
        <f>"学士学位"</f>
        <v>学士学位</v>
      </c>
      <c r="G1691" s="8" t="str">
        <f>"工程管理"</f>
        <v>工程管理</v>
      </c>
      <c r="H1691" s="7" t="s">
        <v>10</v>
      </c>
    </row>
    <row r="1692" spans="1:8" ht="15" customHeight="1">
      <c r="A1692" s="5">
        <v>1690</v>
      </c>
      <c r="B1692" s="8" t="str">
        <f>"唐垂孟"</f>
        <v>唐垂孟</v>
      </c>
      <c r="C1692" s="8" t="str">
        <f t="shared" si="886"/>
        <v>男</v>
      </c>
      <c r="D1692" s="8" t="str">
        <f>"1995-09-20"</f>
        <v>1995-09-20</v>
      </c>
      <c r="E1692" s="8" t="str">
        <f t="shared" si="885"/>
        <v>本科</v>
      </c>
      <c r="F1692" s="8" t="str">
        <f aca="true" t="shared" si="887" ref="F1692:F1695">"工学学士"</f>
        <v>工学学士</v>
      </c>
      <c r="G1692" s="8" t="str">
        <f>"车辆工程"</f>
        <v>车辆工程</v>
      </c>
      <c r="H1692" s="7" t="s">
        <v>10</v>
      </c>
    </row>
    <row r="1693" spans="1:8" ht="15" customHeight="1">
      <c r="A1693" s="5">
        <v>1691</v>
      </c>
      <c r="B1693" s="8" t="str">
        <f>"唐国雄"</f>
        <v>唐国雄</v>
      </c>
      <c r="C1693" s="8" t="str">
        <f t="shared" si="886"/>
        <v>男</v>
      </c>
      <c r="D1693" s="8" t="str">
        <f>"2000-06-18"</f>
        <v>2000-06-18</v>
      </c>
      <c r="E1693" s="8" t="str">
        <f t="shared" si="885"/>
        <v>本科</v>
      </c>
      <c r="F1693" s="8" t="str">
        <f t="shared" si="887"/>
        <v>工学学士</v>
      </c>
      <c r="G1693" s="8" t="str">
        <f>"土木工程"</f>
        <v>土木工程</v>
      </c>
      <c r="H1693" s="7" t="s">
        <v>10</v>
      </c>
    </row>
    <row r="1694" spans="1:8" ht="15" customHeight="1">
      <c r="A1694" s="5">
        <v>1692</v>
      </c>
      <c r="B1694" s="8" t="str">
        <f>"吴祖欢"</f>
        <v>吴祖欢</v>
      </c>
      <c r="C1694" s="8" t="str">
        <f t="shared" si="886"/>
        <v>男</v>
      </c>
      <c r="D1694" s="8" t="str">
        <f>"1995-07-24"</f>
        <v>1995-07-24</v>
      </c>
      <c r="E1694" s="8" t="str">
        <f t="shared" si="885"/>
        <v>本科</v>
      </c>
      <c r="F1694" s="8" t="str">
        <f t="shared" si="887"/>
        <v>工学学士</v>
      </c>
      <c r="G1694" s="8" t="str">
        <f>"机械设计制造及其自动化"</f>
        <v>机械设计制造及其自动化</v>
      </c>
      <c r="H1694" s="7" t="s">
        <v>10</v>
      </c>
    </row>
    <row r="1695" spans="1:8" ht="15" customHeight="1">
      <c r="A1695" s="5">
        <v>1693</v>
      </c>
      <c r="B1695" s="8" t="str">
        <f>"郑海森"</f>
        <v>郑海森</v>
      </c>
      <c r="C1695" s="8" t="str">
        <f t="shared" si="886"/>
        <v>男</v>
      </c>
      <c r="D1695" s="8" t="str">
        <f>"1999-02-26"</f>
        <v>1999-02-26</v>
      </c>
      <c r="E1695" s="8" t="str">
        <f t="shared" si="885"/>
        <v>本科</v>
      </c>
      <c r="F1695" s="8" t="str">
        <f t="shared" si="887"/>
        <v>工学学士</v>
      </c>
      <c r="G1695" s="8" t="str">
        <f>"道路桥梁与渡河工程"</f>
        <v>道路桥梁与渡河工程</v>
      </c>
      <c r="H1695" s="7" t="s">
        <v>10</v>
      </c>
    </row>
    <row r="1696" spans="1:8" ht="15" customHeight="1">
      <c r="A1696" s="5">
        <v>1694</v>
      </c>
      <c r="B1696" s="8" t="str">
        <f>"张盛莲"</f>
        <v>张盛莲</v>
      </c>
      <c r="C1696" s="8" t="str">
        <f aca="true" t="shared" si="888" ref="C1696:C1698">"女"</f>
        <v>女</v>
      </c>
      <c r="D1696" s="8" t="str">
        <f>"1996-10-29"</f>
        <v>1996-10-29</v>
      </c>
      <c r="E1696" s="8" t="str">
        <f t="shared" si="885"/>
        <v>本科</v>
      </c>
      <c r="F1696" s="8" t="str">
        <f>"设计学学士"</f>
        <v>设计学学士</v>
      </c>
      <c r="G1696" s="8" t="str">
        <f aca="true" t="shared" si="889" ref="G1696:G1701">"环境设计"</f>
        <v>环境设计</v>
      </c>
      <c r="H1696" s="7" t="s">
        <v>10</v>
      </c>
    </row>
    <row r="1697" spans="1:8" ht="15" customHeight="1">
      <c r="A1697" s="5">
        <v>1695</v>
      </c>
      <c r="B1697" s="8" t="str">
        <f>"李应霜"</f>
        <v>李应霜</v>
      </c>
      <c r="C1697" s="8" t="str">
        <f t="shared" si="888"/>
        <v>女</v>
      </c>
      <c r="D1697" s="8" t="str">
        <f>"1998-07-09"</f>
        <v>1998-07-09</v>
      </c>
      <c r="E1697" s="8" t="str">
        <f t="shared" si="885"/>
        <v>本科</v>
      </c>
      <c r="F1697" s="8" t="str">
        <f>"学士"</f>
        <v>学士</v>
      </c>
      <c r="G1697" s="8" t="str">
        <f>"康复治疗学"</f>
        <v>康复治疗学</v>
      </c>
      <c r="H1697" s="7" t="s">
        <v>10</v>
      </c>
    </row>
    <row r="1698" spans="1:8" ht="15" customHeight="1">
      <c r="A1698" s="5">
        <v>1696</v>
      </c>
      <c r="B1698" s="8" t="str">
        <f>"刘宇甜"</f>
        <v>刘宇甜</v>
      </c>
      <c r="C1698" s="8" t="str">
        <f t="shared" si="888"/>
        <v>女</v>
      </c>
      <c r="D1698" s="8" t="str">
        <f>"1999-06-03"</f>
        <v>1999-06-03</v>
      </c>
      <c r="E1698" s="8" t="str">
        <f>"全日制本科"</f>
        <v>全日制本科</v>
      </c>
      <c r="F1698" s="8" t="str">
        <f>"工学学士"</f>
        <v>工学学士</v>
      </c>
      <c r="G1698" s="8" t="str">
        <f>"工业工程"</f>
        <v>工业工程</v>
      </c>
      <c r="H1698" s="7" t="s">
        <v>10</v>
      </c>
    </row>
    <row r="1699" spans="1:8" ht="15" customHeight="1">
      <c r="A1699" s="5">
        <v>1697</v>
      </c>
      <c r="B1699" s="8" t="str">
        <f>"陈圣聪"</f>
        <v>陈圣聪</v>
      </c>
      <c r="C1699" s="8" t="str">
        <f aca="true" t="shared" si="890" ref="C1699:C1702">"男"</f>
        <v>男</v>
      </c>
      <c r="D1699" s="8" t="str">
        <f>"1989-01-15"</f>
        <v>1989-01-15</v>
      </c>
      <c r="E1699" s="8" t="str">
        <f>"大学"</f>
        <v>大学</v>
      </c>
      <c r="F1699" s="8" t="str">
        <f>"管理学学士"</f>
        <v>管理学学士</v>
      </c>
      <c r="G1699" s="8" t="str">
        <f>"房地产经营管理"</f>
        <v>房地产经营管理</v>
      </c>
      <c r="H1699" s="7" t="s">
        <v>10</v>
      </c>
    </row>
    <row r="1700" spans="1:8" ht="15" customHeight="1">
      <c r="A1700" s="5">
        <v>1698</v>
      </c>
      <c r="B1700" s="8" t="str">
        <f>"陈文锐"</f>
        <v>陈文锐</v>
      </c>
      <c r="C1700" s="8" t="str">
        <f t="shared" si="890"/>
        <v>男</v>
      </c>
      <c r="D1700" s="8" t="str">
        <f>"2000-01-05"</f>
        <v>2000-01-05</v>
      </c>
      <c r="E1700" s="8" t="str">
        <f aca="true" t="shared" si="891" ref="E1700:E1706">"本科"</f>
        <v>本科</v>
      </c>
      <c r="F1700" s="8" t="str">
        <f>"艺术学学士"</f>
        <v>艺术学学士</v>
      </c>
      <c r="G1700" s="8" t="str">
        <f t="shared" si="889"/>
        <v>环境设计</v>
      </c>
      <c r="H1700" s="7" t="s">
        <v>10</v>
      </c>
    </row>
    <row r="1701" spans="1:8" ht="15" customHeight="1">
      <c r="A1701" s="5">
        <v>1699</v>
      </c>
      <c r="B1701" s="8" t="str">
        <f>"周其焕"</f>
        <v>周其焕</v>
      </c>
      <c r="C1701" s="8" t="str">
        <f t="shared" si="890"/>
        <v>男</v>
      </c>
      <c r="D1701" s="8" t="str">
        <f>"1996-11-19"</f>
        <v>1996-11-19</v>
      </c>
      <c r="E1701" s="8" t="str">
        <f t="shared" si="891"/>
        <v>本科</v>
      </c>
      <c r="F1701" s="8" t="str">
        <f>"学士学位"</f>
        <v>学士学位</v>
      </c>
      <c r="G1701" s="8" t="str">
        <f t="shared" si="889"/>
        <v>环境设计</v>
      </c>
      <c r="H1701" s="7" t="s">
        <v>10</v>
      </c>
    </row>
    <row r="1702" spans="1:8" ht="15" customHeight="1">
      <c r="A1702" s="5">
        <v>1700</v>
      </c>
      <c r="B1702" s="8" t="str">
        <f>"吴威宏"</f>
        <v>吴威宏</v>
      </c>
      <c r="C1702" s="8" t="str">
        <f t="shared" si="890"/>
        <v>男</v>
      </c>
      <c r="D1702" s="8" t="str">
        <f>"1997-08-01"</f>
        <v>1997-08-01</v>
      </c>
      <c r="E1702" s="8" t="str">
        <f t="shared" si="891"/>
        <v>本科</v>
      </c>
      <c r="F1702" s="8" t="str">
        <f>"理学学士"</f>
        <v>理学学士</v>
      </c>
      <c r="G1702" s="8" t="str">
        <f>"人文地理与城乡规划"</f>
        <v>人文地理与城乡规划</v>
      </c>
      <c r="H1702" s="7" t="s">
        <v>10</v>
      </c>
    </row>
    <row r="1703" spans="1:8" ht="15" customHeight="1">
      <c r="A1703" s="5">
        <v>1701</v>
      </c>
      <c r="B1703" s="8" t="str">
        <f>"陈宇航"</f>
        <v>陈宇航</v>
      </c>
      <c r="C1703" s="8" t="str">
        <f aca="true" t="shared" si="892" ref="C1703:C1708">"女"</f>
        <v>女</v>
      </c>
      <c r="D1703" s="8" t="str">
        <f>"1993-05-01"</f>
        <v>1993-05-01</v>
      </c>
      <c r="E1703" s="8" t="str">
        <f t="shared" si="891"/>
        <v>本科</v>
      </c>
      <c r="F1703" s="8" t="str">
        <f>"管理学学士学位"</f>
        <v>管理学学士学位</v>
      </c>
      <c r="G1703" s="8" t="str">
        <f>"工程管理"</f>
        <v>工程管理</v>
      </c>
      <c r="H1703" s="7" t="s">
        <v>10</v>
      </c>
    </row>
    <row r="1704" spans="1:8" ht="15" customHeight="1">
      <c r="A1704" s="5">
        <v>1702</v>
      </c>
      <c r="B1704" s="8" t="str">
        <f>"冷高峰"</f>
        <v>冷高峰</v>
      </c>
      <c r="C1704" s="8" t="str">
        <f aca="true" t="shared" si="893" ref="C1704:C1707">"男"</f>
        <v>男</v>
      </c>
      <c r="D1704" s="8" t="str">
        <f>"2000-04-01"</f>
        <v>2000-04-01</v>
      </c>
      <c r="E1704" s="8" t="str">
        <f t="shared" si="891"/>
        <v>本科</v>
      </c>
      <c r="F1704" s="8" t="str">
        <f>"艺术学学士"</f>
        <v>艺术学学士</v>
      </c>
      <c r="G1704" s="8" t="str">
        <f>"环境设计"</f>
        <v>环境设计</v>
      </c>
      <c r="H1704" s="7" t="s">
        <v>10</v>
      </c>
    </row>
    <row r="1705" spans="1:8" ht="15" customHeight="1">
      <c r="A1705" s="5">
        <v>1703</v>
      </c>
      <c r="B1705" s="8" t="str">
        <f>"林青"</f>
        <v>林青</v>
      </c>
      <c r="C1705" s="8" t="str">
        <f t="shared" si="892"/>
        <v>女</v>
      </c>
      <c r="D1705" s="8" t="str">
        <f>"1995-04-06"</f>
        <v>1995-04-06</v>
      </c>
      <c r="E1705" s="8" t="str">
        <f t="shared" si="891"/>
        <v>本科</v>
      </c>
      <c r="F1705" s="8" t="str">
        <f>"管理学学士"</f>
        <v>管理学学士</v>
      </c>
      <c r="G1705" s="8" t="str">
        <f>"工程管理"</f>
        <v>工程管理</v>
      </c>
      <c r="H1705" s="7" t="s">
        <v>10</v>
      </c>
    </row>
    <row r="1706" spans="1:8" ht="15" customHeight="1">
      <c r="A1706" s="5">
        <v>1704</v>
      </c>
      <c r="B1706" s="8" t="str">
        <f>"李壮荣"</f>
        <v>李壮荣</v>
      </c>
      <c r="C1706" s="8" t="str">
        <f t="shared" si="893"/>
        <v>男</v>
      </c>
      <c r="D1706" s="8" t="str">
        <f>"1999-10-03"</f>
        <v>1999-10-03</v>
      </c>
      <c r="E1706" s="8" t="str">
        <f t="shared" si="891"/>
        <v>本科</v>
      </c>
      <c r="F1706" s="8" t="str">
        <f>"学士"</f>
        <v>学士</v>
      </c>
      <c r="G1706" s="8" t="str">
        <f>"人文地理与城乡规划"</f>
        <v>人文地理与城乡规划</v>
      </c>
      <c r="H1706" s="7" t="s">
        <v>10</v>
      </c>
    </row>
    <row r="1707" spans="1:8" ht="15" customHeight="1">
      <c r="A1707" s="5">
        <v>1705</v>
      </c>
      <c r="B1707" s="8" t="str">
        <f>"陈本浩"</f>
        <v>陈本浩</v>
      </c>
      <c r="C1707" s="8" t="str">
        <f t="shared" si="893"/>
        <v>男</v>
      </c>
      <c r="D1707" s="8" t="str">
        <f>"1999-08-04"</f>
        <v>1999-08-04</v>
      </c>
      <c r="E1707" s="8" t="str">
        <f>"大学本科"</f>
        <v>大学本科</v>
      </c>
      <c r="F1707" s="8" t="str">
        <f aca="true" t="shared" si="894" ref="F1707:F1710">"工学学士"</f>
        <v>工学学士</v>
      </c>
      <c r="G1707" s="8" t="str">
        <f>"电气工程及其自动化"</f>
        <v>电气工程及其自动化</v>
      </c>
      <c r="H1707" s="7" t="s">
        <v>10</v>
      </c>
    </row>
    <row r="1708" spans="1:8" ht="15" customHeight="1">
      <c r="A1708" s="5">
        <v>1706</v>
      </c>
      <c r="B1708" s="8" t="str">
        <f>"纪雪荷"</f>
        <v>纪雪荷</v>
      </c>
      <c r="C1708" s="8" t="str">
        <f t="shared" si="892"/>
        <v>女</v>
      </c>
      <c r="D1708" s="8" t="str">
        <f>"1997-12-18"</f>
        <v>1997-12-18</v>
      </c>
      <c r="E1708" s="8" t="str">
        <f aca="true" t="shared" si="895" ref="E1708:E1714">"本科"</f>
        <v>本科</v>
      </c>
      <c r="F1708" s="8" t="str">
        <f>"无"</f>
        <v>无</v>
      </c>
      <c r="G1708" s="8" t="str">
        <f>"学前教育"</f>
        <v>学前教育</v>
      </c>
      <c r="H1708" s="7" t="s">
        <v>10</v>
      </c>
    </row>
    <row r="1709" spans="1:8" ht="15" customHeight="1">
      <c r="A1709" s="5">
        <v>1707</v>
      </c>
      <c r="B1709" s="8" t="str">
        <f>"王章浩"</f>
        <v>王章浩</v>
      </c>
      <c r="C1709" s="8" t="str">
        <f aca="true" t="shared" si="896" ref="C1709:C1720">"男"</f>
        <v>男</v>
      </c>
      <c r="D1709" s="8" t="str">
        <f>"1998-08-26"</f>
        <v>1998-08-26</v>
      </c>
      <c r="E1709" s="8" t="str">
        <f>"大学本科学历"</f>
        <v>大学本科学历</v>
      </c>
      <c r="F1709" s="8" t="str">
        <f t="shared" si="894"/>
        <v>工学学士</v>
      </c>
      <c r="G1709" s="8" t="str">
        <f>"道路桥梁与渡河工程"</f>
        <v>道路桥梁与渡河工程</v>
      </c>
      <c r="H1709" s="7" t="s">
        <v>10</v>
      </c>
    </row>
    <row r="1710" spans="1:8" ht="15" customHeight="1">
      <c r="A1710" s="5">
        <v>1708</v>
      </c>
      <c r="B1710" s="8" t="str">
        <f>"罗永发"</f>
        <v>罗永发</v>
      </c>
      <c r="C1710" s="8" t="str">
        <f t="shared" si="896"/>
        <v>男</v>
      </c>
      <c r="D1710" s="8" t="str">
        <f>"1996-08-05"</f>
        <v>1996-08-05</v>
      </c>
      <c r="E1710" s="8" t="str">
        <f>"大学本科"</f>
        <v>大学本科</v>
      </c>
      <c r="F1710" s="8" t="str">
        <f t="shared" si="894"/>
        <v>工学学士</v>
      </c>
      <c r="G1710" s="8" t="str">
        <f aca="true" t="shared" si="897" ref="G1710:G1713">"土木工程"</f>
        <v>土木工程</v>
      </c>
      <c r="H1710" s="7" t="s">
        <v>10</v>
      </c>
    </row>
    <row r="1711" spans="1:8" ht="15" customHeight="1">
      <c r="A1711" s="5">
        <v>1709</v>
      </c>
      <c r="B1711" s="8" t="str">
        <f>"姚禹先"</f>
        <v>姚禹先</v>
      </c>
      <c r="C1711" s="8" t="str">
        <f>"女"</f>
        <v>女</v>
      </c>
      <c r="D1711" s="8" t="str">
        <f>"2001-08-22"</f>
        <v>2001-08-22</v>
      </c>
      <c r="E1711" s="8" t="str">
        <f t="shared" si="895"/>
        <v>本科</v>
      </c>
      <c r="F1711" s="8" t="str">
        <f>"农学学位"</f>
        <v>农学学位</v>
      </c>
      <c r="G1711" s="8" t="str">
        <f>"风景园林"</f>
        <v>风景园林</v>
      </c>
      <c r="H1711" s="7" t="s">
        <v>10</v>
      </c>
    </row>
    <row r="1712" spans="1:8" ht="15" customHeight="1">
      <c r="A1712" s="5">
        <v>1710</v>
      </c>
      <c r="B1712" s="8" t="str">
        <f>"吉莉欣"</f>
        <v>吉莉欣</v>
      </c>
      <c r="C1712" s="8" t="str">
        <f>"女"</f>
        <v>女</v>
      </c>
      <c r="D1712" s="8" t="str">
        <f>"2001-07-15"</f>
        <v>2001-07-15</v>
      </c>
      <c r="E1712" s="8" t="str">
        <f t="shared" si="895"/>
        <v>本科</v>
      </c>
      <c r="F1712" s="8" t="str">
        <f>"无"</f>
        <v>无</v>
      </c>
      <c r="G1712" s="8" t="str">
        <f t="shared" si="897"/>
        <v>土木工程</v>
      </c>
      <c r="H1712" s="7" t="s">
        <v>10</v>
      </c>
    </row>
    <row r="1713" spans="1:8" ht="15" customHeight="1">
      <c r="A1713" s="5">
        <v>1711</v>
      </c>
      <c r="B1713" s="8" t="str">
        <f>"吉才鹰"</f>
        <v>吉才鹰</v>
      </c>
      <c r="C1713" s="8" t="str">
        <f t="shared" si="896"/>
        <v>男</v>
      </c>
      <c r="D1713" s="8" t="str">
        <f>"2000-08-24"</f>
        <v>2000-08-24</v>
      </c>
      <c r="E1713" s="8" t="str">
        <f t="shared" si="895"/>
        <v>本科</v>
      </c>
      <c r="F1713" s="8" t="str">
        <f>"学士"</f>
        <v>学士</v>
      </c>
      <c r="G1713" s="8" t="str">
        <f t="shared" si="897"/>
        <v>土木工程</v>
      </c>
      <c r="H1713" s="7" t="s">
        <v>10</v>
      </c>
    </row>
    <row r="1714" spans="1:8" ht="15" customHeight="1">
      <c r="A1714" s="5">
        <v>1712</v>
      </c>
      <c r="B1714" s="8" t="str">
        <f>"林魁翰"</f>
        <v>林魁翰</v>
      </c>
      <c r="C1714" s="8" t="str">
        <f t="shared" si="896"/>
        <v>男</v>
      </c>
      <c r="D1714" s="8" t="str">
        <f>"1993-07-02"</f>
        <v>1993-07-02</v>
      </c>
      <c r="E1714" s="8" t="str">
        <f t="shared" si="895"/>
        <v>本科</v>
      </c>
      <c r="F1714" s="8" t="str">
        <f>"学士学位"</f>
        <v>学士学位</v>
      </c>
      <c r="G1714" s="8" t="str">
        <f>"工资管理"</f>
        <v>工资管理</v>
      </c>
      <c r="H1714" s="7" t="s">
        <v>10</v>
      </c>
    </row>
    <row r="1715" spans="1:8" ht="15" customHeight="1">
      <c r="A1715" s="5">
        <v>1713</v>
      </c>
      <c r="B1715" s="8" t="str">
        <f>"符永盛"</f>
        <v>符永盛</v>
      </c>
      <c r="C1715" s="8" t="str">
        <f t="shared" si="896"/>
        <v>男</v>
      </c>
      <c r="D1715" s="8" t="str">
        <f>"1998-05-17"</f>
        <v>1998-05-17</v>
      </c>
      <c r="E1715" s="8" t="str">
        <f>"大学本科"</f>
        <v>大学本科</v>
      </c>
      <c r="F1715" s="8" t="str">
        <f>"艺术学学士"</f>
        <v>艺术学学士</v>
      </c>
      <c r="G1715" s="8" t="str">
        <f>"环境设计"</f>
        <v>环境设计</v>
      </c>
      <c r="H1715" s="7" t="s">
        <v>10</v>
      </c>
    </row>
    <row r="1716" spans="1:8" ht="15" customHeight="1">
      <c r="A1716" s="5">
        <v>1714</v>
      </c>
      <c r="B1716" s="8" t="str">
        <f>"林子杰"</f>
        <v>林子杰</v>
      </c>
      <c r="C1716" s="8" t="str">
        <f t="shared" si="896"/>
        <v>男</v>
      </c>
      <c r="D1716" s="8" t="str">
        <f>"1987-08-21"</f>
        <v>1987-08-21</v>
      </c>
      <c r="E1716" s="8" t="str">
        <f aca="true" t="shared" si="898" ref="E1716:E1720">"本科"</f>
        <v>本科</v>
      </c>
      <c r="F1716" s="8" t="str">
        <f aca="true" t="shared" si="899" ref="F1716:F1718">"工学学士"</f>
        <v>工学学士</v>
      </c>
      <c r="G1716" s="8" t="str">
        <f>"工业工程及工程管理学"</f>
        <v>工业工程及工程管理学</v>
      </c>
      <c r="H1716" s="7" t="s">
        <v>10</v>
      </c>
    </row>
    <row r="1717" spans="1:8" ht="15" customHeight="1">
      <c r="A1717" s="5">
        <v>1715</v>
      </c>
      <c r="B1717" s="8" t="str">
        <f>"纪定宁"</f>
        <v>纪定宁</v>
      </c>
      <c r="C1717" s="8" t="str">
        <f t="shared" si="896"/>
        <v>男</v>
      </c>
      <c r="D1717" s="8" t="str">
        <f>"2001-04-12"</f>
        <v>2001-04-12</v>
      </c>
      <c r="E1717" s="8" t="str">
        <f t="shared" si="898"/>
        <v>本科</v>
      </c>
      <c r="F1717" s="8" t="str">
        <f t="shared" si="899"/>
        <v>工学学士</v>
      </c>
      <c r="G1717" s="8" t="str">
        <f>"风景园林"</f>
        <v>风景园林</v>
      </c>
      <c r="H1717" s="7" t="s">
        <v>10</v>
      </c>
    </row>
    <row r="1718" spans="1:8" ht="15" customHeight="1">
      <c r="A1718" s="5">
        <v>1716</v>
      </c>
      <c r="B1718" s="8" t="str">
        <f>"甘祖栋"</f>
        <v>甘祖栋</v>
      </c>
      <c r="C1718" s="8" t="str">
        <f t="shared" si="896"/>
        <v>男</v>
      </c>
      <c r="D1718" s="8" t="str">
        <f>"1997-08-05"</f>
        <v>1997-08-05</v>
      </c>
      <c r="E1718" s="8" t="str">
        <f t="shared" si="898"/>
        <v>本科</v>
      </c>
      <c r="F1718" s="8" t="str">
        <f t="shared" si="899"/>
        <v>工学学士</v>
      </c>
      <c r="G1718" s="8" t="str">
        <f aca="true" t="shared" si="900" ref="G1718:G1722">"土木工程"</f>
        <v>土木工程</v>
      </c>
      <c r="H1718" s="7" t="s">
        <v>10</v>
      </c>
    </row>
    <row r="1719" spans="1:8" ht="15" customHeight="1">
      <c r="A1719" s="5">
        <v>1717</v>
      </c>
      <c r="B1719" s="8" t="str">
        <f>"周清锐"</f>
        <v>周清锐</v>
      </c>
      <c r="C1719" s="8" t="str">
        <f t="shared" si="896"/>
        <v>男</v>
      </c>
      <c r="D1719" s="8" t="str">
        <f>"2000-04-08"</f>
        <v>2000-04-08</v>
      </c>
      <c r="E1719" s="8" t="str">
        <f t="shared" si="898"/>
        <v>本科</v>
      </c>
      <c r="F1719" s="8" t="str">
        <f>"管理学学位"</f>
        <v>管理学学位</v>
      </c>
      <c r="G1719" s="8" t="str">
        <f>"工程造价"</f>
        <v>工程造价</v>
      </c>
      <c r="H1719" s="7" t="s">
        <v>10</v>
      </c>
    </row>
    <row r="1720" spans="1:8" ht="15" customHeight="1">
      <c r="A1720" s="5">
        <v>1718</v>
      </c>
      <c r="B1720" s="8" t="str">
        <f>"黄华冠"</f>
        <v>黄华冠</v>
      </c>
      <c r="C1720" s="8" t="str">
        <f t="shared" si="896"/>
        <v>男</v>
      </c>
      <c r="D1720" s="8" t="str">
        <f>"1997-12-18"</f>
        <v>1997-12-18</v>
      </c>
      <c r="E1720" s="8" t="str">
        <f t="shared" si="898"/>
        <v>本科</v>
      </c>
      <c r="F1720" s="8" t="str">
        <f aca="true" t="shared" si="901" ref="F1720:F1722">"工学学士"</f>
        <v>工学学士</v>
      </c>
      <c r="G1720" s="8" t="str">
        <f>"工程造价"</f>
        <v>工程造价</v>
      </c>
      <c r="H1720" s="7" t="s">
        <v>10</v>
      </c>
    </row>
    <row r="1721" spans="1:8" ht="15" customHeight="1">
      <c r="A1721" s="5">
        <v>1719</v>
      </c>
      <c r="B1721" s="8" t="str">
        <f>"叶才霞"</f>
        <v>叶才霞</v>
      </c>
      <c r="C1721" s="8" t="str">
        <f aca="true" t="shared" si="902" ref="C1721:C1726">"女"</f>
        <v>女</v>
      </c>
      <c r="D1721" s="8" t="str">
        <f>"1995-08-14"</f>
        <v>1995-08-14</v>
      </c>
      <c r="E1721" s="8" t="str">
        <f>"大学本科"</f>
        <v>大学本科</v>
      </c>
      <c r="F1721" s="8" t="str">
        <f t="shared" si="901"/>
        <v>工学学士</v>
      </c>
      <c r="G1721" s="8" t="str">
        <f t="shared" si="900"/>
        <v>土木工程</v>
      </c>
      <c r="H1721" s="7" t="s">
        <v>10</v>
      </c>
    </row>
    <row r="1722" spans="1:8" ht="15" customHeight="1">
      <c r="A1722" s="5">
        <v>1720</v>
      </c>
      <c r="B1722" s="8" t="str">
        <f>"施俊杉"</f>
        <v>施俊杉</v>
      </c>
      <c r="C1722" s="8" t="str">
        <f aca="true" t="shared" si="903" ref="C1722:C1724">"男"</f>
        <v>男</v>
      </c>
      <c r="D1722" s="8" t="str">
        <f>"1997-12-26"</f>
        <v>1997-12-26</v>
      </c>
      <c r="E1722" s="8" t="str">
        <f>"大学本科学历"</f>
        <v>大学本科学历</v>
      </c>
      <c r="F1722" s="8" t="str">
        <f t="shared" si="901"/>
        <v>工学学士</v>
      </c>
      <c r="G1722" s="8" t="str">
        <f t="shared" si="900"/>
        <v>土木工程</v>
      </c>
      <c r="H1722" s="7" t="s">
        <v>10</v>
      </c>
    </row>
    <row r="1723" spans="1:8" ht="15" customHeight="1">
      <c r="A1723" s="5">
        <v>1721</v>
      </c>
      <c r="B1723" s="8" t="str">
        <f>"鬲熙"</f>
        <v>鬲熙</v>
      </c>
      <c r="C1723" s="8" t="str">
        <f t="shared" si="903"/>
        <v>男</v>
      </c>
      <c r="D1723" s="8" t="str">
        <f>"1998-05-22"</f>
        <v>1998-05-22</v>
      </c>
      <c r="E1723" s="8" t="str">
        <f aca="true" t="shared" si="904" ref="E1723:E1730">"本科"</f>
        <v>本科</v>
      </c>
      <c r="F1723" s="8" t="str">
        <f>"无"</f>
        <v>无</v>
      </c>
      <c r="G1723" s="8" t="str">
        <f>"交通土建"</f>
        <v>交通土建</v>
      </c>
      <c r="H1723" s="7" t="s">
        <v>10</v>
      </c>
    </row>
    <row r="1724" spans="1:8" ht="15" customHeight="1">
      <c r="A1724" s="5">
        <v>1722</v>
      </c>
      <c r="B1724" s="8" t="str">
        <f>"蔡仁意"</f>
        <v>蔡仁意</v>
      </c>
      <c r="C1724" s="8" t="str">
        <f t="shared" si="903"/>
        <v>男</v>
      </c>
      <c r="D1724" s="8" t="str">
        <f>"2000-12-06"</f>
        <v>2000-12-06</v>
      </c>
      <c r="E1724" s="8" t="str">
        <f t="shared" si="904"/>
        <v>本科</v>
      </c>
      <c r="F1724" s="8" t="str">
        <f aca="true" t="shared" si="905" ref="F1724:F1727">"工学学士"</f>
        <v>工学学士</v>
      </c>
      <c r="G1724" s="8" t="str">
        <f>"工程管理"</f>
        <v>工程管理</v>
      </c>
      <c r="H1724" s="7" t="s">
        <v>10</v>
      </c>
    </row>
    <row r="1725" spans="1:8" ht="15" customHeight="1">
      <c r="A1725" s="5">
        <v>1723</v>
      </c>
      <c r="B1725" s="8" t="str">
        <f>"吴欣影"</f>
        <v>吴欣影</v>
      </c>
      <c r="C1725" s="8" t="str">
        <f t="shared" si="902"/>
        <v>女</v>
      </c>
      <c r="D1725" s="8" t="str">
        <f>"1994-07-19"</f>
        <v>1994-07-19</v>
      </c>
      <c r="E1725" s="8" t="str">
        <f t="shared" si="904"/>
        <v>本科</v>
      </c>
      <c r="F1725" s="8" t="str">
        <f>"学士学位"</f>
        <v>学士学位</v>
      </c>
      <c r="G1725" s="8" t="str">
        <f aca="true" t="shared" si="906" ref="G1725:G1727">"建筑学"</f>
        <v>建筑学</v>
      </c>
      <c r="H1725" s="7" t="s">
        <v>10</v>
      </c>
    </row>
    <row r="1726" spans="1:8" ht="15" customHeight="1">
      <c r="A1726" s="5">
        <v>1724</v>
      </c>
      <c r="B1726" s="8" t="str">
        <f>"唐可莉"</f>
        <v>唐可莉</v>
      </c>
      <c r="C1726" s="8" t="str">
        <f t="shared" si="902"/>
        <v>女</v>
      </c>
      <c r="D1726" s="8" t="str">
        <f>"1990-04-29"</f>
        <v>1990-04-29</v>
      </c>
      <c r="E1726" s="8" t="str">
        <f t="shared" si="904"/>
        <v>本科</v>
      </c>
      <c r="F1726" s="8" t="str">
        <f t="shared" si="905"/>
        <v>工学学士</v>
      </c>
      <c r="G1726" s="8" t="str">
        <f t="shared" si="906"/>
        <v>建筑学</v>
      </c>
      <c r="H1726" s="7" t="s">
        <v>10</v>
      </c>
    </row>
    <row r="1727" spans="1:8" ht="15" customHeight="1">
      <c r="A1727" s="5">
        <v>1725</v>
      </c>
      <c r="B1727" s="8" t="str">
        <f>"乜永宝"</f>
        <v>乜永宝</v>
      </c>
      <c r="C1727" s="8" t="str">
        <f aca="true" t="shared" si="907" ref="C1727:C1739">"男"</f>
        <v>男</v>
      </c>
      <c r="D1727" s="8" t="str">
        <f>"1998-03-15"</f>
        <v>1998-03-15</v>
      </c>
      <c r="E1727" s="8" t="str">
        <f t="shared" si="904"/>
        <v>本科</v>
      </c>
      <c r="F1727" s="8" t="str">
        <f t="shared" si="905"/>
        <v>工学学士</v>
      </c>
      <c r="G1727" s="8" t="str">
        <f t="shared" si="906"/>
        <v>建筑学</v>
      </c>
      <c r="H1727" s="7" t="s">
        <v>10</v>
      </c>
    </row>
    <row r="1728" spans="1:8" ht="15" customHeight="1">
      <c r="A1728" s="5">
        <v>1726</v>
      </c>
      <c r="B1728" s="8" t="str">
        <f>"蒙丹"</f>
        <v>蒙丹</v>
      </c>
      <c r="C1728" s="8" t="str">
        <f>"女"</f>
        <v>女</v>
      </c>
      <c r="D1728" s="8" t="str">
        <f>"2000-04-09"</f>
        <v>2000-04-09</v>
      </c>
      <c r="E1728" s="8" t="str">
        <f t="shared" si="904"/>
        <v>本科</v>
      </c>
      <c r="F1728" s="8" t="str">
        <f>"工科学士"</f>
        <v>工科学士</v>
      </c>
      <c r="G1728" s="8" t="str">
        <f>"风景园林"</f>
        <v>风景园林</v>
      </c>
      <c r="H1728" s="7" t="s">
        <v>10</v>
      </c>
    </row>
    <row r="1729" spans="1:8" ht="15" customHeight="1">
      <c r="A1729" s="5">
        <v>1727</v>
      </c>
      <c r="B1729" s="8" t="str">
        <f>"李岳霖"</f>
        <v>李岳霖</v>
      </c>
      <c r="C1729" s="8" t="str">
        <f t="shared" si="907"/>
        <v>男</v>
      </c>
      <c r="D1729" s="8" t="str">
        <f>"1998-05-10"</f>
        <v>1998-05-10</v>
      </c>
      <c r="E1729" s="8" t="str">
        <f t="shared" si="904"/>
        <v>本科</v>
      </c>
      <c r="F1729" s="8" t="str">
        <f>"工学学士学位"</f>
        <v>工学学士学位</v>
      </c>
      <c r="G1729" s="8" t="str">
        <f>"工程造价"</f>
        <v>工程造价</v>
      </c>
      <c r="H1729" s="7" t="s">
        <v>10</v>
      </c>
    </row>
    <row r="1730" spans="1:8" ht="15" customHeight="1">
      <c r="A1730" s="5">
        <v>1728</v>
      </c>
      <c r="B1730" s="8" t="str">
        <f>"李海珠"</f>
        <v>李海珠</v>
      </c>
      <c r="C1730" s="8" t="str">
        <f>"女"</f>
        <v>女</v>
      </c>
      <c r="D1730" s="8" t="str">
        <f>"1997-08-28"</f>
        <v>1997-08-28</v>
      </c>
      <c r="E1730" s="8" t="str">
        <f t="shared" si="904"/>
        <v>本科</v>
      </c>
      <c r="F1730" s="8" t="str">
        <f aca="true" t="shared" si="908" ref="F1730:F1738">"工学学士"</f>
        <v>工学学士</v>
      </c>
      <c r="G1730" s="8" t="str">
        <f>"风景园林（园林工程技术方向）"</f>
        <v>风景园林（园林工程技术方向）</v>
      </c>
      <c r="H1730" s="7" t="s">
        <v>10</v>
      </c>
    </row>
    <row r="1731" spans="1:8" ht="15" customHeight="1">
      <c r="A1731" s="5">
        <v>1729</v>
      </c>
      <c r="B1731" s="8" t="str">
        <f>"郭名尧"</f>
        <v>郭名尧</v>
      </c>
      <c r="C1731" s="8" t="str">
        <f t="shared" si="907"/>
        <v>男</v>
      </c>
      <c r="D1731" s="8" t="str">
        <f>"1997-07-07"</f>
        <v>1997-07-07</v>
      </c>
      <c r="E1731" s="8" t="str">
        <f>"大学本科"</f>
        <v>大学本科</v>
      </c>
      <c r="F1731" s="8" t="str">
        <f>"工学学士学位"</f>
        <v>工学学士学位</v>
      </c>
      <c r="G1731" s="8" t="str">
        <f>"土木工程"</f>
        <v>土木工程</v>
      </c>
      <c r="H1731" s="7" t="s">
        <v>10</v>
      </c>
    </row>
    <row r="1732" spans="1:8" ht="15" customHeight="1">
      <c r="A1732" s="5">
        <v>1730</v>
      </c>
      <c r="B1732" s="8" t="str">
        <f>"符育杰"</f>
        <v>符育杰</v>
      </c>
      <c r="C1732" s="8" t="str">
        <f t="shared" si="907"/>
        <v>男</v>
      </c>
      <c r="D1732" s="8" t="str">
        <f>"1996-12-19"</f>
        <v>1996-12-19</v>
      </c>
      <c r="E1732" s="8" t="str">
        <f aca="true" t="shared" si="909" ref="E1732:E1734">"本科"</f>
        <v>本科</v>
      </c>
      <c r="F1732" s="8" t="str">
        <f>"理学学士"</f>
        <v>理学学士</v>
      </c>
      <c r="G1732" s="8" t="str">
        <f>"海洋科学"</f>
        <v>海洋科学</v>
      </c>
      <c r="H1732" s="7" t="s">
        <v>10</v>
      </c>
    </row>
    <row r="1733" spans="1:8" ht="15" customHeight="1">
      <c r="A1733" s="5">
        <v>1731</v>
      </c>
      <c r="B1733" s="8" t="str">
        <f>"卢运运"</f>
        <v>卢运运</v>
      </c>
      <c r="C1733" s="8" t="str">
        <f t="shared" si="907"/>
        <v>男</v>
      </c>
      <c r="D1733" s="8" t="str">
        <f>"1991-10-20"</f>
        <v>1991-10-20</v>
      </c>
      <c r="E1733" s="8" t="str">
        <f t="shared" si="909"/>
        <v>本科</v>
      </c>
      <c r="F1733" s="8" t="str">
        <f>"学士"</f>
        <v>学士</v>
      </c>
      <c r="G1733" s="8" t="str">
        <f aca="true" t="shared" si="910" ref="G1733:G1738">"交通工程"</f>
        <v>交通工程</v>
      </c>
      <c r="H1733" s="7" t="s">
        <v>10</v>
      </c>
    </row>
    <row r="1734" spans="1:8" ht="15" customHeight="1">
      <c r="A1734" s="5">
        <v>1732</v>
      </c>
      <c r="B1734" s="8" t="str">
        <f>"黄祥鹏"</f>
        <v>黄祥鹏</v>
      </c>
      <c r="C1734" s="8" t="str">
        <f t="shared" si="907"/>
        <v>男</v>
      </c>
      <c r="D1734" s="8" t="str">
        <f>"1997-07-11"</f>
        <v>1997-07-11</v>
      </c>
      <c r="E1734" s="8" t="str">
        <f t="shared" si="909"/>
        <v>本科</v>
      </c>
      <c r="F1734" s="8" t="str">
        <f t="shared" si="908"/>
        <v>工学学士</v>
      </c>
      <c r="G1734" s="8" t="str">
        <f t="shared" si="910"/>
        <v>交通工程</v>
      </c>
      <c r="H1734" s="7" t="s">
        <v>10</v>
      </c>
    </row>
    <row r="1735" spans="1:8" ht="15" customHeight="1">
      <c r="A1735" s="5">
        <v>1733</v>
      </c>
      <c r="B1735" s="8" t="str">
        <f>"张译元"</f>
        <v>张译元</v>
      </c>
      <c r="C1735" s="8" t="str">
        <f t="shared" si="907"/>
        <v>男</v>
      </c>
      <c r="D1735" s="8" t="str">
        <f>"1993-10-11"</f>
        <v>1993-10-11</v>
      </c>
      <c r="E1735" s="8" t="str">
        <f aca="true" t="shared" si="911" ref="E1735:E1739">"大学本科"</f>
        <v>大学本科</v>
      </c>
      <c r="F1735" s="8" t="str">
        <f t="shared" si="908"/>
        <v>工学学士</v>
      </c>
      <c r="G1735" s="8" t="str">
        <f>"能源与动力工程（建筑环境与设备工程方向）"</f>
        <v>能源与动力工程（建筑环境与设备工程方向）</v>
      </c>
      <c r="H1735" s="7" t="s">
        <v>10</v>
      </c>
    </row>
    <row r="1736" spans="1:8" ht="15" customHeight="1">
      <c r="A1736" s="5">
        <v>1734</v>
      </c>
      <c r="B1736" s="8" t="str">
        <f>"邢维源"</f>
        <v>邢维源</v>
      </c>
      <c r="C1736" s="8" t="str">
        <f t="shared" si="907"/>
        <v>男</v>
      </c>
      <c r="D1736" s="8" t="str">
        <f>"1994-10-24"</f>
        <v>1994-10-24</v>
      </c>
      <c r="E1736" s="8" t="str">
        <f aca="true" t="shared" si="912" ref="E1736:E1742">"本科"</f>
        <v>本科</v>
      </c>
      <c r="F1736" s="8" t="str">
        <f t="shared" si="908"/>
        <v>工学学士</v>
      </c>
      <c r="G1736" s="8" t="str">
        <f>"测绘工程"</f>
        <v>测绘工程</v>
      </c>
      <c r="H1736" s="7" t="s">
        <v>10</v>
      </c>
    </row>
    <row r="1737" spans="1:8" ht="15" customHeight="1">
      <c r="A1737" s="5">
        <v>1735</v>
      </c>
      <c r="B1737" s="8" t="str">
        <f>"赵瑞丰"</f>
        <v>赵瑞丰</v>
      </c>
      <c r="C1737" s="8" t="str">
        <f t="shared" si="907"/>
        <v>男</v>
      </c>
      <c r="D1737" s="8" t="str">
        <f>"1998-09-29"</f>
        <v>1998-09-29</v>
      </c>
      <c r="E1737" s="8" t="str">
        <f t="shared" si="912"/>
        <v>本科</v>
      </c>
      <c r="F1737" s="8" t="str">
        <f t="shared" si="908"/>
        <v>工学学士</v>
      </c>
      <c r="G1737" s="8" t="str">
        <f>"道路桥梁与渡河工程"</f>
        <v>道路桥梁与渡河工程</v>
      </c>
      <c r="H1737" s="7" t="s">
        <v>10</v>
      </c>
    </row>
    <row r="1738" spans="1:8" ht="15" customHeight="1">
      <c r="A1738" s="5">
        <v>1736</v>
      </c>
      <c r="B1738" s="8" t="str">
        <f>"刘金荣"</f>
        <v>刘金荣</v>
      </c>
      <c r="C1738" s="8" t="str">
        <f t="shared" si="907"/>
        <v>男</v>
      </c>
      <c r="D1738" s="8" t="str">
        <f>"1996-08-03"</f>
        <v>1996-08-03</v>
      </c>
      <c r="E1738" s="8" t="str">
        <f t="shared" si="911"/>
        <v>大学本科</v>
      </c>
      <c r="F1738" s="8" t="str">
        <f t="shared" si="908"/>
        <v>工学学士</v>
      </c>
      <c r="G1738" s="8" t="str">
        <f t="shared" si="910"/>
        <v>交通工程</v>
      </c>
      <c r="H1738" s="7" t="s">
        <v>10</v>
      </c>
    </row>
    <row r="1739" spans="1:8" ht="15" customHeight="1">
      <c r="A1739" s="5">
        <v>1737</v>
      </c>
      <c r="B1739" s="8" t="str">
        <f>"邓昌泽"</f>
        <v>邓昌泽</v>
      </c>
      <c r="C1739" s="8" t="str">
        <f t="shared" si="907"/>
        <v>男</v>
      </c>
      <c r="D1739" s="8" t="str">
        <f>"1987-08-17"</f>
        <v>1987-08-17</v>
      </c>
      <c r="E1739" s="8" t="str">
        <f t="shared" si="911"/>
        <v>大学本科</v>
      </c>
      <c r="F1739" s="8" t="str">
        <f>"无"</f>
        <v>无</v>
      </c>
      <c r="G1739" s="8" t="str">
        <f>"土木工程"</f>
        <v>土木工程</v>
      </c>
      <c r="H1739" s="7" t="s">
        <v>10</v>
      </c>
    </row>
    <row r="1740" spans="1:8" ht="15" customHeight="1">
      <c r="A1740" s="5">
        <v>1738</v>
      </c>
      <c r="B1740" s="8" t="str">
        <f>"骈心悦"</f>
        <v>骈心悦</v>
      </c>
      <c r="C1740" s="8" t="str">
        <f>"女"</f>
        <v>女</v>
      </c>
      <c r="D1740" s="8" t="str">
        <f>"1998-07-14"</f>
        <v>1998-07-14</v>
      </c>
      <c r="E1740" s="8" t="str">
        <f>"全日制本科"</f>
        <v>全日制本科</v>
      </c>
      <c r="F1740" s="8" t="str">
        <f aca="true" t="shared" si="913" ref="F1740:F1744">"工学学士"</f>
        <v>工学学士</v>
      </c>
      <c r="G1740" s="8" t="str">
        <f>"海洋工程与技术"</f>
        <v>海洋工程与技术</v>
      </c>
      <c r="H1740" s="7" t="s">
        <v>10</v>
      </c>
    </row>
    <row r="1741" spans="1:8" ht="15" customHeight="1">
      <c r="A1741" s="5">
        <v>1739</v>
      </c>
      <c r="B1741" s="8" t="str">
        <f>"王贻森"</f>
        <v>王贻森</v>
      </c>
      <c r="C1741" s="8" t="str">
        <f aca="true" t="shared" si="914" ref="C1741:C1759">"男"</f>
        <v>男</v>
      </c>
      <c r="D1741" s="8" t="str">
        <f>"2000-04-08"</f>
        <v>2000-04-08</v>
      </c>
      <c r="E1741" s="8" t="str">
        <f t="shared" si="912"/>
        <v>本科</v>
      </c>
      <c r="F1741" s="8" t="str">
        <f t="shared" si="913"/>
        <v>工学学士</v>
      </c>
      <c r="G1741" s="8" t="str">
        <f>"交通设备与控制工程专业"</f>
        <v>交通设备与控制工程专业</v>
      </c>
      <c r="H1741" s="7" t="s">
        <v>10</v>
      </c>
    </row>
    <row r="1742" spans="1:8" ht="15" customHeight="1">
      <c r="A1742" s="5">
        <v>1740</v>
      </c>
      <c r="B1742" s="8" t="str">
        <f>"金仕倩"</f>
        <v>金仕倩</v>
      </c>
      <c r="C1742" s="8" t="str">
        <f>"女"</f>
        <v>女</v>
      </c>
      <c r="D1742" s="8" t="str">
        <f>"2000-04-26"</f>
        <v>2000-04-26</v>
      </c>
      <c r="E1742" s="8" t="str">
        <f t="shared" si="912"/>
        <v>本科</v>
      </c>
      <c r="F1742" s="8" t="str">
        <f t="shared" si="913"/>
        <v>工学学士</v>
      </c>
      <c r="G1742" s="8" t="str">
        <f>"土木工程"</f>
        <v>土木工程</v>
      </c>
      <c r="H1742" s="7" t="s">
        <v>10</v>
      </c>
    </row>
    <row r="1743" spans="1:8" ht="15" customHeight="1">
      <c r="A1743" s="5">
        <v>1741</v>
      </c>
      <c r="B1743" s="8" t="str">
        <f>"吉训鑫"</f>
        <v>吉训鑫</v>
      </c>
      <c r="C1743" s="8" t="str">
        <f t="shared" si="914"/>
        <v>男</v>
      </c>
      <c r="D1743" s="8" t="str">
        <f>"1998-06-15"</f>
        <v>1998-06-15</v>
      </c>
      <c r="E1743" s="8" t="str">
        <f>"大学本科"</f>
        <v>大学本科</v>
      </c>
      <c r="F1743" s="8" t="str">
        <f t="shared" si="913"/>
        <v>工学学士</v>
      </c>
      <c r="G1743" s="8" t="str">
        <f>"交通工程"</f>
        <v>交通工程</v>
      </c>
      <c r="H1743" s="7" t="s">
        <v>10</v>
      </c>
    </row>
    <row r="1744" spans="1:8" ht="15" customHeight="1">
      <c r="A1744" s="5">
        <v>1742</v>
      </c>
      <c r="B1744" s="8" t="str">
        <f>"陈才仲"</f>
        <v>陈才仲</v>
      </c>
      <c r="C1744" s="8" t="str">
        <f t="shared" si="914"/>
        <v>男</v>
      </c>
      <c r="D1744" s="8" t="str">
        <f>"2001-06-05"</f>
        <v>2001-06-05</v>
      </c>
      <c r="E1744" s="8" t="str">
        <f aca="true" t="shared" si="915" ref="E1744:E1749">"本科"</f>
        <v>本科</v>
      </c>
      <c r="F1744" s="8" t="str">
        <f t="shared" si="913"/>
        <v>工学学士</v>
      </c>
      <c r="G1744" s="8" t="str">
        <f>"交通工程"</f>
        <v>交通工程</v>
      </c>
      <c r="H1744" s="7" t="s">
        <v>10</v>
      </c>
    </row>
    <row r="1745" spans="1:8" ht="15" customHeight="1">
      <c r="A1745" s="5">
        <v>1743</v>
      </c>
      <c r="B1745" s="8" t="str">
        <f>"刘俊儒"</f>
        <v>刘俊儒</v>
      </c>
      <c r="C1745" s="8" t="str">
        <f t="shared" si="914"/>
        <v>男</v>
      </c>
      <c r="D1745" s="8" t="str">
        <f>"1995-02-12"</f>
        <v>1995-02-12</v>
      </c>
      <c r="E1745" s="8" t="str">
        <f t="shared" si="915"/>
        <v>本科</v>
      </c>
      <c r="F1745" s="8" t="str">
        <f>"无"</f>
        <v>无</v>
      </c>
      <c r="G1745" s="8" t="str">
        <f>"水利与港航工程"</f>
        <v>水利与港航工程</v>
      </c>
      <c r="H1745" s="7" t="s">
        <v>10</v>
      </c>
    </row>
    <row r="1746" spans="1:8" ht="15" customHeight="1">
      <c r="A1746" s="5">
        <v>1744</v>
      </c>
      <c r="B1746" s="8" t="str">
        <f>"李美衍"</f>
        <v>李美衍</v>
      </c>
      <c r="C1746" s="8" t="str">
        <f t="shared" si="914"/>
        <v>男</v>
      </c>
      <c r="D1746" s="8" t="str">
        <f>"1995-04-11"</f>
        <v>1995-04-11</v>
      </c>
      <c r="E1746" s="8" t="str">
        <f>"大学本科"</f>
        <v>大学本科</v>
      </c>
      <c r="F1746" s="8" t="str">
        <f aca="true" t="shared" si="916" ref="F1746:F1753">"工学学士"</f>
        <v>工学学士</v>
      </c>
      <c r="G1746" s="8" t="str">
        <f>"交通工程（规划与管理）"</f>
        <v>交通工程（规划与管理）</v>
      </c>
      <c r="H1746" s="7" t="s">
        <v>10</v>
      </c>
    </row>
    <row r="1747" spans="1:8" ht="15" customHeight="1">
      <c r="A1747" s="5">
        <v>1745</v>
      </c>
      <c r="B1747" s="8" t="str">
        <f>"梁平才"</f>
        <v>梁平才</v>
      </c>
      <c r="C1747" s="8" t="str">
        <f t="shared" si="914"/>
        <v>男</v>
      </c>
      <c r="D1747" s="8" t="str">
        <f>"1992-05-28"</f>
        <v>1992-05-28</v>
      </c>
      <c r="E1747" s="8" t="str">
        <f t="shared" si="915"/>
        <v>本科</v>
      </c>
      <c r="F1747" s="8" t="str">
        <f>"无"</f>
        <v>无</v>
      </c>
      <c r="G1747" s="8" t="str">
        <f>"土木工程"</f>
        <v>土木工程</v>
      </c>
      <c r="H1747" s="7" t="s">
        <v>10</v>
      </c>
    </row>
    <row r="1748" spans="1:8" ht="15" customHeight="1">
      <c r="A1748" s="5">
        <v>1746</v>
      </c>
      <c r="B1748" s="8" t="str">
        <f>"孙传典"</f>
        <v>孙传典</v>
      </c>
      <c r="C1748" s="8" t="str">
        <f t="shared" si="914"/>
        <v>男</v>
      </c>
      <c r="D1748" s="8" t="str">
        <f>"2000-11-16"</f>
        <v>2000-11-16</v>
      </c>
      <c r="E1748" s="8" t="str">
        <f t="shared" si="915"/>
        <v>本科</v>
      </c>
      <c r="F1748" s="8" t="str">
        <f>"学士"</f>
        <v>学士</v>
      </c>
      <c r="G1748" s="8" t="str">
        <f>"土木工程（道路工程）"</f>
        <v>土木工程（道路工程）</v>
      </c>
      <c r="H1748" s="7" t="s">
        <v>10</v>
      </c>
    </row>
    <row r="1749" spans="1:8" ht="15" customHeight="1">
      <c r="A1749" s="5">
        <v>1747</v>
      </c>
      <c r="B1749" s="8" t="str">
        <f>"林鸿文"</f>
        <v>林鸿文</v>
      </c>
      <c r="C1749" s="8" t="str">
        <f t="shared" si="914"/>
        <v>男</v>
      </c>
      <c r="D1749" s="8" t="str">
        <f>"1995-04-10"</f>
        <v>1995-04-10</v>
      </c>
      <c r="E1749" s="8" t="str">
        <f t="shared" si="915"/>
        <v>本科</v>
      </c>
      <c r="F1749" s="8" t="str">
        <f t="shared" si="916"/>
        <v>工学学士</v>
      </c>
      <c r="G1749" s="8" t="str">
        <f>"道路桥梁与渡河工程"</f>
        <v>道路桥梁与渡河工程</v>
      </c>
      <c r="H1749" s="7" t="s">
        <v>10</v>
      </c>
    </row>
    <row r="1750" spans="1:8" ht="15" customHeight="1">
      <c r="A1750" s="5">
        <v>1748</v>
      </c>
      <c r="B1750" s="8" t="str">
        <f>"王彬吉"</f>
        <v>王彬吉</v>
      </c>
      <c r="C1750" s="8" t="str">
        <f t="shared" si="914"/>
        <v>男</v>
      </c>
      <c r="D1750" s="8" t="str">
        <f>"2001-01-19"</f>
        <v>2001-01-19</v>
      </c>
      <c r="E1750" s="8" t="str">
        <f aca="true" t="shared" si="917" ref="E1750:E1755">"大学本科学历"</f>
        <v>大学本科学历</v>
      </c>
      <c r="F1750" s="8" t="str">
        <f t="shared" si="916"/>
        <v>工学学士</v>
      </c>
      <c r="G1750" s="8" t="str">
        <f>"交通工程"</f>
        <v>交通工程</v>
      </c>
      <c r="H1750" s="7" t="s">
        <v>10</v>
      </c>
    </row>
    <row r="1751" spans="1:8" ht="15" customHeight="1">
      <c r="A1751" s="5">
        <v>1749</v>
      </c>
      <c r="B1751" s="8" t="str">
        <f>"王阳孚"</f>
        <v>王阳孚</v>
      </c>
      <c r="C1751" s="8" t="str">
        <f t="shared" si="914"/>
        <v>男</v>
      </c>
      <c r="D1751" s="8" t="str">
        <f>"1995-10-15"</f>
        <v>1995-10-15</v>
      </c>
      <c r="E1751" s="8" t="str">
        <f>"本科"</f>
        <v>本科</v>
      </c>
      <c r="F1751" s="8" t="str">
        <f t="shared" si="916"/>
        <v>工学学士</v>
      </c>
      <c r="G1751" s="8" t="str">
        <f>"道路桥梁与渡河工程（桥梁方向）"</f>
        <v>道路桥梁与渡河工程（桥梁方向）</v>
      </c>
      <c r="H1751" s="7" t="s">
        <v>10</v>
      </c>
    </row>
    <row r="1752" spans="1:8" ht="15" customHeight="1">
      <c r="A1752" s="5">
        <v>1750</v>
      </c>
      <c r="B1752" s="8" t="str">
        <f>"何政"</f>
        <v>何政</v>
      </c>
      <c r="C1752" s="8" t="str">
        <f t="shared" si="914"/>
        <v>男</v>
      </c>
      <c r="D1752" s="8" t="str">
        <f>"1997-08-06"</f>
        <v>1997-08-06</v>
      </c>
      <c r="E1752" s="8" t="str">
        <f t="shared" si="917"/>
        <v>大学本科学历</v>
      </c>
      <c r="F1752" s="8" t="str">
        <f t="shared" si="916"/>
        <v>工学学士</v>
      </c>
      <c r="G1752" s="8" t="str">
        <f>"水利水电工程"</f>
        <v>水利水电工程</v>
      </c>
      <c r="H1752" s="7" t="s">
        <v>10</v>
      </c>
    </row>
    <row r="1753" spans="1:8" ht="15" customHeight="1">
      <c r="A1753" s="5">
        <v>1751</v>
      </c>
      <c r="B1753" s="8" t="str">
        <f>"谢利泽"</f>
        <v>谢利泽</v>
      </c>
      <c r="C1753" s="8" t="str">
        <f t="shared" si="914"/>
        <v>男</v>
      </c>
      <c r="D1753" s="8" t="str">
        <f>"1996-02-13"</f>
        <v>1996-02-13</v>
      </c>
      <c r="E1753" s="8" t="str">
        <f aca="true" t="shared" si="918" ref="E1753:E1759">"本科"</f>
        <v>本科</v>
      </c>
      <c r="F1753" s="8" t="str">
        <f t="shared" si="916"/>
        <v>工学学士</v>
      </c>
      <c r="G1753" s="8" t="str">
        <f aca="true" t="shared" si="919" ref="G1753:G1758">"土木工程"</f>
        <v>土木工程</v>
      </c>
      <c r="H1753" s="7" t="s">
        <v>10</v>
      </c>
    </row>
    <row r="1754" spans="1:8" ht="15" customHeight="1">
      <c r="A1754" s="5">
        <v>1752</v>
      </c>
      <c r="B1754" s="8" t="str">
        <f>"王运剑"</f>
        <v>王运剑</v>
      </c>
      <c r="C1754" s="8" t="str">
        <f t="shared" si="914"/>
        <v>男</v>
      </c>
      <c r="D1754" s="8" t="str">
        <f>"1999-10-06"</f>
        <v>1999-10-06</v>
      </c>
      <c r="E1754" s="8" t="str">
        <f>"专科"</f>
        <v>专科</v>
      </c>
      <c r="F1754" s="8" t="str">
        <f>"无"</f>
        <v>无</v>
      </c>
      <c r="G1754" s="8" t="str">
        <f>"畜牧兽医"</f>
        <v>畜牧兽医</v>
      </c>
      <c r="H1754" s="7" t="s">
        <v>10</v>
      </c>
    </row>
    <row r="1755" spans="1:8" ht="15" customHeight="1">
      <c r="A1755" s="5">
        <v>1753</v>
      </c>
      <c r="B1755" s="8" t="str">
        <f>"符大欢"</f>
        <v>符大欢</v>
      </c>
      <c r="C1755" s="8" t="str">
        <f t="shared" si="914"/>
        <v>男</v>
      </c>
      <c r="D1755" s="8" t="str">
        <f>"1995-06-18"</f>
        <v>1995-06-18</v>
      </c>
      <c r="E1755" s="8" t="str">
        <f t="shared" si="917"/>
        <v>大学本科学历</v>
      </c>
      <c r="F1755" s="8" t="str">
        <f aca="true" t="shared" si="920" ref="F1755:F1757">"工学学士"</f>
        <v>工学学士</v>
      </c>
      <c r="G1755" s="8" t="str">
        <f>"道路与桥梁工程"</f>
        <v>道路与桥梁工程</v>
      </c>
      <c r="H1755" s="7" t="s">
        <v>10</v>
      </c>
    </row>
    <row r="1756" spans="1:8" ht="15" customHeight="1">
      <c r="A1756" s="5">
        <v>1754</v>
      </c>
      <c r="B1756" s="8" t="str">
        <f>"陈泰洋"</f>
        <v>陈泰洋</v>
      </c>
      <c r="C1756" s="8" t="str">
        <f t="shared" si="914"/>
        <v>男</v>
      </c>
      <c r="D1756" s="8" t="str">
        <f>"1998-10-25"</f>
        <v>1998-10-25</v>
      </c>
      <c r="E1756" s="8" t="str">
        <f>"大学本科"</f>
        <v>大学本科</v>
      </c>
      <c r="F1756" s="8" t="str">
        <f t="shared" si="920"/>
        <v>工学学士</v>
      </c>
      <c r="G1756" s="8" t="str">
        <f t="shared" si="919"/>
        <v>土木工程</v>
      </c>
      <c r="H1756" s="7" t="s">
        <v>10</v>
      </c>
    </row>
    <row r="1757" spans="1:8" ht="15" customHeight="1">
      <c r="A1757" s="5">
        <v>1755</v>
      </c>
      <c r="B1757" s="8" t="str">
        <f>"陈志明"</f>
        <v>陈志明</v>
      </c>
      <c r="C1757" s="8" t="str">
        <f t="shared" si="914"/>
        <v>男</v>
      </c>
      <c r="D1757" s="8" t="str">
        <f>"1993-08-10"</f>
        <v>1993-08-10</v>
      </c>
      <c r="E1757" s="8" t="str">
        <f t="shared" si="918"/>
        <v>本科</v>
      </c>
      <c r="F1757" s="8" t="str">
        <f t="shared" si="920"/>
        <v>工学学士</v>
      </c>
      <c r="G1757" s="8" t="str">
        <f t="shared" si="919"/>
        <v>土木工程</v>
      </c>
      <c r="H1757" s="7" t="s">
        <v>10</v>
      </c>
    </row>
    <row r="1758" spans="1:8" ht="15" customHeight="1">
      <c r="A1758" s="5">
        <v>1756</v>
      </c>
      <c r="B1758" s="8" t="str">
        <f>"零海曼"</f>
        <v>零海曼</v>
      </c>
      <c r="C1758" s="8" t="str">
        <f t="shared" si="914"/>
        <v>男</v>
      </c>
      <c r="D1758" s="8" t="str">
        <f>"1990-07-12"</f>
        <v>1990-07-12</v>
      </c>
      <c r="E1758" s="8" t="str">
        <f t="shared" si="918"/>
        <v>本科</v>
      </c>
      <c r="F1758" s="8" t="str">
        <f>"无"</f>
        <v>无</v>
      </c>
      <c r="G1758" s="8" t="str">
        <f t="shared" si="919"/>
        <v>土木工程</v>
      </c>
      <c r="H1758" s="7" t="s">
        <v>10</v>
      </c>
    </row>
    <row r="1759" spans="1:8" ht="15" customHeight="1">
      <c r="A1759" s="5">
        <v>1757</v>
      </c>
      <c r="B1759" s="8" t="str">
        <f>"罗梓泷"</f>
        <v>罗梓泷</v>
      </c>
      <c r="C1759" s="8" t="str">
        <f t="shared" si="914"/>
        <v>男</v>
      </c>
      <c r="D1759" s="8" t="str">
        <f>"1993-11-18"</f>
        <v>1993-11-18</v>
      </c>
      <c r="E1759" s="8" t="str">
        <f t="shared" si="918"/>
        <v>本科</v>
      </c>
      <c r="F1759" s="8" t="str">
        <f aca="true" t="shared" si="921" ref="F1759:F1762">"工学学士"</f>
        <v>工学学士</v>
      </c>
      <c r="G1759" s="8" t="str">
        <f>"建筑学"</f>
        <v>建筑学</v>
      </c>
      <c r="H1759" s="7" t="s">
        <v>10</v>
      </c>
    </row>
    <row r="1760" spans="1:8" ht="15" customHeight="1">
      <c r="A1760" s="5">
        <v>1758</v>
      </c>
      <c r="B1760" s="8" t="str">
        <f>"周咪"</f>
        <v>周咪</v>
      </c>
      <c r="C1760" s="8" t="str">
        <f>"女"</f>
        <v>女</v>
      </c>
      <c r="D1760" s="8" t="str">
        <f>"1992-11-18"</f>
        <v>1992-11-18</v>
      </c>
      <c r="E1760" s="8" t="str">
        <f aca="true" t="shared" si="922" ref="E1760:E1764">"大学本科"</f>
        <v>大学本科</v>
      </c>
      <c r="F1760" s="8" t="str">
        <f t="shared" si="921"/>
        <v>工学学士</v>
      </c>
      <c r="G1760" s="8" t="str">
        <f>"建筑学"</f>
        <v>建筑学</v>
      </c>
      <c r="H1760" s="7" t="s">
        <v>10</v>
      </c>
    </row>
    <row r="1761" spans="1:8" ht="15" customHeight="1">
      <c r="A1761" s="5">
        <v>1759</v>
      </c>
      <c r="B1761" s="8" t="str">
        <f>"陈俏华"</f>
        <v>陈俏华</v>
      </c>
      <c r="C1761" s="8" t="str">
        <f>"女"</f>
        <v>女</v>
      </c>
      <c r="D1761" s="8" t="str">
        <f>"1988-03-07"</f>
        <v>1988-03-07</v>
      </c>
      <c r="E1761" s="8" t="str">
        <f aca="true" t="shared" si="923" ref="E1761:E1766">"本科"</f>
        <v>本科</v>
      </c>
      <c r="F1761" s="8" t="str">
        <f>"学士学位"</f>
        <v>学士学位</v>
      </c>
      <c r="G1761" s="8" t="str">
        <f>"新闻学"</f>
        <v>新闻学</v>
      </c>
      <c r="H1761" s="7" t="s">
        <v>10</v>
      </c>
    </row>
    <row r="1762" spans="1:8" ht="15" customHeight="1">
      <c r="A1762" s="5">
        <v>1760</v>
      </c>
      <c r="B1762" s="8" t="str">
        <f>"陈劢杰"</f>
        <v>陈劢杰</v>
      </c>
      <c r="C1762" s="8" t="str">
        <f aca="true" t="shared" si="924" ref="C1762:C1769">"男"</f>
        <v>男</v>
      </c>
      <c r="D1762" s="8" t="str">
        <f>"1999-02-17"</f>
        <v>1999-02-17</v>
      </c>
      <c r="E1762" s="8" t="str">
        <f t="shared" si="922"/>
        <v>大学本科</v>
      </c>
      <c r="F1762" s="8" t="str">
        <f t="shared" si="921"/>
        <v>工学学士</v>
      </c>
      <c r="G1762" s="8" t="str">
        <f>"测绘工程"</f>
        <v>测绘工程</v>
      </c>
      <c r="H1762" s="7" t="s">
        <v>10</v>
      </c>
    </row>
    <row r="1763" spans="1:8" ht="15" customHeight="1">
      <c r="A1763" s="5">
        <v>1761</v>
      </c>
      <c r="B1763" s="8" t="str">
        <f>"林传诗"</f>
        <v>林传诗</v>
      </c>
      <c r="C1763" s="8" t="str">
        <f t="shared" si="924"/>
        <v>男</v>
      </c>
      <c r="D1763" s="8" t="str">
        <f>"1996-10-21"</f>
        <v>1996-10-21</v>
      </c>
      <c r="E1763" s="8" t="str">
        <f t="shared" si="923"/>
        <v>本科</v>
      </c>
      <c r="F1763" s="8" t="str">
        <f>"无"</f>
        <v>无</v>
      </c>
      <c r="G1763" s="8" t="str">
        <f>"工程管理"</f>
        <v>工程管理</v>
      </c>
      <c r="H1763" s="7" t="s">
        <v>10</v>
      </c>
    </row>
    <row r="1764" spans="1:8" ht="15" customHeight="1">
      <c r="A1764" s="5">
        <v>1762</v>
      </c>
      <c r="B1764" s="8" t="str">
        <f>"蔡奕挺"</f>
        <v>蔡奕挺</v>
      </c>
      <c r="C1764" s="8" t="str">
        <f t="shared" si="924"/>
        <v>男</v>
      </c>
      <c r="D1764" s="8" t="str">
        <f>"1999-10-15"</f>
        <v>1999-10-15</v>
      </c>
      <c r="E1764" s="8" t="str">
        <f t="shared" si="922"/>
        <v>大学本科</v>
      </c>
      <c r="F1764" s="8" t="str">
        <f aca="true" t="shared" si="925" ref="F1764:F1766">"工学学士"</f>
        <v>工学学士</v>
      </c>
      <c r="G1764" s="8" t="str">
        <f>"风景园林（园林工程技术方向）"</f>
        <v>风景园林（园林工程技术方向）</v>
      </c>
      <c r="H1764" s="7" t="s">
        <v>10</v>
      </c>
    </row>
    <row r="1765" spans="1:8" ht="15" customHeight="1">
      <c r="A1765" s="5">
        <v>1763</v>
      </c>
      <c r="B1765" s="8" t="str">
        <f>"林士棚"</f>
        <v>林士棚</v>
      </c>
      <c r="C1765" s="8" t="str">
        <f t="shared" si="924"/>
        <v>男</v>
      </c>
      <c r="D1765" s="8" t="str">
        <f>"1998-08-22"</f>
        <v>1998-08-22</v>
      </c>
      <c r="E1765" s="8" t="str">
        <f>"全日制本科"</f>
        <v>全日制本科</v>
      </c>
      <c r="F1765" s="8" t="str">
        <f t="shared" si="925"/>
        <v>工学学士</v>
      </c>
      <c r="G1765" s="8" t="str">
        <f>"农业水利工程"</f>
        <v>农业水利工程</v>
      </c>
      <c r="H1765" s="7" t="s">
        <v>10</v>
      </c>
    </row>
    <row r="1766" spans="1:8" ht="15" customHeight="1">
      <c r="A1766" s="5">
        <v>1764</v>
      </c>
      <c r="B1766" s="8" t="str">
        <f>"庞清夫"</f>
        <v>庞清夫</v>
      </c>
      <c r="C1766" s="8" t="str">
        <f t="shared" si="924"/>
        <v>男</v>
      </c>
      <c r="D1766" s="8" t="str">
        <f>"1997-03-16"</f>
        <v>1997-03-16</v>
      </c>
      <c r="E1766" s="8" t="str">
        <f t="shared" si="923"/>
        <v>本科</v>
      </c>
      <c r="F1766" s="8" t="str">
        <f t="shared" si="925"/>
        <v>工学学士</v>
      </c>
      <c r="G1766" s="8" t="str">
        <f>"交通工程"</f>
        <v>交通工程</v>
      </c>
      <c r="H1766" s="7" t="s">
        <v>10</v>
      </c>
    </row>
    <row r="1767" spans="1:8" ht="15" customHeight="1">
      <c r="A1767" s="5">
        <v>1765</v>
      </c>
      <c r="B1767" s="8" t="str">
        <f>"黄志明"</f>
        <v>黄志明</v>
      </c>
      <c r="C1767" s="8" t="str">
        <f t="shared" si="924"/>
        <v>男</v>
      </c>
      <c r="D1767" s="8" t="str">
        <f>"1995-02-23"</f>
        <v>1995-02-23</v>
      </c>
      <c r="E1767" s="8" t="str">
        <f>"大学本科"</f>
        <v>大学本科</v>
      </c>
      <c r="F1767" s="8" t="str">
        <f>"学士学位"</f>
        <v>学士学位</v>
      </c>
      <c r="G1767" s="8" t="str">
        <f>"工程管理"</f>
        <v>工程管理</v>
      </c>
      <c r="H1767" s="7" t="s">
        <v>10</v>
      </c>
    </row>
    <row r="1768" spans="1:8" ht="15" customHeight="1">
      <c r="A1768" s="5">
        <v>1766</v>
      </c>
      <c r="B1768" s="8" t="str">
        <f>"林维周"</f>
        <v>林维周</v>
      </c>
      <c r="C1768" s="8" t="str">
        <f t="shared" si="924"/>
        <v>男</v>
      </c>
      <c r="D1768" s="8" t="str">
        <f>"1989-12-13"</f>
        <v>1989-12-13</v>
      </c>
      <c r="E1768" s="8" t="str">
        <f aca="true" t="shared" si="926" ref="E1768:E1773">"本科"</f>
        <v>本科</v>
      </c>
      <c r="F1768" s="8" t="str">
        <f>"艺术学学士"</f>
        <v>艺术学学士</v>
      </c>
      <c r="G1768" s="8" t="str">
        <f>"环境设计（房地产建筑装饰景观类）"</f>
        <v>环境设计（房地产建筑装饰景观类）</v>
      </c>
      <c r="H1768" s="7" t="s">
        <v>10</v>
      </c>
    </row>
    <row r="1769" spans="1:8" ht="15" customHeight="1">
      <c r="A1769" s="5">
        <v>1767</v>
      </c>
      <c r="B1769" s="8" t="str">
        <f>"吴礼援"</f>
        <v>吴礼援</v>
      </c>
      <c r="C1769" s="8" t="str">
        <f t="shared" si="924"/>
        <v>男</v>
      </c>
      <c r="D1769" s="8" t="str">
        <f>"1997-01-01"</f>
        <v>1997-01-01</v>
      </c>
      <c r="E1769" s="8" t="str">
        <f t="shared" si="926"/>
        <v>本科</v>
      </c>
      <c r="F1769" s="8" t="str">
        <f aca="true" t="shared" si="927" ref="F1769:F1771">"工学学士"</f>
        <v>工学学士</v>
      </c>
      <c r="G1769" s="8" t="str">
        <f>"风景园林"</f>
        <v>风景园林</v>
      </c>
      <c r="H1769" s="7" t="s">
        <v>10</v>
      </c>
    </row>
    <row r="1770" spans="1:8" ht="15" customHeight="1">
      <c r="A1770" s="5">
        <v>1768</v>
      </c>
      <c r="B1770" s="8" t="str">
        <f>"谢晋雅"</f>
        <v>谢晋雅</v>
      </c>
      <c r="C1770" s="8" t="str">
        <f aca="true" t="shared" si="928" ref="C1770:C1773">"女"</f>
        <v>女</v>
      </c>
      <c r="D1770" s="8" t="str">
        <f>"1992-09-28"</f>
        <v>1992-09-28</v>
      </c>
      <c r="E1770" s="8" t="str">
        <f>"全日制本科"</f>
        <v>全日制本科</v>
      </c>
      <c r="F1770" s="8" t="str">
        <f t="shared" si="927"/>
        <v>工学学士</v>
      </c>
      <c r="G1770" s="8" t="str">
        <f>"风景园林"</f>
        <v>风景园林</v>
      </c>
      <c r="H1770" s="7" t="s">
        <v>10</v>
      </c>
    </row>
    <row r="1771" spans="1:8" ht="15" customHeight="1">
      <c r="A1771" s="5">
        <v>1769</v>
      </c>
      <c r="B1771" s="8" t="str">
        <f>"黄玉娟"</f>
        <v>黄玉娟</v>
      </c>
      <c r="C1771" s="8" t="str">
        <f t="shared" si="928"/>
        <v>女</v>
      </c>
      <c r="D1771" s="8" t="str">
        <f>"1995-05-10"</f>
        <v>1995-05-10</v>
      </c>
      <c r="E1771" s="8" t="str">
        <f aca="true" t="shared" si="929" ref="E1771:E1776">"大学本科"</f>
        <v>大学本科</v>
      </c>
      <c r="F1771" s="8" t="str">
        <f t="shared" si="927"/>
        <v>工学学士</v>
      </c>
      <c r="G1771" s="8" t="str">
        <f>"电气工程及其自动化"</f>
        <v>电气工程及其自动化</v>
      </c>
      <c r="H1771" s="7" t="s">
        <v>10</v>
      </c>
    </row>
    <row r="1772" spans="1:8" ht="15" customHeight="1">
      <c r="A1772" s="5">
        <v>1770</v>
      </c>
      <c r="B1772" s="8" t="str">
        <f>"范君贤"</f>
        <v>范君贤</v>
      </c>
      <c r="C1772" s="8" t="str">
        <f aca="true" t="shared" si="930" ref="C1772:C1777">"男"</f>
        <v>男</v>
      </c>
      <c r="D1772" s="8" t="str">
        <f>"1992-04-21"</f>
        <v>1992-04-21</v>
      </c>
      <c r="E1772" s="8" t="str">
        <f t="shared" si="926"/>
        <v>本科</v>
      </c>
      <c r="F1772" s="8" t="str">
        <f>"艺术学学士"</f>
        <v>艺术学学士</v>
      </c>
      <c r="G1772" s="8" t="str">
        <f>"环境设计"</f>
        <v>环境设计</v>
      </c>
      <c r="H1772" s="7" t="s">
        <v>10</v>
      </c>
    </row>
    <row r="1773" spans="1:8" ht="15" customHeight="1">
      <c r="A1773" s="5">
        <v>1771</v>
      </c>
      <c r="B1773" s="8" t="str">
        <f>"杜晓丽"</f>
        <v>杜晓丽</v>
      </c>
      <c r="C1773" s="8" t="str">
        <f t="shared" si="928"/>
        <v>女</v>
      </c>
      <c r="D1773" s="8" t="str">
        <f>"1999-09-14"</f>
        <v>1999-09-14</v>
      </c>
      <c r="E1773" s="8" t="str">
        <f t="shared" si="926"/>
        <v>本科</v>
      </c>
      <c r="F1773" s="8" t="str">
        <f>"理学学士"</f>
        <v>理学学士</v>
      </c>
      <c r="G1773" s="8" t="str">
        <f>"人文地理与城乡规划"</f>
        <v>人文地理与城乡规划</v>
      </c>
      <c r="H1773" s="7" t="s">
        <v>10</v>
      </c>
    </row>
    <row r="1774" spans="1:8" ht="15" customHeight="1">
      <c r="A1774" s="5">
        <v>1772</v>
      </c>
      <c r="B1774" s="8" t="str">
        <f>"王辉成"</f>
        <v>王辉成</v>
      </c>
      <c r="C1774" s="8" t="str">
        <f t="shared" si="930"/>
        <v>男</v>
      </c>
      <c r="D1774" s="8" t="str">
        <f>"1997-05-25"</f>
        <v>1997-05-25</v>
      </c>
      <c r="E1774" s="8" t="str">
        <f t="shared" si="929"/>
        <v>大学本科</v>
      </c>
      <c r="F1774" s="8" t="str">
        <f>"无"</f>
        <v>无</v>
      </c>
      <c r="G1774" s="8" t="str">
        <f>"物流管理"</f>
        <v>物流管理</v>
      </c>
      <c r="H1774" s="7" t="s">
        <v>10</v>
      </c>
    </row>
    <row r="1775" spans="1:8" ht="15" customHeight="1">
      <c r="A1775" s="5">
        <v>1773</v>
      </c>
      <c r="B1775" s="8" t="str">
        <f>"郑秋婷"</f>
        <v>郑秋婷</v>
      </c>
      <c r="C1775" s="8" t="str">
        <f aca="true" t="shared" si="931" ref="C1775:C1778">"女"</f>
        <v>女</v>
      </c>
      <c r="D1775" s="8" t="str">
        <f>"1993-04-03"</f>
        <v>1993-04-03</v>
      </c>
      <c r="E1775" s="8" t="str">
        <f aca="true" t="shared" si="932" ref="E1775:E1778">"本科"</f>
        <v>本科</v>
      </c>
      <c r="F1775" s="8" t="str">
        <f>"文学学位"</f>
        <v>文学学位</v>
      </c>
      <c r="G1775" s="8" t="str">
        <f>"汉语言文学"</f>
        <v>汉语言文学</v>
      </c>
      <c r="H1775" s="7" t="s">
        <v>10</v>
      </c>
    </row>
    <row r="1776" spans="1:8" ht="15" customHeight="1">
      <c r="A1776" s="5">
        <v>1774</v>
      </c>
      <c r="B1776" s="8" t="str">
        <f>"林玲玉"</f>
        <v>林玲玉</v>
      </c>
      <c r="C1776" s="8" t="str">
        <f t="shared" si="931"/>
        <v>女</v>
      </c>
      <c r="D1776" s="8" t="str">
        <f>"1991-07-22"</f>
        <v>1991-07-22</v>
      </c>
      <c r="E1776" s="8" t="str">
        <f t="shared" si="929"/>
        <v>大学本科</v>
      </c>
      <c r="F1776" s="8" t="str">
        <f aca="true" t="shared" si="933" ref="F1776:F1780">"工学学士"</f>
        <v>工学学士</v>
      </c>
      <c r="G1776" s="8" t="str">
        <f>"风景园林（园林工程技术方向）"</f>
        <v>风景园林（园林工程技术方向）</v>
      </c>
      <c r="H1776" s="7" t="s">
        <v>10</v>
      </c>
    </row>
    <row r="1777" spans="1:8" ht="15" customHeight="1">
      <c r="A1777" s="5">
        <v>1775</v>
      </c>
      <c r="B1777" s="8" t="str">
        <f>"钟永桢"</f>
        <v>钟永桢</v>
      </c>
      <c r="C1777" s="8" t="str">
        <f t="shared" si="930"/>
        <v>男</v>
      </c>
      <c r="D1777" s="8" t="str">
        <f>"2000-04-24"</f>
        <v>2000-04-24</v>
      </c>
      <c r="E1777" s="8" t="str">
        <f t="shared" si="932"/>
        <v>本科</v>
      </c>
      <c r="F1777" s="8" t="str">
        <f>"管理学学士"</f>
        <v>管理学学士</v>
      </c>
      <c r="G1777" s="8" t="str">
        <f>"工程造价"</f>
        <v>工程造价</v>
      </c>
      <c r="H1777" s="7" t="s">
        <v>10</v>
      </c>
    </row>
    <row r="1778" spans="1:8" ht="15" customHeight="1">
      <c r="A1778" s="5">
        <v>1776</v>
      </c>
      <c r="B1778" s="8" t="str">
        <f>"孙香淑"</f>
        <v>孙香淑</v>
      </c>
      <c r="C1778" s="8" t="str">
        <f t="shared" si="931"/>
        <v>女</v>
      </c>
      <c r="D1778" s="8" t="str">
        <f>"1999-09-29"</f>
        <v>1999-09-29</v>
      </c>
      <c r="E1778" s="8" t="str">
        <f t="shared" si="932"/>
        <v>本科</v>
      </c>
      <c r="F1778" s="8" t="str">
        <f>"学士"</f>
        <v>学士</v>
      </c>
      <c r="G1778" s="8" t="str">
        <f>"汉语言文学"</f>
        <v>汉语言文学</v>
      </c>
      <c r="H1778" s="7" t="s">
        <v>10</v>
      </c>
    </row>
    <row r="1779" spans="1:8" ht="15" customHeight="1">
      <c r="A1779" s="5">
        <v>1777</v>
      </c>
      <c r="B1779" s="8" t="str">
        <f>"王广俊"</f>
        <v>王广俊</v>
      </c>
      <c r="C1779" s="8" t="str">
        <f aca="true" t="shared" si="934" ref="C1779:C1781">"男"</f>
        <v>男</v>
      </c>
      <c r="D1779" s="8" t="str">
        <f>"1991-08-19"</f>
        <v>1991-08-19</v>
      </c>
      <c r="E1779" s="8" t="str">
        <f>"本科学历"</f>
        <v>本科学历</v>
      </c>
      <c r="F1779" s="8" t="str">
        <f t="shared" si="933"/>
        <v>工学学士</v>
      </c>
      <c r="G1779" s="8" t="str">
        <f>"土木工程"</f>
        <v>土木工程</v>
      </c>
      <c r="H1779" s="7" t="s">
        <v>10</v>
      </c>
    </row>
    <row r="1780" spans="1:8" ht="15" customHeight="1">
      <c r="A1780" s="5">
        <v>1778</v>
      </c>
      <c r="B1780" s="8" t="str">
        <f>"符怡勤"</f>
        <v>符怡勤</v>
      </c>
      <c r="C1780" s="8" t="str">
        <f t="shared" si="934"/>
        <v>男</v>
      </c>
      <c r="D1780" s="8" t="str">
        <f>"2001-07-20"</f>
        <v>2001-07-20</v>
      </c>
      <c r="E1780" s="8" t="str">
        <f aca="true" t="shared" si="935" ref="E1780:E1784">"本科"</f>
        <v>本科</v>
      </c>
      <c r="F1780" s="8" t="str">
        <f t="shared" si="933"/>
        <v>工学学士</v>
      </c>
      <c r="G1780" s="8" t="str">
        <f>"工程管理"</f>
        <v>工程管理</v>
      </c>
      <c r="H1780" s="7" t="s">
        <v>10</v>
      </c>
    </row>
    <row r="1781" spans="1:8" ht="15" customHeight="1">
      <c r="A1781" s="5">
        <v>1779</v>
      </c>
      <c r="B1781" s="8" t="str">
        <f>"黄智"</f>
        <v>黄智</v>
      </c>
      <c r="C1781" s="8" t="str">
        <f t="shared" si="934"/>
        <v>男</v>
      </c>
      <c r="D1781" s="8" t="str">
        <f>"2000-08-12"</f>
        <v>2000-08-12</v>
      </c>
      <c r="E1781" s="8" t="str">
        <f>"大学本科学历"</f>
        <v>大学本科学历</v>
      </c>
      <c r="F1781" s="8" t="str">
        <f>"文学学士"</f>
        <v>文学学士</v>
      </c>
      <c r="G1781" s="8" t="str">
        <f>"英语教育"</f>
        <v>英语教育</v>
      </c>
      <c r="H1781" s="7" t="s">
        <v>10</v>
      </c>
    </row>
    <row r="1782" spans="1:8" ht="15" customHeight="1">
      <c r="A1782" s="5">
        <v>1780</v>
      </c>
      <c r="B1782" s="8" t="str">
        <f>"曾平婷"</f>
        <v>曾平婷</v>
      </c>
      <c r="C1782" s="8" t="str">
        <f aca="true" t="shared" si="936" ref="C1782:C1787">"女"</f>
        <v>女</v>
      </c>
      <c r="D1782" s="8" t="str">
        <f>"1996-11-21"</f>
        <v>1996-11-21</v>
      </c>
      <c r="E1782" s="8" t="str">
        <f t="shared" si="935"/>
        <v>本科</v>
      </c>
      <c r="F1782" s="8" t="str">
        <f>"学士"</f>
        <v>学士</v>
      </c>
      <c r="G1782" s="8" t="str">
        <f>"汉语言文学"</f>
        <v>汉语言文学</v>
      </c>
      <c r="H1782" s="7" t="s">
        <v>10</v>
      </c>
    </row>
    <row r="1783" spans="1:8" ht="15" customHeight="1">
      <c r="A1783" s="5">
        <v>1781</v>
      </c>
      <c r="B1783" s="8" t="str">
        <f>"王潆萱"</f>
        <v>王潆萱</v>
      </c>
      <c r="C1783" s="8" t="str">
        <f t="shared" si="936"/>
        <v>女</v>
      </c>
      <c r="D1783" s="8" t="str">
        <f>"1992-06-08"</f>
        <v>1992-06-08</v>
      </c>
      <c r="E1783" s="8" t="str">
        <f t="shared" si="935"/>
        <v>本科</v>
      </c>
      <c r="F1783" s="8" t="str">
        <f>"文学学位"</f>
        <v>文学学位</v>
      </c>
      <c r="G1783" s="8" t="str">
        <f>"公共事业管理（影视策划与制片）"</f>
        <v>公共事业管理（影视策划与制片）</v>
      </c>
      <c r="H1783" s="7" t="s">
        <v>10</v>
      </c>
    </row>
    <row r="1784" spans="1:8" ht="15" customHeight="1">
      <c r="A1784" s="5">
        <v>1782</v>
      </c>
      <c r="B1784" s="8" t="str">
        <f>"曾秋香"</f>
        <v>曾秋香</v>
      </c>
      <c r="C1784" s="8" t="str">
        <f t="shared" si="936"/>
        <v>女</v>
      </c>
      <c r="D1784" s="8" t="str">
        <f>"1998-04-08"</f>
        <v>1998-04-08</v>
      </c>
      <c r="E1784" s="8" t="str">
        <f t="shared" si="935"/>
        <v>本科</v>
      </c>
      <c r="F1784" s="8" t="str">
        <f>"学士学位"</f>
        <v>学士学位</v>
      </c>
      <c r="G1784" s="8" t="str">
        <f>"小学教育"</f>
        <v>小学教育</v>
      </c>
      <c r="H1784" s="7" t="s">
        <v>10</v>
      </c>
    </row>
    <row r="1785" spans="1:8" ht="15" customHeight="1">
      <c r="A1785" s="5">
        <v>1783</v>
      </c>
      <c r="B1785" s="8" t="str">
        <f>"秦凤美"</f>
        <v>秦凤美</v>
      </c>
      <c r="C1785" s="8" t="str">
        <f t="shared" si="936"/>
        <v>女</v>
      </c>
      <c r="D1785" s="8" t="str">
        <f>"1991-06-13"</f>
        <v>1991-06-13</v>
      </c>
      <c r="E1785" s="8" t="str">
        <f>"大专"</f>
        <v>大专</v>
      </c>
      <c r="F1785" s="8" t="str">
        <f>"无"</f>
        <v>无</v>
      </c>
      <c r="G1785" s="8" t="str">
        <f>"应用英语"</f>
        <v>应用英语</v>
      </c>
      <c r="H1785" s="7" t="s">
        <v>10</v>
      </c>
    </row>
    <row r="1786" spans="1:8" ht="15" customHeight="1">
      <c r="A1786" s="5">
        <v>1784</v>
      </c>
      <c r="B1786" s="8" t="str">
        <f>"莫海媛"</f>
        <v>莫海媛</v>
      </c>
      <c r="C1786" s="8" t="str">
        <f t="shared" si="936"/>
        <v>女</v>
      </c>
      <c r="D1786" s="8" t="str">
        <f>"1993-05-13"</f>
        <v>1993-05-13</v>
      </c>
      <c r="E1786" s="8" t="str">
        <f>"本科"</f>
        <v>本科</v>
      </c>
      <c r="F1786" s="8" t="str">
        <f>"文学学士学位"</f>
        <v>文学学士学位</v>
      </c>
      <c r="G1786" s="8" t="str">
        <f>"汉语言文学"</f>
        <v>汉语言文学</v>
      </c>
      <c r="H1786" s="7" t="s">
        <v>10</v>
      </c>
    </row>
    <row r="1787" spans="1:8" ht="15" customHeight="1">
      <c r="A1787" s="5">
        <v>1785</v>
      </c>
      <c r="B1787" s="8" t="str">
        <f>"张秋来"</f>
        <v>张秋来</v>
      </c>
      <c r="C1787" s="8" t="str">
        <f t="shared" si="936"/>
        <v>女</v>
      </c>
      <c r="D1787" s="8" t="str">
        <f>"1994-12-27"</f>
        <v>1994-12-27</v>
      </c>
      <c r="E1787" s="8" t="str">
        <f>"本科"</f>
        <v>本科</v>
      </c>
      <c r="F1787" s="8" t="str">
        <f aca="true" t="shared" si="937" ref="F1787:F1789">"文学学士"</f>
        <v>文学学士</v>
      </c>
      <c r="G1787" s="8" t="str">
        <f>"新闻学"</f>
        <v>新闻学</v>
      </c>
      <c r="H1787" s="7" t="s">
        <v>10</v>
      </c>
    </row>
    <row r="1788" spans="1:8" ht="15" customHeight="1">
      <c r="A1788" s="5">
        <v>1786</v>
      </c>
      <c r="B1788" s="8" t="str">
        <f>"符箕德"</f>
        <v>符箕德</v>
      </c>
      <c r="C1788" s="8" t="str">
        <f>"男"</f>
        <v>男</v>
      </c>
      <c r="D1788" s="8" t="str">
        <f>"1998-04-20"</f>
        <v>1998-04-20</v>
      </c>
      <c r="E1788" s="8" t="str">
        <f aca="true" t="shared" si="938" ref="E1788:E1791">"大学本科"</f>
        <v>大学本科</v>
      </c>
      <c r="F1788" s="8" t="str">
        <f t="shared" si="937"/>
        <v>文学学士</v>
      </c>
      <c r="G1788" s="8" t="str">
        <f>"汉语言文学"</f>
        <v>汉语言文学</v>
      </c>
      <c r="H1788" s="7" t="s">
        <v>10</v>
      </c>
    </row>
    <row r="1789" spans="1:8" ht="15" customHeight="1">
      <c r="A1789" s="5">
        <v>1787</v>
      </c>
      <c r="B1789" s="8" t="str">
        <f>"陈丽丽"</f>
        <v>陈丽丽</v>
      </c>
      <c r="C1789" s="8" t="str">
        <f aca="true" t="shared" si="939" ref="C1789:C1793">"女"</f>
        <v>女</v>
      </c>
      <c r="D1789" s="8" t="str">
        <f>"1997-07-29"</f>
        <v>1997-07-29</v>
      </c>
      <c r="E1789" s="8" t="str">
        <f aca="true" t="shared" si="940" ref="E1789:E1794">"大学本科学历"</f>
        <v>大学本科学历</v>
      </c>
      <c r="F1789" s="8" t="str">
        <f t="shared" si="937"/>
        <v>文学学士</v>
      </c>
      <c r="G1789" s="8" t="str">
        <f>"秘书学专业"</f>
        <v>秘书学专业</v>
      </c>
      <c r="H1789" s="7" t="s">
        <v>10</v>
      </c>
    </row>
    <row r="1790" spans="1:8" ht="15" customHeight="1">
      <c r="A1790" s="5">
        <v>1788</v>
      </c>
      <c r="B1790" s="8" t="str">
        <f>"黄叶"</f>
        <v>黄叶</v>
      </c>
      <c r="C1790" s="8" t="str">
        <f t="shared" si="939"/>
        <v>女</v>
      </c>
      <c r="D1790" s="8" t="str">
        <f>"1996-01-08"</f>
        <v>1996-01-08</v>
      </c>
      <c r="E1790" s="8" t="str">
        <f t="shared" si="938"/>
        <v>大学本科</v>
      </c>
      <c r="F1790" s="8" t="str">
        <f>"学士学位"</f>
        <v>学士学位</v>
      </c>
      <c r="G1790" s="8" t="str">
        <f>"秘书学"</f>
        <v>秘书学</v>
      </c>
      <c r="H1790" s="7" t="s">
        <v>10</v>
      </c>
    </row>
    <row r="1791" spans="1:8" ht="15" customHeight="1">
      <c r="A1791" s="5">
        <v>1789</v>
      </c>
      <c r="B1791" s="8" t="str">
        <f>"卢春光"</f>
        <v>卢春光</v>
      </c>
      <c r="C1791" s="8" t="str">
        <f>"男"</f>
        <v>男</v>
      </c>
      <c r="D1791" s="8" t="str">
        <f>"1993-10-15"</f>
        <v>1993-10-15</v>
      </c>
      <c r="E1791" s="8" t="str">
        <f t="shared" si="938"/>
        <v>大学本科</v>
      </c>
      <c r="F1791" s="8" t="str">
        <f aca="true" t="shared" si="941" ref="F1791:F1795">"文学学士"</f>
        <v>文学学士</v>
      </c>
      <c r="G1791" s="8" t="str">
        <f>"汉语国际教育"</f>
        <v>汉语国际教育</v>
      </c>
      <c r="H1791" s="7" t="s">
        <v>10</v>
      </c>
    </row>
    <row r="1792" spans="1:8" ht="15" customHeight="1">
      <c r="A1792" s="5">
        <v>1790</v>
      </c>
      <c r="B1792" s="8" t="str">
        <f>"杨彩玲"</f>
        <v>杨彩玲</v>
      </c>
      <c r="C1792" s="8" t="str">
        <f t="shared" si="939"/>
        <v>女</v>
      </c>
      <c r="D1792" s="8" t="str">
        <f>"1994-09-14"</f>
        <v>1994-09-14</v>
      </c>
      <c r="E1792" s="8" t="str">
        <f t="shared" si="940"/>
        <v>大学本科学历</v>
      </c>
      <c r="F1792" s="8" t="str">
        <f t="shared" si="941"/>
        <v>文学学士</v>
      </c>
      <c r="G1792" s="8" t="str">
        <f>"汉语言文学专业"</f>
        <v>汉语言文学专业</v>
      </c>
      <c r="H1792" s="7" t="s">
        <v>10</v>
      </c>
    </row>
    <row r="1793" spans="1:8" ht="15" customHeight="1">
      <c r="A1793" s="5">
        <v>1791</v>
      </c>
      <c r="B1793" s="8" t="str">
        <f>"邵梦丹"</f>
        <v>邵梦丹</v>
      </c>
      <c r="C1793" s="8" t="str">
        <f t="shared" si="939"/>
        <v>女</v>
      </c>
      <c r="D1793" s="8" t="str">
        <f>"1997-02-04"</f>
        <v>1997-02-04</v>
      </c>
      <c r="E1793" s="8" t="str">
        <f>"全日制本科"</f>
        <v>全日制本科</v>
      </c>
      <c r="F1793" s="8" t="str">
        <f t="shared" si="941"/>
        <v>文学学士</v>
      </c>
      <c r="G1793" s="8" t="str">
        <f aca="true" t="shared" si="942" ref="G1793:G1796">"汉语言文学"</f>
        <v>汉语言文学</v>
      </c>
      <c r="H1793" s="7" t="s">
        <v>10</v>
      </c>
    </row>
    <row r="1794" spans="1:8" ht="15" customHeight="1">
      <c r="A1794" s="5">
        <v>1792</v>
      </c>
      <c r="B1794" s="8" t="str">
        <f>"符克播"</f>
        <v>符克播</v>
      </c>
      <c r="C1794" s="8" t="str">
        <f aca="true" t="shared" si="943" ref="C1794:C1799">"男"</f>
        <v>男</v>
      </c>
      <c r="D1794" s="8" t="str">
        <f>"1994-12-12"</f>
        <v>1994-12-12</v>
      </c>
      <c r="E1794" s="8" t="str">
        <f t="shared" si="940"/>
        <v>大学本科学历</v>
      </c>
      <c r="F1794" s="8" t="str">
        <f t="shared" si="941"/>
        <v>文学学士</v>
      </c>
      <c r="G1794" s="8" t="str">
        <f t="shared" si="942"/>
        <v>汉语言文学</v>
      </c>
      <c r="H1794" s="7" t="s">
        <v>10</v>
      </c>
    </row>
    <row r="1795" spans="1:8" ht="15" customHeight="1">
      <c r="A1795" s="5">
        <v>1793</v>
      </c>
      <c r="B1795" s="8" t="str">
        <f>"林小楚"</f>
        <v>林小楚</v>
      </c>
      <c r="C1795" s="8" t="str">
        <f aca="true" t="shared" si="944" ref="C1795:C1798">"女"</f>
        <v>女</v>
      </c>
      <c r="D1795" s="8" t="str">
        <f>"1999-11-26"</f>
        <v>1999-11-26</v>
      </c>
      <c r="E1795" s="8" t="str">
        <f>"本科"</f>
        <v>本科</v>
      </c>
      <c r="F1795" s="8" t="str">
        <f t="shared" si="941"/>
        <v>文学学士</v>
      </c>
      <c r="G1795" s="8" t="str">
        <f t="shared" si="942"/>
        <v>汉语言文学</v>
      </c>
      <c r="H1795" s="7" t="s">
        <v>10</v>
      </c>
    </row>
    <row r="1796" spans="1:8" ht="15" customHeight="1">
      <c r="A1796" s="5">
        <v>1794</v>
      </c>
      <c r="B1796" s="8" t="str">
        <f>"黄海燕"</f>
        <v>黄海燕</v>
      </c>
      <c r="C1796" s="8" t="str">
        <f t="shared" si="944"/>
        <v>女</v>
      </c>
      <c r="D1796" s="8" t="str">
        <f>"1992-03-16"</f>
        <v>1992-03-16</v>
      </c>
      <c r="E1796" s="8" t="str">
        <f>"本科"</f>
        <v>本科</v>
      </c>
      <c r="F1796" s="8" t="str">
        <f>"无"</f>
        <v>无</v>
      </c>
      <c r="G1796" s="8" t="str">
        <f t="shared" si="942"/>
        <v>汉语言文学</v>
      </c>
      <c r="H1796" s="7" t="s">
        <v>10</v>
      </c>
    </row>
    <row r="1797" spans="1:8" ht="15" customHeight="1">
      <c r="A1797" s="5">
        <v>1795</v>
      </c>
      <c r="B1797" s="8" t="str">
        <f>"邱立煌"</f>
        <v>邱立煌</v>
      </c>
      <c r="C1797" s="8" t="str">
        <f t="shared" si="943"/>
        <v>男</v>
      </c>
      <c r="D1797" s="8" t="str">
        <f>"1995-09-12"</f>
        <v>1995-09-12</v>
      </c>
      <c r="E1797" s="8" t="str">
        <f aca="true" t="shared" si="945" ref="E1797:E1800">"大学本科学历"</f>
        <v>大学本科学历</v>
      </c>
      <c r="F1797" s="8" t="str">
        <f>"工学学士"</f>
        <v>工学学士</v>
      </c>
      <c r="G1797" s="8" t="str">
        <f>"机械设计制造及其自动化"</f>
        <v>机械设计制造及其自动化</v>
      </c>
      <c r="H1797" s="7" t="s">
        <v>10</v>
      </c>
    </row>
    <row r="1798" spans="1:8" ht="15" customHeight="1">
      <c r="A1798" s="5">
        <v>1796</v>
      </c>
      <c r="B1798" s="8" t="str">
        <f>"邓海洁"</f>
        <v>邓海洁</v>
      </c>
      <c r="C1798" s="8" t="str">
        <f t="shared" si="944"/>
        <v>女</v>
      </c>
      <c r="D1798" s="8" t="str">
        <f>"1998-04-17"</f>
        <v>1998-04-17</v>
      </c>
      <c r="E1798" s="8" t="str">
        <f>"专升本"</f>
        <v>专升本</v>
      </c>
      <c r="F1798" s="8" t="str">
        <f aca="true" t="shared" si="946" ref="F1798:F1801">"文学学士"</f>
        <v>文学学士</v>
      </c>
      <c r="G1798" s="8" t="str">
        <f aca="true" t="shared" si="947" ref="G1798:G1800">"汉语言文学"</f>
        <v>汉语言文学</v>
      </c>
      <c r="H1798" s="7" t="s">
        <v>10</v>
      </c>
    </row>
    <row r="1799" spans="1:8" ht="15" customHeight="1">
      <c r="A1799" s="5">
        <v>1797</v>
      </c>
      <c r="B1799" s="8" t="str">
        <f>"韦传占"</f>
        <v>韦传占</v>
      </c>
      <c r="C1799" s="8" t="str">
        <f t="shared" si="943"/>
        <v>男</v>
      </c>
      <c r="D1799" s="8" t="str">
        <f>"1993-02-08"</f>
        <v>1993-02-08</v>
      </c>
      <c r="E1799" s="8" t="str">
        <f t="shared" si="945"/>
        <v>大学本科学历</v>
      </c>
      <c r="F1799" s="8" t="str">
        <f t="shared" si="946"/>
        <v>文学学士</v>
      </c>
      <c r="G1799" s="8" t="str">
        <f t="shared" si="947"/>
        <v>汉语言文学</v>
      </c>
      <c r="H1799" s="7" t="s">
        <v>10</v>
      </c>
    </row>
    <row r="1800" spans="1:8" ht="15" customHeight="1">
      <c r="A1800" s="5">
        <v>1798</v>
      </c>
      <c r="B1800" s="8" t="str">
        <f>"王佳珏"</f>
        <v>王佳珏</v>
      </c>
      <c r="C1800" s="8" t="str">
        <f aca="true" t="shared" si="948" ref="C1800:C1802">"女"</f>
        <v>女</v>
      </c>
      <c r="D1800" s="8" t="str">
        <f>"1999-03-15"</f>
        <v>1999-03-15</v>
      </c>
      <c r="E1800" s="8" t="str">
        <f t="shared" si="945"/>
        <v>大学本科学历</v>
      </c>
      <c r="F1800" s="8" t="str">
        <f t="shared" si="946"/>
        <v>文学学士</v>
      </c>
      <c r="G1800" s="8" t="str">
        <f t="shared" si="947"/>
        <v>汉语言文学</v>
      </c>
      <c r="H1800" s="7" t="s">
        <v>10</v>
      </c>
    </row>
    <row r="1801" spans="1:8" ht="15" customHeight="1">
      <c r="A1801" s="5">
        <v>1799</v>
      </c>
      <c r="B1801" s="8" t="str">
        <f>"卓丛林"</f>
        <v>卓丛林</v>
      </c>
      <c r="C1801" s="8" t="str">
        <f t="shared" si="948"/>
        <v>女</v>
      </c>
      <c r="D1801" s="8" t="str">
        <f>"1999-10-06"</f>
        <v>1999-10-06</v>
      </c>
      <c r="E1801" s="8" t="str">
        <f aca="true" t="shared" si="949" ref="E1801:E1806">"本科"</f>
        <v>本科</v>
      </c>
      <c r="F1801" s="8" t="str">
        <f t="shared" si="946"/>
        <v>文学学士</v>
      </c>
      <c r="G1801" s="8" t="str">
        <f>"汉语国际教育"</f>
        <v>汉语国际教育</v>
      </c>
      <c r="H1801" s="7" t="s">
        <v>10</v>
      </c>
    </row>
    <row r="1802" spans="1:8" ht="15" customHeight="1">
      <c r="A1802" s="5">
        <v>1800</v>
      </c>
      <c r="B1802" s="8" t="str">
        <f>"邢桂花"</f>
        <v>邢桂花</v>
      </c>
      <c r="C1802" s="8" t="str">
        <f t="shared" si="948"/>
        <v>女</v>
      </c>
      <c r="D1802" s="8" t="str">
        <f>"1996-08-04"</f>
        <v>1996-08-04</v>
      </c>
      <c r="E1802" s="8" t="str">
        <f t="shared" si="949"/>
        <v>本科</v>
      </c>
      <c r="F1802" s="8" t="str">
        <f>"学士学位"</f>
        <v>学士学位</v>
      </c>
      <c r="G1802" s="8" t="str">
        <f>"英语(师范)"</f>
        <v>英语(师范)</v>
      </c>
      <c r="H1802" s="7" t="s">
        <v>10</v>
      </c>
    </row>
    <row r="1803" spans="1:8" ht="15" customHeight="1">
      <c r="A1803" s="5">
        <v>1801</v>
      </c>
      <c r="B1803" s="8" t="str">
        <f>"符绵泮"</f>
        <v>符绵泮</v>
      </c>
      <c r="C1803" s="8" t="str">
        <f>"男"</f>
        <v>男</v>
      </c>
      <c r="D1803" s="8" t="str">
        <f>"1993-01-22"</f>
        <v>1993-01-22</v>
      </c>
      <c r="E1803" s="8" t="str">
        <f>"大学本科"</f>
        <v>大学本科</v>
      </c>
      <c r="F1803" s="8" t="str">
        <f>"学士学位"</f>
        <v>学士学位</v>
      </c>
      <c r="G1803" s="8" t="str">
        <f aca="true" t="shared" si="950" ref="G1803:G1808">"汉语言文学"</f>
        <v>汉语言文学</v>
      </c>
      <c r="H1803" s="7" t="s">
        <v>10</v>
      </c>
    </row>
    <row r="1804" spans="1:8" ht="15" customHeight="1">
      <c r="A1804" s="5">
        <v>1802</v>
      </c>
      <c r="B1804" s="8" t="str">
        <f>"胡诗瑜"</f>
        <v>胡诗瑜</v>
      </c>
      <c r="C1804" s="8" t="str">
        <f aca="true" t="shared" si="951" ref="C1804:C1806">"女"</f>
        <v>女</v>
      </c>
      <c r="D1804" s="8" t="str">
        <f>"1996-07-25"</f>
        <v>1996-07-25</v>
      </c>
      <c r="E1804" s="8" t="str">
        <f t="shared" si="949"/>
        <v>本科</v>
      </c>
      <c r="F1804" s="8" t="str">
        <f aca="true" t="shared" si="952" ref="F1804:F1807">"文学学士"</f>
        <v>文学学士</v>
      </c>
      <c r="G1804" s="8" t="str">
        <f>"汉语国际教育"</f>
        <v>汉语国际教育</v>
      </c>
      <c r="H1804" s="7" t="s">
        <v>10</v>
      </c>
    </row>
    <row r="1805" spans="1:8" ht="15" customHeight="1">
      <c r="A1805" s="5">
        <v>1803</v>
      </c>
      <c r="B1805" s="8" t="str">
        <f>"秦娇嫩"</f>
        <v>秦娇嫩</v>
      </c>
      <c r="C1805" s="8" t="str">
        <f t="shared" si="951"/>
        <v>女</v>
      </c>
      <c r="D1805" s="8" t="str">
        <f>"1998-05-02"</f>
        <v>1998-05-02</v>
      </c>
      <c r="E1805" s="8" t="str">
        <f t="shared" si="949"/>
        <v>本科</v>
      </c>
      <c r="F1805" s="8" t="str">
        <f t="shared" si="952"/>
        <v>文学学士</v>
      </c>
      <c r="G1805" s="8" t="str">
        <f t="shared" si="950"/>
        <v>汉语言文学</v>
      </c>
      <c r="H1805" s="7" t="s">
        <v>10</v>
      </c>
    </row>
    <row r="1806" spans="1:8" ht="15" customHeight="1">
      <c r="A1806" s="5">
        <v>1804</v>
      </c>
      <c r="B1806" s="8" t="str">
        <f>"许漂漂"</f>
        <v>许漂漂</v>
      </c>
      <c r="C1806" s="8" t="str">
        <f t="shared" si="951"/>
        <v>女</v>
      </c>
      <c r="D1806" s="8" t="str">
        <f>"1999-04-30"</f>
        <v>1999-04-30</v>
      </c>
      <c r="E1806" s="8" t="str">
        <f t="shared" si="949"/>
        <v>本科</v>
      </c>
      <c r="F1806" s="8" t="str">
        <f t="shared" si="952"/>
        <v>文学学士</v>
      </c>
      <c r="G1806" s="8" t="str">
        <f t="shared" si="950"/>
        <v>汉语言文学</v>
      </c>
      <c r="H1806" s="7" t="s">
        <v>10</v>
      </c>
    </row>
    <row r="1807" spans="1:8" ht="15" customHeight="1">
      <c r="A1807" s="5">
        <v>1805</v>
      </c>
      <c r="B1807" s="8" t="str">
        <f>"赵文立"</f>
        <v>赵文立</v>
      </c>
      <c r="C1807" s="8" t="str">
        <f>"男"</f>
        <v>男</v>
      </c>
      <c r="D1807" s="8" t="str">
        <f>"1995-05-03"</f>
        <v>1995-05-03</v>
      </c>
      <c r="E1807" s="8" t="str">
        <f aca="true" t="shared" si="953" ref="E1807:E1811">"大学本科学历"</f>
        <v>大学本科学历</v>
      </c>
      <c r="F1807" s="8" t="str">
        <f t="shared" si="952"/>
        <v>文学学士</v>
      </c>
      <c r="G1807" s="8" t="str">
        <f t="shared" si="950"/>
        <v>汉语言文学</v>
      </c>
      <c r="H1807" s="7" t="s">
        <v>10</v>
      </c>
    </row>
    <row r="1808" spans="1:8" ht="15" customHeight="1">
      <c r="A1808" s="5">
        <v>1806</v>
      </c>
      <c r="B1808" s="8" t="str">
        <f>"周燕芬"</f>
        <v>周燕芬</v>
      </c>
      <c r="C1808" s="8" t="str">
        <f aca="true" t="shared" si="954" ref="C1808:C1812">"女"</f>
        <v>女</v>
      </c>
      <c r="D1808" s="8" t="str">
        <f>"2001-09-27"</f>
        <v>2001-09-27</v>
      </c>
      <c r="E1808" s="8" t="str">
        <f aca="true" t="shared" si="955" ref="E1808:E1812">"本科"</f>
        <v>本科</v>
      </c>
      <c r="F1808" s="8" t="str">
        <f>"学士"</f>
        <v>学士</v>
      </c>
      <c r="G1808" s="8" t="str">
        <f t="shared" si="950"/>
        <v>汉语言文学</v>
      </c>
      <c r="H1808" s="7" t="s">
        <v>10</v>
      </c>
    </row>
    <row r="1809" spans="1:8" ht="15" customHeight="1">
      <c r="A1809" s="5">
        <v>1807</v>
      </c>
      <c r="B1809" s="8" t="str">
        <f>"李艳"</f>
        <v>李艳</v>
      </c>
      <c r="C1809" s="8" t="str">
        <f t="shared" si="954"/>
        <v>女</v>
      </c>
      <c r="D1809" s="8" t="str">
        <f>"1999-01-08"</f>
        <v>1999-01-08</v>
      </c>
      <c r="E1809" s="8" t="str">
        <f t="shared" si="953"/>
        <v>大学本科学历</v>
      </c>
      <c r="F1809" s="8" t="str">
        <f>"学士学位"</f>
        <v>学士学位</v>
      </c>
      <c r="G1809" s="8" t="str">
        <f>"英语"</f>
        <v>英语</v>
      </c>
      <c r="H1809" s="7" t="s">
        <v>10</v>
      </c>
    </row>
    <row r="1810" spans="1:8" ht="15" customHeight="1">
      <c r="A1810" s="5">
        <v>1808</v>
      </c>
      <c r="B1810" s="8" t="str">
        <f>"骆意"</f>
        <v>骆意</v>
      </c>
      <c r="C1810" s="8" t="str">
        <f t="shared" si="954"/>
        <v>女</v>
      </c>
      <c r="D1810" s="8" t="str">
        <f>"1999-07-15"</f>
        <v>1999-07-15</v>
      </c>
      <c r="E1810" s="8" t="str">
        <f t="shared" si="955"/>
        <v>本科</v>
      </c>
      <c r="F1810" s="8" t="str">
        <f>"历史学学士"</f>
        <v>历史学学士</v>
      </c>
      <c r="G1810" s="8" t="str">
        <f>"文物与博物馆学"</f>
        <v>文物与博物馆学</v>
      </c>
      <c r="H1810" s="7" t="s">
        <v>10</v>
      </c>
    </row>
    <row r="1811" spans="1:8" ht="15" customHeight="1">
      <c r="A1811" s="5">
        <v>1809</v>
      </c>
      <c r="B1811" s="8" t="str">
        <f>"刘露瑶 "</f>
        <v>刘露瑶 </v>
      </c>
      <c r="C1811" s="8" t="str">
        <f t="shared" si="954"/>
        <v>女</v>
      </c>
      <c r="D1811" s="8" t="str">
        <f>"1999-07-20"</f>
        <v>1999-07-20</v>
      </c>
      <c r="E1811" s="8" t="str">
        <f t="shared" si="953"/>
        <v>大学本科学历</v>
      </c>
      <c r="F1811" s="8" t="str">
        <f>"汉语国际教育学士"</f>
        <v>汉语国际教育学士</v>
      </c>
      <c r="G1811" s="8" t="str">
        <f>"汉语国际教育"</f>
        <v>汉语国际教育</v>
      </c>
      <c r="H1811" s="7" t="s">
        <v>10</v>
      </c>
    </row>
    <row r="1812" spans="1:8" ht="15" customHeight="1">
      <c r="A1812" s="5">
        <v>1810</v>
      </c>
      <c r="B1812" s="8" t="str">
        <f>"张颖"</f>
        <v>张颖</v>
      </c>
      <c r="C1812" s="8" t="str">
        <f t="shared" si="954"/>
        <v>女</v>
      </c>
      <c r="D1812" s="8" t="str">
        <f>"1997-05-22"</f>
        <v>1997-05-22</v>
      </c>
      <c r="E1812" s="8" t="str">
        <f t="shared" si="955"/>
        <v>本科</v>
      </c>
      <c r="F1812" s="8" t="str">
        <f aca="true" t="shared" si="956" ref="F1812:F1816">"文学学士"</f>
        <v>文学学士</v>
      </c>
      <c r="G1812" s="8" t="str">
        <f aca="true" t="shared" si="957" ref="G1812:G1814">"汉语言文学"</f>
        <v>汉语言文学</v>
      </c>
      <c r="H1812" s="7" t="s">
        <v>10</v>
      </c>
    </row>
    <row r="1813" spans="1:8" ht="15" customHeight="1">
      <c r="A1813" s="5">
        <v>1811</v>
      </c>
      <c r="B1813" s="8" t="str">
        <f>"王业权"</f>
        <v>王业权</v>
      </c>
      <c r="C1813" s="8" t="str">
        <f>"男"</f>
        <v>男</v>
      </c>
      <c r="D1813" s="8" t="str">
        <f>"1997-09-18"</f>
        <v>1997-09-18</v>
      </c>
      <c r="E1813" s="8" t="str">
        <f>"大学本科学历"</f>
        <v>大学本科学历</v>
      </c>
      <c r="F1813" s="8" t="str">
        <f t="shared" si="956"/>
        <v>文学学士</v>
      </c>
      <c r="G1813" s="8" t="str">
        <f t="shared" si="957"/>
        <v>汉语言文学</v>
      </c>
      <c r="H1813" s="7" t="s">
        <v>10</v>
      </c>
    </row>
    <row r="1814" spans="1:8" ht="15" customHeight="1">
      <c r="A1814" s="5">
        <v>1812</v>
      </c>
      <c r="B1814" s="8" t="str">
        <f>"王晶晶"</f>
        <v>王晶晶</v>
      </c>
      <c r="C1814" s="8" t="str">
        <f aca="true" t="shared" si="958" ref="C1814:C1818">"女"</f>
        <v>女</v>
      </c>
      <c r="D1814" s="8" t="str">
        <f>"1994-01-02"</f>
        <v>1994-01-02</v>
      </c>
      <c r="E1814" s="8" t="str">
        <f>"大学本科学历"</f>
        <v>大学本科学历</v>
      </c>
      <c r="F1814" s="8" t="str">
        <f t="shared" si="956"/>
        <v>文学学士</v>
      </c>
      <c r="G1814" s="8" t="str">
        <f t="shared" si="957"/>
        <v>汉语言文学</v>
      </c>
      <c r="H1814" s="7" t="s">
        <v>10</v>
      </c>
    </row>
    <row r="1815" spans="1:8" ht="15" customHeight="1">
      <c r="A1815" s="5">
        <v>1813</v>
      </c>
      <c r="B1815" s="8" t="str">
        <f>"方晴"</f>
        <v>方晴</v>
      </c>
      <c r="C1815" s="8" t="str">
        <f t="shared" si="958"/>
        <v>女</v>
      </c>
      <c r="D1815" s="8" t="str">
        <f>"1998-06-23"</f>
        <v>1998-06-23</v>
      </c>
      <c r="E1815" s="8" t="str">
        <f aca="true" t="shared" si="959" ref="E1815:E1823">"本科"</f>
        <v>本科</v>
      </c>
      <c r="F1815" s="8" t="str">
        <f t="shared" si="956"/>
        <v>文学学士</v>
      </c>
      <c r="G1815" s="8" t="str">
        <f>"汉语言文学专业"</f>
        <v>汉语言文学专业</v>
      </c>
      <c r="H1815" s="7" t="s">
        <v>10</v>
      </c>
    </row>
    <row r="1816" spans="1:8" ht="15" customHeight="1">
      <c r="A1816" s="5">
        <v>1814</v>
      </c>
      <c r="B1816" s="8" t="str">
        <f>"唐庆慧"</f>
        <v>唐庆慧</v>
      </c>
      <c r="C1816" s="8" t="str">
        <f t="shared" si="958"/>
        <v>女</v>
      </c>
      <c r="D1816" s="8" t="str">
        <f>"1997-09-18"</f>
        <v>1997-09-18</v>
      </c>
      <c r="E1816" s="8" t="str">
        <f>"大学本科"</f>
        <v>大学本科</v>
      </c>
      <c r="F1816" s="8" t="str">
        <f t="shared" si="956"/>
        <v>文学学士</v>
      </c>
      <c r="G1816" s="8" t="str">
        <f>"汉语言文学"</f>
        <v>汉语言文学</v>
      </c>
      <c r="H1816" s="7" t="s">
        <v>10</v>
      </c>
    </row>
    <row r="1817" spans="1:8" ht="15" customHeight="1">
      <c r="A1817" s="5">
        <v>1815</v>
      </c>
      <c r="B1817" s="8" t="str">
        <f>"杨雅婷"</f>
        <v>杨雅婷</v>
      </c>
      <c r="C1817" s="8" t="str">
        <f t="shared" si="958"/>
        <v>女</v>
      </c>
      <c r="D1817" s="8" t="str">
        <f>"1999-02-16"</f>
        <v>1999-02-16</v>
      </c>
      <c r="E1817" s="8" t="str">
        <f t="shared" si="959"/>
        <v>本科</v>
      </c>
      <c r="F1817" s="8" t="str">
        <f>"法学学士"</f>
        <v>法学学士</v>
      </c>
      <c r="G1817" s="8" t="str">
        <f>"监所管理"</f>
        <v>监所管理</v>
      </c>
      <c r="H1817" s="7" t="s">
        <v>10</v>
      </c>
    </row>
    <row r="1818" spans="1:8" ht="15" customHeight="1">
      <c r="A1818" s="5">
        <v>1816</v>
      </c>
      <c r="B1818" s="8" t="str">
        <f>"王孟兰"</f>
        <v>王孟兰</v>
      </c>
      <c r="C1818" s="8" t="str">
        <f t="shared" si="958"/>
        <v>女</v>
      </c>
      <c r="D1818" s="8" t="str">
        <f>"2000-02-25"</f>
        <v>2000-02-25</v>
      </c>
      <c r="E1818" s="8" t="str">
        <f t="shared" si="959"/>
        <v>本科</v>
      </c>
      <c r="F1818" s="8" t="str">
        <f>"无"</f>
        <v>无</v>
      </c>
      <c r="G1818" s="8" t="str">
        <f>"法学"</f>
        <v>法学</v>
      </c>
      <c r="H1818" s="7" t="s">
        <v>10</v>
      </c>
    </row>
    <row r="1819" spans="1:8" ht="15" customHeight="1">
      <c r="A1819" s="5">
        <v>1817</v>
      </c>
      <c r="B1819" s="8" t="str">
        <f>"杨瑞祥"</f>
        <v>杨瑞祥</v>
      </c>
      <c r="C1819" s="8" t="str">
        <f aca="true" t="shared" si="960" ref="C1819:C1826">"男"</f>
        <v>男</v>
      </c>
      <c r="D1819" s="8" t="str">
        <f>"1999-01-21"</f>
        <v>1999-01-21</v>
      </c>
      <c r="E1819" s="8" t="str">
        <f t="shared" si="959"/>
        <v>本科</v>
      </c>
      <c r="F1819" s="8" t="str">
        <f>"文学学士"</f>
        <v>文学学士</v>
      </c>
      <c r="G1819" s="8" t="str">
        <f>"汉语言文学（师范）"</f>
        <v>汉语言文学（师范）</v>
      </c>
      <c r="H1819" s="7" t="s">
        <v>10</v>
      </c>
    </row>
    <row r="1820" spans="1:8" ht="15" customHeight="1">
      <c r="A1820" s="5">
        <v>1818</v>
      </c>
      <c r="B1820" s="8" t="str">
        <f>"谢辉"</f>
        <v>谢辉</v>
      </c>
      <c r="C1820" s="8" t="str">
        <f t="shared" si="960"/>
        <v>男</v>
      </c>
      <c r="D1820" s="8" t="str">
        <f>"1992-05-17"</f>
        <v>1992-05-17</v>
      </c>
      <c r="E1820" s="8" t="str">
        <f t="shared" si="959"/>
        <v>本科</v>
      </c>
      <c r="F1820" s="8" t="str">
        <f>"工学学士"</f>
        <v>工学学士</v>
      </c>
      <c r="G1820" s="8" t="str">
        <f>"土木工程"</f>
        <v>土木工程</v>
      </c>
      <c r="H1820" s="7" t="s">
        <v>10</v>
      </c>
    </row>
    <row r="1821" spans="1:8" ht="15" customHeight="1">
      <c r="A1821" s="5">
        <v>1819</v>
      </c>
      <c r="B1821" s="8" t="str">
        <f>"黎春花"</f>
        <v>黎春花</v>
      </c>
      <c r="C1821" s="8" t="str">
        <f aca="true" t="shared" si="961" ref="C1821:C1823">"女"</f>
        <v>女</v>
      </c>
      <c r="D1821" s="8" t="str">
        <f>"1996-05-21"</f>
        <v>1996-05-21</v>
      </c>
      <c r="E1821" s="8" t="str">
        <f t="shared" si="959"/>
        <v>本科</v>
      </c>
      <c r="F1821" s="8" t="str">
        <f>"汉语国际教育 学士"</f>
        <v>汉语国际教育 学士</v>
      </c>
      <c r="G1821" s="8" t="str">
        <f>"汉语国际教育"</f>
        <v>汉语国际教育</v>
      </c>
      <c r="H1821" s="7" t="s">
        <v>10</v>
      </c>
    </row>
    <row r="1822" spans="1:8" ht="15" customHeight="1">
      <c r="A1822" s="5">
        <v>1820</v>
      </c>
      <c r="B1822" s="8" t="str">
        <f>"王丽霞"</f>
        <v>王丽霞</v>
      </c>
      <c r="C1822" s="8" t="str">
        <f t="shared" si="961"/>
        <v>女</v>
      </c>
      <c r="D1822" s="8" t="str">
        <f>"2000-07-29"</f>
        <v>2000-07-29</v>
      </c>
      <c r="E1822" s="8" t="str">
        <f t="shared" si="959"/>
        <v>本科</v>
      </c>
      <c r="F1822" s="8" t="str">
        <f aca="true" t="shared" si="962" ref="F1822:F1827">"工学学士"</f>
        <v>工学学士</v>
      </c>
      <c r="G1822" s="8" t="str">
        <f>"数字媒体技术"</f>
        <v>数字媒体技术</v>
      </c>
      <c r="H1822" s="7" t="s">
        <v>10</v>
      </c>
    </row>
    <row r="1823" spans="1:8" ht="15" customHeight="1">
      <c r="A1823" s="5">
        <v>1821</v>
      </c>
      <c r="B1823" s="8" t="str">
        <f>"黄旭秀"</f>
        <v>黄旭秀</v>
      </c>
      <c r="C1823" s="8" t="str">
        <f t="shared" si="961"/>
        <v>女</v>
      </c>
      <c r="D1823" s="8" t="str">
        <f>"1996-08-30"</f>
        <v>1996-08-30</v>
      </c>
      <c r="E1823" s="8" t="str">
        <f t="shared" si="959"/>
        <v>本科</v>
      </c>
      <c r="F1823" s="8" t="str">
        <f>"学士"</f>
        <v>学士</v>
      </c>
      <c r="G1823" s="8" t="str">
        <f>"网络工程"</f>
        <v>网络工程</v>
      </c>
      <c r="H1823" s="7" t="s">
        <v>10</v>
      </c>
    </row>
    <row r="1824" spans="1:8" ht="15" customHeight="1">
      <c r="A1824" s="5">
        <v>1822</v>
      </c>
      <c r="B1824" s="8" t="str">
        <f>"黄家禄"</f>
        <v>黄家禄</v>
      </c>
      <c r="C1824" s="8" t="str">
        <f t="shared" si="960"/>
        <v>男</v>
      </c>
      <c r="D1824" s="8" t="str">
        <f>"1992-04-25"</f>
        <v>1992-04-25</v>
      </c>
      <c r="E1824" s="8" t="str">
        <f>"大学本科"</f>
        <v>大学本科</v>
      </c>
      <c r="F1824" s="8" t="str">
        <f>"工学学位"</f>
        <v>工学学位</v>
      </c>
      <c r="G1824" s="8" t="str">
        <f>"数字媒体技术"</f>
        <v>数字媒体技术</v>
      </c>
      <c r="H1824" s="7" t="s">
        <v>10</v>
      </c>
    </row>
    <row r="1825" spans="1:8" ht="15" customHeight="1">
      <c r="A1825" s="5">
        <v>1823</v>
      </c>
      <c r="B1825" s="8" t="str">
        <f>"闵友畅"</f>
        <v>闵友畅</v>
      </c>
      <c r="C1825" s="8" t="str">
        <f t="shared" si="960"/>
        <v>男</v>
      </c>
      <c r="D1825" s="8" t="str">
        <f>"1999-01-18"</f>
        <v>1999-01-18</v>
      </c>
      <c r="E1825" s="8" t="str">
        <f aca="true" t="shared" si="963" ref="E1825:E1830">"本科"</f>
        <v>本科</v>
      </c>
      <c r="F1825" s="8" t="str">
        <f>"工学学位"</f>
        <v>工学学位</v>
      </c>
      <c r="G1825" s="8" t="str">
        <f aca="true" t="shared" si="964" ref="G1825:G1830">"通信工程"</f>
        <v>通信工程</v>
      </c>
      <c r="H1825" s="7" t="s">
        <v>10</v>
      </c>
    </row>
    <row r="1826" spans="1:8" ht="15" customHeight="1">
      <c r="A1826" s="5">
        <v>1824</v>
      </c>
      <c r="B1826" s="8" t="str">
        <f>"梁彬"</f>
        <v>梁彬</v>
      </c>
      <c r="C1826" s="8" t="str">
        <f t="shared" si="960"/>
        <v>男</v>
      </c>
      <c r="D1826" s="8" t="str">
        <f>"1991-01-29"</f>
        <v>1991-01-29</v>
      </c>
      <c r="E1826" s="8" t="str">
        <f>"大学本科"</f>
        <v>大学本科</v>
      </c>
      <c r="F1826" s="8" t="str">
        <f t="shared" si="962"/>
        <v>工学学士</v>
      </c>
      <c r="G1826" s="8" t="str">
        <f t="shared" si="964"/>
        <v>通信工程</v>
      </c>
      <c r="H1826" s="7" t="s">
        <v>10</v>
      </c>
    </row>
    <row r="1827" spans="1:8" ht="15" customHeight="1">
      <c r="A1827" s="5">
        <v>1825</v>
      </c>
      <c r="B1827" s="8" t="str">
        <f>"陈芸"</f>
        <v>陈芸</v>
      </c>
      <c r="C1827" s="8" t="str">
        <f aca="true" t="shared" si="965" ref="C1827:C1831">"女"</f>
        <v>女</v>
      </c>
      <c r="D1827" s="8" t="str">
        <f>"1988-01-03"</f>
        <v>1988-01-03</v>
      </c>
      <c r="E1827" s="8" t="str">
        <f t="shared" si="963"/>
        <v>本科</v>
      </c>
      <c r="F1827" s="8" t="str">
        <f t="shared" si="962"/>
        <v>工学学士</v>
      </c>
      <c r="G1827" s="8" t="str">
        <f>"软件工程（属计算机类）"</f>
        <v>软件工程（属计算机类）</v>
      </c>
      <c r="H1827" s="7" t="s">
        <v>10</v>
      </c>
    </row>
    <row r="1828" spans="1:8" ht="15" customHeight="1">
      <c r="A1828" s="5">
        <v>1826</v>
      </c>
      <c r="B1828" s="8" t="str">
        <f>"陈小兰"</f>
        <v>陈小兰</v>
      </c>
      <c r="C1828" s="8" t="str">
        <f t="shared" si="965"/>
        <v>女</v>
      </c>
      <c r="D1828" s="8" t="str">
        <f>"1993-02-15"</f>
        <v>1993-02-15</v>
      </c>
      <c r="E1828" s="8" t="str">
        <f t="shared" si="963"/>
        <v>本科</v>
      </c>
      <c r="F1828" s="8" t="str">
        <f>"学士"</f>
        <v>学士</v>
      </c>
      <c r="G1828" s="8" t="str">
        <f>"软件工程"</f>
        <v>软件工程</v>
      </c>
      <c r="H1828" s="7" t="s">
        <v>10</v>
      </c>
    </row>
    <row r="1829" spans="1:8" ht="15" customHeight="1">
      <c r="A1829" s="5">
        <v>1827</v>
      </c>
      <c r="B1829" s="8" t="str">
        <f>"黄琳"</f>
        <v>黄琳</v>
      </c>
      <c r="C1829" s="8" t="str">
        <f t="shared" si="965"/>
        <v>女</v>
      </c>
      <c r="D1829" s="8" t="str">
        <f>"1995-02-12"</f>
        <v>1995-02-12</v>
      </c>
      <c r="E1829" s="8" t="str">
        <f t="shared" si="963"/>
        <v>本科</v>
      </c>
      <c r="F1829" s="8" t="str">
        <f>"学士学位"</f>
        <v>学士学位</v>
      </c>
      <c r="G1829" s="8" t="str">
        <f>"软件工程"</f>
        <v>软件工程</v>
      </c>
      <c r="H1829" s="7" t="s">
        <v>10</v>
      </c>
    </row>
    <row r="1830" spans="1:8" ht="15" customHeight="1">
      <c r="A1830" s="5">
        <v>1828</v>
      </c>
      <c r="B1830" s="8" t="str">
        <f>"陈慧妮"</f>
        <v>陈慧妮</v>
      </c>
      <c r="C1830" s="8" t="str">
        <f t="shared" si="965"/>
        <v>女</v>
      </c>
      <c r="D1830" s="8" t="str">
        <f>"1999-01-16"</f>
        <v>1999-01-16</v>
      </c>
      <c r="E1830" s="8" t="str">
        <f t="shared" si="963"/>
        <v>本科</v>
      </c>
      <c r="F1830" s="8" t="str">
        <f aca="true" t="shared" si="966" ref="F1830:F1834">"工学学士"</f>
        <v>工学学士</v>
      </c>
      <c r="G1830" s="8" t="str">
        <f t="shared" si="964"/>
        <v>通信工程</v>
      </c>
      <c r="H1830" s="7" t="s">
        <v>10</v>
      </c>
    </row>
    <row r="1831" spans="1:8" ht="15" customHeight="1">
      <c r="A1831" s="5">
        <v>1829</v>
      </c>
      <c r="B1831" s="8" t="str">
        <f>"吕秀娥"</f>
        <v>吕秀娥</v>
      </c>
      <c r="C1831" s="8" t="str">
        <f t="shared" si="965"/>
        <v>女</v>
      </c>
      <c r="D1831" s="8" t="str">
        <f>"1994-06-21"</f>
        <v>1994-06-21</v>
      </c>
      <c r="E1831" s="8" t="str">
        <f>"大学本科"</f>
        <v>大学本科</v>
      </c>
      <c r="F1831" s="8" t="str">
        <f>"学士学位"</f>
        <v>学士学位</v>
      </c>
      <c r="G1831" s="8" t="str">
        <f>"数字媒体技术（计算机类）"</f>
        <v>数字媒体技术（计算机类）</v>
      </c>
      <c r="H1831" s="7" t="s">
        <v>10</v>
      </c>
    </row>
    <row r="1832" spans="1:8" ht="15" customHeight="1">
      <c r="A1832" s="5">
        <v>1830</v>
      </c>
      <c r="B1832" s="8" t="str">
        <f>"曾小通"</f>
        <v>曾小通</v>
      </c>
      <c r="C1832" s="8" t="str">
        <f aca="true" t="shared" si="967" ref="C1832:C1835">"男"</f>
        <v>男</v>
      </c>
      <c r="D1832" s="8" t="str">
        <f>"1998-02-20"</f>
        <v>1998-02-20</v>
      </c>
      <c r="E1832" s="8" t="str">
        <f aca="true" t="shared" si="968" ref="E1832:E1837">"本科"</f>
        <v>本科</v>
      </c>
      <c r="F1832" s="8" t="str">
        <f t="shared" si="966"/>
        <v>工学学士</v>
      </c>
      <c r="G1832" s="8" t="str">
        <f>"数字媒体技术"</f>
        <v>数字媒体技术</v>
      </c>
      <c r="H1832" s="7" t="s">
        <v>10</v>
      </c>
    </row>
    <row r="1833" spans="1:8" ht="15" customHeight="1">
      <c r="A1833" s="5">
        <v>1831</v>
      </c>
      <c r="B1833" s="8" t="str">
        <f>"蒲光德"</f>
        <v>蒲光德</v>
      </c>
      <c r="C1833" s="8" t="str">
        <f t="shared" si="967"/>
        <v>男</v>
      </c>
      <c r="D1833" s="8" t="str">
        <f>"1999-09-22"</f>
        <v>1999-09-22</v>
      </c>
      <c r="E1833" s="8" t="str">
        <f t="shared" si="968"/>
        <v>本科</v>
      </c>
      <c r="F1833" s="8" t="str">
        <f t="shared" si="966"/>
        <v>工学学士</v>
      </c>
      <c r="G1833" s="8" t="str">
        <f>"数据科学与大数据技术"</f>
        <v>数据科学与大数据技术</v>
      </c>
      <c r="H1833" s="7" t="s">
        <v>10</v>
      </c>
    </row>
    <row r="1834" spans="1:8" ht="15" customHeight="1">
      <c r="A1834" s="5">
        <v>1832</v>
      </c>
      <c r="B1834" s="8" t="str">
        <f>"黄良峰"</f>
        <v>黄良峰</v>
      </c>
      <c r="C1834" s="8" t="str">
        <f t="shared" si="967"/>
        <v>男</v>
      </c>
      <c r="D1834" s="8" t="str">
        <f>"2001-02-24"</f>
        <v>2001-02-24</v>
      </c>
      <c r="E1834" s="8" t="str">
        <f>"大学本科学历"</f>
        <v>大学本科学历</v>
      </c>
      <c r="F1834" s="8" t="str">
        <f t="shared" si="966"/>
        <v>工学学士</v>
      </c>
      <c r="G1834" s="8" t="str">
        <f aca="true" t="shared" si="969" ref="G1834:G1839">"计算机科学与技术"</f>
        <v>计算机科学与技术</v>
      </c>
      <c r="H1834" s="7" t="s">
        <v>10</v>
      </c>
    </row>
    <row r="1835" spans="1:8" ht="15" customHeight="1">
      <c r="A1835" s="5">
        <v>1833</v>
      </c>
      <c r="B1835" s="8" t="str">
        <f>"刘杰"</f>
        <v>刘杰</v>
      </c>
      <c r="C1835" s="8" t="str">
        <f t="shared" si="967"/>
        <v>男</v>
      </c>
      <c r="D1835" s="8" t="str">
        <f>"1997-08-03"</f>
        <v>1997-08-03</v>
      </c>
      <c r="E1835" s="8" t="str">
        <f t="shared" si="968"/>
        <v>本科</v>
      </c>
      <c r="F1835" s="8" t="str">
        <f>"无"</f>
        <v>无</v>
      </c>
      <c r="G1835" s="8" t="str">
        <f t="shared" si="969"/>
        <v>计算机科学与技术</v>
      </c>
      <c r="H1835" s="7" t="s">
        <v>10</v>
      </c>
    </row>
    <row r="1836" spans="1:8" ht="15" customHeight="1">
      <c r="A1836" s="5">
        <v>1834</v>
      </c>
      <c r="B1836" s="8" t="str">
        <f>"林祥斯"</f>
        <v>林祥斯</v>
      </c>
      <c r="C1836" s="8" t="str">
        <f aca="true" t="shared" si="970" ref="C1836:C1838">"女"</f>
        <v>女</v>
      </c>
      <c r="D1836" s="8" t="str">
        <f>"2001-06-08"</f>
        <v>2001-06-08</v>
      </c>
      <c r="E1836" s="8" t="str">
        <f t="shared" si="968"/>
        <v>本科</v>
      </c>
      <c r="F1836" s="8" t="str">
        <f aca="true" t="shared" si="971" ref="F1836:F1838">"工学学士"</f>
        <v>工学学士</v>
      </c>
      <c r="G1836" s="8" t="str">
        <f>"电子信息科学与技术"</f>
        <v>电子信息科学与技术</v>
      </c>
      <c r="H1836" s="7" t="s">
        <v>10</v>
      </c>
    </row>
    <row r="1837" spans="1:8" ht="15" customHeight="1">
      <c r="A1837" s="5">
        <v>1835</v>
      </c>
      <c r="B1837" s="8" t="str">
        <f>"林秋懈"</f>
        <v>林秋懈</v>
      </c>
      <c r="C1837" s="8" t="str">
        <f t="shared" si="970"/>
        <v>女</v>
      </c>
      <c r="D1837" s="8" t="str">
        <f>"2001-04-02"</f>
        <v>2001-04-02</v>
      </c>
      <c r="E1837" s="8" t="str">
        <f t="shared" si="968"/>
        <v>本科</v>
      </c>
      <c r="F1837" s="8" t="str">
        <f t="shared" si="971"/>
        <v>工学学士</v>
      </c>
      <c r="G1837" s="8" t="str">
        <f aca="true" t="shared" si="972" ref="G1837:G1840">"软件工程"</f>
        <v>软件工程</v>
      </c>
      <c r="H1837" s="7" t="s">
        <v>10</v>
      </c>
    </row>
    <row r="1838" spans="1:8" ht="15" customHeight="1">
      <c r="A1838" s="5">
        <v>1836</v>
      </c>
      <c r="B1838" s="8" t="str">
        <f>"李梅"</f>
        <v>李梅</v>
      </c>
      <c r="C1838" s="8" t="str">
        <f t="shared" si="970"/>
        <v>女</v>
      </c>
      <c r="D1838" s="8" t="str">
        <f>"1998-08-23"</f>
        <v>1998-08-23</v>
      </c>
      <c r="E1838" s="8" t="str">
        <f>"大学本科学历"</f>
        <v>大学本科学历</v>
      </c>
      <c r="F1838" s="8" t="str">
        <f t="shared" si="971"/>
        <v>工学学士</v>
      </c>
      <c r="G1838" s="8" t="str">
        <f t="shared" si="972"/>
        <v>软件工程</v>
      </c>
      <c r="H1838" s="7" t="s">
        <v>10</v>
      </c>
    </row>
    <row r="1839" spans="1:8" ht="15" customHeight="1">
      <c r="A1839" s="5">
        <v>1837</v>
      </c>
      <c r="B1839" s="8" t="str">
        <f>"符方思"</f>
        <v>符方思</v>
      </c>
      <c r="C1839" s="8" t="str">
        <f aca="true" t="shared" si="973" ref="C1839:C1849">"男"</f>
        <v>男</v>
      </c>
      <c r="D1839" s="8" t="str">
        <f>"1996-07-29"</f>
        <v>1996-07-29</v>
      </c>
      <c r="E1839" s="8" t="str">
        <f aca="true" t="shared" si="974" ref="E1839:E1848">"本科"</f>
        <v>本科</v>
      </c>
      <c r="F1839" s="8" t="str">
        <f>"学士"</f>
        <v>学士</v>
      </c>
      <c r="G1839" s="8" t="str">
        <f t="shared" si="969"/>
        <v>计算机科学与技术</v>
      </c>
      <c r="H1839" s="7" t="s">
        <v>10</v>
      </c>
    </row>
    <row r="1840" spans="1:8" ht="15" customHeight="1">
      <c r="A1840" s="5">
        <v>1838</v>
      </c>
      <c r="B1840" s="8" t="str">
        <f>"王选登"</f>
        <v>王选登</v>
      </c>
      <c r="C1840" s="8" t="str">
        <f t="shared" si="973"/>
        <v>男</v>
      </c>
      <c r="D1840" s="8" t="str">
        <f>"1998-01-12"</f>
        <v>1998-01-12</v>
      </c>
      <c r="E1840" s="8" t="str">
        <f>"大学本科学历"</f>
        <v>大学本科学历</v>
      </c>
      <c r="F1840" s="8" t="str">
        <f aca="true" t="shared" si="975" ref="F1840:F1850">"工学学士"</f>
        <v>工学学士</v>
      </c>
      <c r="G1840" s="8" t="str">
        <f t="shared" si="972"/>
        <v>软件工程</v>
      </c>
      <c r="H1840" s="7" t="s">
        <v>10</v>
      </c>
    </row>
    <row r="1841" spans="1:8" ht="15" customHeight="1">
      <c r="A1841" s="5">
        <v>1839</v>
      </c>
      <c r="B1841" s="8" t="str">
        <f>"李小欣"</f>
        <v>李小欣</v>
      </c>
      <c r="C1841" s="8" t="str">
        <f>"女"</f>
        <v>女</v>
      </c>
      <c r="D1841" s="8" t="str">
        <f>"1995-11-20"</f>
        <v>1995-11-20</v>
      </c>
      <c r="E1841" s="8" t="str">
        <f>"大学本科"</f>
        <v>大学本科</v>
      </c>
      <c r="F1841" s="8" t="str">
        <f t="shared" si="975"/>
        <v>工学学士</v>
      </c>
      <c r="G1841" s="8" t="str">
        <f>"物联网工程"</f>
        <v>物联网工程</v>
      </c>
      <c r="H1841" s="7" t="s">
        <v>10</v>
      </c>
    </row>
    <row r="1842" spans="1:8" ht="15" customHeight="1">
      <c r="A1842" s="5">
        <v>1840</v>
      </c>
      <c r="B1842" s="8" t="str">
        <f>"黄宗阳"</f>
        <v>黄宗阳</v>
      </c>
      <c r="C1842" s="8" t="str">
        <f t="shared" si="973"/>
        <v>男</v>
      </c>
      <c r="D1842" s="8" t="str">
        <f>"1997-09-01"</f>
        <v>1997-09-01</v>
      </c>
      <c r="E1842" s="8" t="str">
        <f t="shared" si="974"/>
        <v>本科</v>
      </c>
      <c r="F1842" s="8" t="str">
        <f>"学士"</f>
        <v>学士</v>
      </c>
      <c r="G1842" s="8" t="str">
        <f>"计算机科学与技术"</f>
        <v>计算机科学与技术</v>
      </c>
      <c r="H1842" s="7" t="s">
        <v>10</v>
      </c>
    </row>
    <row r="1843" spans="1:8" ht="15" customHeight="1">
      <c r="A1843" s="5">
        <v>1841</v>
      </c>
      <c r="B1843" s="8" t="str">
        <f>"王富鹏"</f>
        <v>王富鹏</v>
      </c>
      <c r="C1843" s="8" t="str">
        <f t="shared" si="973"/>
        <v>男</v>
      </c>
      <c r="D1843" s="8" t="str">
        <f>"1996-02-11"</f>
        <v>1996-02-11</v>
      </c>
      <c r="E1843" s="8" t="str">
        <f t="shared" si="974"/>
        <v>本科</v>
      </c>
      <c r="F1843" s="8" t="str">
        <f t="shared" si="975"/>
        <v>工学学士</v>
      </c>
      <c r="G1843" s="8" t="str">
        <f aca="true" t="shared" si="976" ref="G1843:G1849">"软件工程"</f>
        <v>软件工程</v>
      </c>
      <c r="H1843" s="7" t="s">
        <v>10</v>
      </c>
    </row>
    <row r="1844" spans="1:8" ht="15" customHeight="1">
      <c r="A1844" s="5">
        <v>1842</v>
      </c>
      <c r="B1844" s="8" t="str">
        <f>"韦克"</f>
        <v>韦克</v>
      </c>
      <c r="C1844" s="8" t="str">
        <f t="shared" si="973"/>
        <v>男</v>
      </c>
      <c r="D1844" s="8" t="str">
        <f>"2000-03-14"</f>
        <v>2000-03-14</v>
      </c>
      <c r="E1844" s="8" t="str">
        <f t="shared" si="974"/>
        <v>本科</v>
      </c>
      <c r="F1844" s="8" t="str">
        <f t="shared" si="975"/>
        <v>工学学士</v>
      </c>
      <c r="G1844" s="8" t="str">
        <f>"大数据技术与应用"</f>
        <v>大数据技术与应用</v>
      </c>
      <c r="H1844" s="7" t="s">
        <v>10</v>
      </c>
    </row>
    <row r="1845" spans="1:8" ht="15" customHeight="1">
      <c r="A1845" s="5">
        <v>1843</v>
      </c>
      <c r="B1845" s="8" t="str">
        <f>"苏豪"</f>
        <v>苏豪</v>
      </c>
      <c r="C1845" s="8" t="str">
        <f t="shared" si="973"/>
        <v>男</v>
      </c>
      <c r="D1845" s="8" t="str">
        <f>"1995-03-25"</f>
        <v>1995-03-25</v>
      </c>
      <c r="E1845" s="8" t="str">
        <f t="shared" si="974"/>
        <v>本科</v>
      </c>
      <c r="F1845" s="8" t="str">
        <f t="shared" si="975"/>
        <v>工学学士</v>
      </c>
      <c r="G1845" s="8" t="str">
        <f>"数字媒体技术"</f>
        <v>数字媒体技术</v>
      </c>
      <c r="H1845" s="7" t="s">
        <v>10</v>
      </c>
    </row>
    <row r="1846" spans="1:8" ht="15" customHeight="1">
      <c r="A1846" s="5">
        <v>1844</v>
      </c>
      <c r="B1846" s="8" t="str">
        <f>"林尤健"</f>
        <v>林尤健</v>
      </c>
      <c r="C1846" s="8" t="str">
        <f t="shared" si="973"/>
        <v>男</v>
      </c>
      <c r="D1846" s="8" t="str">
        <f>"1995-12-10"</f>
        <v>1995-12-10</v>
      </c>
      <c r="E1846" s="8" t="str">
        <f t="shared" si="974"/>
        <v>本科</v>
      </c>
      <c r="F1846" s="8" t="str">
        <f t="shared" si="975"/>
        <v>工学学士</v>
      </c>
      <c r="G1846" s="8" t="str">
        <f t="shared" si="976"/>
        <v>软件工程</v>
      </c>
      <c r="H1846" s="7" t="s">
        <v>10</v>
      </c>
    </row>
    <row r="1847" spans="1:8" ht="15" customHeight="1">
      <c r="A1847" s="5">
        <v>1845</v>
      </c>
      <c r="B1847" s="8" t="str">
        <f>"陈一凡"</f>
        <v>陈一凡</v>
      </c>
      <c r="C1847" s="8" t="str">
        <f t="shared" si="973"/>
        <v>男</v>
      </c>
      <c r="D1847" s="8" t="str">
        <f>"1997-01-23"</f>
        <v>1997-01-23</v>
      </c>
      <c r="E1847" s="8" t="str">
        <f t="shared" si="974"/>
        <v>本科</v>
      </c>
      <c r="F1847" s="8" t="str">
        <f t="shared" si="975"/>
        <v>工学学士</v>
      </c>
      <c r="G1847" s="8" t="str">
        <f>"智能科学与技术"</f>
        <v>智能科学与技术</v>
      </c>
      <c r="H1847" s="7" t="s">
        <v>10</v>
      </c>
    </row>
    <row r="1848" spans="1:8" ht="15" customHeight="1">
      <c r="A1848" s="5">
        <v>1846</v>
      </c>
      <c r="B1848" s="8" t="str">
        <f>"陈映坪"</f>
        <v>陈映坪</v>
      </c>
      <c r="C1848" s="8" t="str">
        <f t="shared" si="973"/>
        <v>男</v>
      </c>
      <c r="D1848" s="8" t="str">
        <f>"2001-08-13"</f>
        <v>2001-08-13</v>
      </c>
      <c r="E1848" s="8" t="str">
        <f t="shared" si="974"/>
        <v>本科</v>
      </c>
      <c r="F1848" s="8" t="str">
        <f t="shared" si="975"/>
        <v>工学学士</v>
      </c>
      <c r="G1848" s="8" t="str">
        <f t="shared" si="976"/>
        <v>软件工程</v>
      </c>
      <c r="H1848" s="7" t="s">
        <v>10</v>
      </c>
    </row>
    <row r="1849" spans="1:8" ht="15" customHeight="1">
      <c r="A1849" s="5">
        <v>1847</v>
      </c>
      <c r="B1849" s="8" t="str">
        <f>"杨向佳"</f>
        <v>杨向佳</v>
      </c>
      <c r="C1849" s="8" t="str">
        <f t="shared" si="973"/>
        <v>男</v>
      </c>
      <c r="D1849" s="8" t="str">
        <f>"1996-09-09"</f>
        <v>1996-09-09</v>
      </c>
      <c r="E1849" s="8" t="str">
        <f aca="true" t="shared" si="977" ref="E1849:E1854">"大学本科"</f>
        <v>大学本科</v>
      </c>
      <c r="F1849" s="8" t="str">
        <f t="shared" si="975"/>
        <v>工学学士</v>
      </c>
      <c r="G1849" s="8" t="str">
        <f t="shared" si="976"/>
        <v>软件工程</v>
      </c>
      <c r="H1849" s="7" t="s">
        <v>10</v>
      </c>
    </row>
    <row r="1850" spans="1:8" ht="15" customHeight="1">
      <c r="A1850" s="5">
        <v>1848</v>
      </c>
      <c r="B1850" s="8" t="str">
        <f>"王婉婷"</f>
        <v>王婉婷</v>
      </c>
      <c r="C1850" s="8" t="str">
        <f>"女"</f>
        <v>女</v>
      </c>
      <c r="D1850" s="8" t="str">
        <f>"1997-02-04"</f>
        <v>1997-02-04</v>
      </c>
      <c r="E1850" s="8" t="str">
        <f t="shared" si="977"/>
        <v>大学本科</v>
      </c>
      <c r="F1850" s="8" t="str">
        <f t="shared" si="975"/>
        <v>工学学士</v>
      </c>
      <c r="G1850" s="8" t="str">
        <f>"数字媒体技术"</f>
        <v>数字媒体技术</v>
      </c>
      <c r="H1850" s="7" t="s">
        <v>10</v>
      </c>
    </row>
    <row r="1851" spans="1:8" ht="15" customHeight="1">
      <c r="A1851" s="5">
        <v>1849</v>
      </c>
      <c r="B1851" s="8" t="str">
        <f>"符俊新"</f>
        <v>符俊新</v>
      </c>
      <c r="C1851" s="8" t="str">
        <f aca="true" t="shared" si="978" ref="C1851:C1854">"男"</f>
        <v>男</v>
      </c>
      <c r="D1851" s="8" t="str">
        <f>"1997-11-06"</f>
        <v>1997-11-06</v>
      </c>
      <c r="E1851" s="8" t="str">
        <f aca="true" t="shared" si="979" ref="E1851:E1855">"本科"</f>
        <v>本科</v>
      </c>
      <c r="F1851" s="8" t="str">
        <f>"无"</f>
        <v>无</v>
      </c>
      <c r="G1851" s="8" t="str">
        <f>"计算机科学与技术"</f>
        <v>计算机科学与技术</v>
      </c>
      <c r="H1851" s="7" t="s">
        <v>10</v>
      </c>
    </row>
    <row r="1852" spans="1:8" ht="15" customHeight="1">
      <c r="A1852" s="5">
        <v>1850</v>
      </c>
      <c r="B1852" s="8" t="str">
        <f>"王林彬"</f>
        <v>王林彬</v>
      </c>
      <c r="C1852" s="8" t="str">
        <f t="shared" si="978"/>
        <v>男</v>
      </c>
      <c r="D1852" s="8" t="str">
        <f>"1993-11-23"</f>
        <v>1993-11-23</v>
      </c>
      <c r="E1852" s="8" t="str">
        <f t="shared" si="979"/>
        <v>本科</v>
      </c>
      <c r="F1852" s="8" t="str">
        <f aca="true" t="shared" si="980" ref="F1852:F1863">"工学学士"</f>
        <v>工学学士</v>
      </c>
      <c r="G1852" s="8" t="str">
        <f>"软件工程"</f>
        <v>软件工程</v>
      </c>
      <c r="H1852" s="7" t="s">
        <v>10</v>
      </c>
    </row>
    <row r="1853" spans="1:8" ht="15" customHeight="1">
      <c r="A1853" s="5">
        <v>1851</v>
      </c>
      <c r="B1853" s="8" t="str">
        <f>"洪海"</f>
        <v>洪海</v>
      </c>
      <c r="C1853" s="8" t="str">
        <f t="shared" si="978"/>
        <v>男</v>
      </c>
      <c r="D1853" s="8" t="str">
        <f>"1992-08-02"</f>
        <v>1992-08-02</v>
      </c>
      <c r="E1853" s="8" t="str">
        <f>"大学本科学历"</f>
        <v>大学本科学历</v>
      </c>
      <c r="F1853" s="8" t="str">
        <f t="shared" si="980"/>
        <v>工学学士</v>
      </c>
      <c r="G1853" s="8" t="str">
        <f>"网络工程（物联网技术方向）"</f>
        <v>网络工程（物联网技术方向）</v>
      </c>
      <c r="H1853" s="7" t="s">
        <v>10</v>
      </c>
    </row>
    <row r="1854" spans="1:8" ht="15" customHeight="1">
      <c r="A1854" s="5">
        <v>1852</v>
      </c>
      <c r="B1854" s="8" t="str">
        <f>"高文俊"</f>
        <v>高文俊</v>
      </c>
      <c r="C1854" s="8" t="str">
        <f t="shared" si="978"/>
        <v>男</v>
      </c>
      <c r="D1854" s="8" t="str">
        <f>"1996-10-31"</f>
        <v>1996-10-31</v>
      </c>
      <c r="E1854" s="8" t="str">
        <f t="shared" si="977"/>
        <v>大学本科</v>
      </c>
      <c r="F1854" s="8" t="str">
        <f>"管理学学士"</f>
        <v>管理学学士</v>
      </c>
      <c r="G1854" s="8" t="str">
        <f>"信息管理与信息系统"</f>
        <v>信息管理与信息系统</v>
      </c>
      <c r="H1854" s="7" t="s">
        <v>10</v>
      </c>
    </row>
    <row r="1855" spans="1:8" ht="15" customHeight="1">
      <c r="A1855" s="5">
        <v>1853</v>
      </c>
      <c r="B1855" s="8" t="str">
        <f>"陈昕铃"</f>
        <v>陈昕铃</v>
      </c>
      <c r="C1855" s="8" t="str">
        <f aca="true" t="shared" si="981" ref="C1855:C1860">"女"</f>
        <v>女</v>
      </c>
      <c r="D1855" s="8" t="str">
        <f>"1998-03-19"</f>
        <v>1998-03-19</v>
      </c>
      <c r="E1855" s="8" t="str">
        <f t="shared" si="979"/>
        <v>本科</v>
      </c>
      <c r="F1855" s="8" t="str">
        <f>"理学学士"</f>
        <v>理学学士</v>
      </c>
      <c r="G1855" s="8" t="str">
        <f>"信息与计算科学"</f>
        <v>信息与计算科学</v>
      </c>
      <c r="H1855" s="7" t="s">
        <v>10</v>
      </c>
    </row>
    <row r="1856" spans="1:8" ht="15" customHeight="1">
      <c r="A1856" s="5">
        <v>1854</v>
      </c>
      <c r="B1856" s="8" t="str">
        <f>"何受军"</f>
        <v>何受军</v>
      </c>
      <c r="C1856" s="8" t="str">
        <f>"男"</f>
        <v>男</v>
      </c>
      <c r="D1856" s="8" t="str">
        <f>"1996-12-05"</f>
        <v>1996-12-05</v>
      </c>
      <c r="E1856" s="8" t="str">
        <f>"全日制本科"</f>
        <v>全日制本科</v>
      </c>
      <c r="F1856" s="8" t="str">
        <f t="shared" si="980"/>
        <v>工学学士</v>
      </c>
      <c r="G1856" s="8" t="str">
        <f>"计算机科学与技术"</f>
        <v>计算机科学与技术</v>
      </c>
      <c r="H1856" s="7" t="s">
        <v>10</v>
      </c>
    </row>
    <row r="1857" spans="1:8" ht="15" customHeight="1">
      <c r="A1857" s="5">
        <v>1855</v>
      </c>
      <c r="B1857" s="8" t="str">
        <f>"封梅丽"</f>
        <v>封梅丽</v>
      </c>
      <c r="C1857" s="8" t="str">
        <f t="shared" si="981"/>
        <v>女</v>
      </c>
      <c r="D1857" s="8" t="str">
        <f>"1992-09-11"</f>
        <v>1992-09-11</v>
      </c>
      <c r="E1857" s="8" t="str">
        <f aca="true" t="shared" si="982" ref="E1857:E1861">"本科"</f>
        <v>本科</v>
      </c>
      <c r="F1857" s="8" t="str">
        <f t="shared" si="980"/>
        <v>工学学士</v>
      </c>
      <c r="G1857" s="8" t="str">
        <f>"网络工程"</f>
        <v>网络工程</v>
      </c>
      <c r="H1857" s="7" t="s">
        <v>10</v>
      </c>
    </row>
    <row r="1858" spans="1:8" ht="15" customHeight="1">
      <c r="A1858" s="5">
        <v>1856</v>
      </c>
      <c r="B1858" s="8" t="str">
        <f>"曾意"</f>
        <v>曾意</v>
      </c>
      <c r="C1858" s="8" t="str">
        <f t="shared" si="981"/>
        <v>女</v>
      </c>
      <c r="D1858" s="8" t="str">
        <f>"1999-09-15"</f>
        <v>1999-09-15</v>
      </c>
      <c r="E1858" s="8" t="str">
        <f>"大学本科学历"</f>
        <v>大学本科学历</v>
      </c>
      <c r="F1858" s="8" t="str">
        <f t="shared" si="980"/>
        <v>工学学士</v>
      </c>
      <c r="G1858" s="8" t="str">
        <f>"物联网工程"</f>
        <v>物联网工程</v>
      </c>
      <c r="H1858" s="7" t="s">
        <v>10</v>
      </c>
    </row>
    <row r="1859" spans="1:8" ht="15" customHeight="1">
      <c r="A1859" s="5">
        <v>1857</v>
      </c>
      <c r="B1859" s="8" t="str">
        <f>"文珺仪"</f>
        <v>文珺仪</v>
      </c>
      <c r="C1859" s="8" t="str">
        <f t="shared" si="981"/>
        <v>女</v>
      </c>
      <c r="D1859" s="8" t="str">
        <f>"2000-08-03"</f>
        <v>2000-08-03</v>
      </c>
      <c r="E1859" s="8" t="str">
        <f t="shared" si="982"/>
        <v>本科</v>
      </c>
      <c r="F1859" s="8" t="str">
        <f t="shared" si="980"/>
        <v>工学学士</v>
      </c>
      <c r="G1859" s="8" t="str">
        <f aca="true" t="shared" si="983" ref="G1859:G1863">"通信工程"</f>
        <v>通信工程</v>
      </c>
      <c r="H1859" s="7" t="s">
        <v>10</v>
      </c>
    </row>
    <row r="1860" spans="1:8" ht="15" customHeight="1">
      <c r="A1860" s="5">
        <v>1858</v>
      </c>
      <c r="B1860" s="8" t="str">
        <f>"钟慧"</f>
        <v>钟慧</v>
      </c>
      <c r="C1860" s="8" t="str">
        <f t="shared" si="981"/>
        <v>女</v>
      </c>
      <c r="D1860" s="8" t="str">
        <f>"1999-05-03"</f>
        <v>1999-05-03</v>
      </c>
      <c r="E1860" s="8" t="str">
        <f t="shared" si="982"/>
        <v>本科</v>
      </c>
      <c r="F1860" s="8" t="str">
        <f t="shared" si="980"/>
        <v>工学学士</v>
      </c>
      <c r="G1860" s="8" t="str">
        <f>"计算机科学与技术"</f>
        <v>计算机科学与技术</v>
      </c>
      <c r="H1860" s="7" t="s">
        <v>10</v>
      </c>
    </row>
    <row r="1861" spans="1:8" ht="15" customHeight="1">
      <c r="A1861" s="5">
        <v>1859</v>
      </c>
      <c r="B1861" s="8" t="str">
        <f>"王文玲"</f>
        <v>王文玲</v>
      </c>
      <c r="C1861" s="8" t="str">
        <f aca="true" t="shared" si="984" ref="C1861:C1865">"男"</f>
        <v>男</v>
      </c>
      <c r="D1861" s="8" t="str">
        <f>"1993-03-05"</f>
        <v>1993-03-05</v>
      </c>
      <c r="E1861" s="8" t="str">
        <f t="shared" si="982"/>
        <v>本科</v>
      </c>
      <c r="F1861" s="8" t="str">
        <f t="shared" si="980"/>
        <v>工学学士</v>
      </c>
      <c r="G1861" s="8" t="str">
        <f t="shared" si="983"/>
        <v>通信工程</v>
      </c>
      <c r="H1861" s="7" t="s">
        <v>10</v>
      </c>
    </row>
    <row r="1862" spans="1:8" ht="15" customHeight="1">
      <c r="A1862" s="5">
        <v>1860</v>
      </c>
      <c r="B1862" s="8" t="str">
        <f>"张东豪"</f>
        <v>张东豪</v>
      </c>
      <c r="C1862" s="8" t="str">
        <f t="shared" si="984"/>
        <v>男</v>
      </c>
      <c r="D1862" s="8" t="str">
        <f>"1994-05-09"</f>
        <v>1994-05-09</v>
      </c>
      <c r="E1862" s="8" t="str">
        <f>"大学本科学历"</f>
        <v>大学本科学历</v>
      </c>
      <c r="F1862" s="8" t="str">
        <f t="shared" si="980"/>
        <v>工学学士</v>
      </c>
      <c r="G1862" s="8" t="str">
        <f>"软件工程"</f>
        <v>软件工程</v>
      </c>
      <c r="H1862" s="7" t="s">
        <v>10</v>
      </c>
    </row>
    <row r="1863" spans="1:8" ht="15" customHeight="1">
      <c r="A1863" s="5">
        <v>1861</v>
      </c>
      <c r="B1863" s="8" t="str">
        <f>"程友文"</f>
        <v>程友文</v>
      </c>
      <c r="C1863" s="8" t="str">
        <f t="shared" si="984"/>
        <v>男</v>
      </c>
      <c r="D1863" s="8" t="str">
        <f>"1996-12-29"</f>
        <v>1996-12-29</v>
      </c>
      <c r="E1863" s="8" t="str">
        <f aca="true" t="shared" si="985" ref="E1863:E1873">"本科"</f>
        <v>本科</v>
      </c>
      <c r="F1863" s="8" t="str">
        <f t="shared" si="980"/>
        <v>工学学士</v>
      </c>
      <c r="G1863" s="8" t="str">
        <f t="shared" si="983"/>
        <v>通信工程</v>
      </c>
      <c r="H1863" s="7" t="s">
        <v>10</v>
      </c>
    </row>
    <row r="1864" spans="1:8" ht="15" customHeight="1">
      <c r="A1864" s="5">
        <v>1862</v>
      </c>
      <c r="B1864" s="8" t="str">
        <f>"许善君"</f>
        <v>许善君</v>
      </c>
      <c r="C1864" s="8" t="str">
        <f t="shared" si="984"/>
        <v>男</v>
      </c>
      <c r="D1864" s="8" t="str">
        <f>"1999-01-30"</f>
        <v>1999-01-30</v>
      </c>
      <c r="E1864" s="8" t="str">
        <f>"全日制本科"</f>
        <v>全日制本科</v>
      </c>
      <c r="F1864" s="8" t="str">
        <f>"学士"</f>
        <v>学士</v>
      </c>
      <c r="G1864" s="8" t="str">
        <f>"计算机科学与技术"</f>
        <v>计算机科学与技术</v>
      </c>
      <c r="H1864" s="7" t="s">
        <v>10</v>
      </c>
    </row>
    <row r="1865" spans="1:8" ht="15" customHeight="1">
      <c r="A1865" s="5">
        <v>1863</v>
      </c>
      <c r="B1865" s="8" t="str">
        <f>"曾维龙"</f>
        <v>曾维龙</v>
      </c>
      <c r="C1865" s="8" t="str">
        <f t="shared" si="984"/>
        <v>男</v>
      </c>
      <c r="D1865" s="8" t="str">
        <f>"1989-02-03"</f>
        <v>1989-02-03</v>
      </c>
      <c r="E1865" s="8" t="str">
        <f>"大学本科"</f>
        <v>大学本科</v>
      </c>
      <c r="F1865" s="8" t="str">
        <f>"理学学士"</f>
        <v>理学学士</v>
      </c>
      <c r="G1865" s="8" t="str">
        <f>"电子信息科学与技术"</f>
        <v>电子信息科学与技术</v>
      </c>
      <c r="H1865" s="7" t="s">
        <v>10</v>
      </c>
    </row>
    <row r="1866" spans="1:8" ht="15" customHeight="1">
      <c r="A1866" s="5">
        <v>1864</v>
      </c>
      <c r="B1866" s="8" t="str">
        <f>"何春慧"</f>
        <v>何春慧</v>
      </c>
      <c r="C1866" s="8" t="str">
        <f aca="true" t="shared" si="986" ref="C1866:C1871">"女"</f>
        <v>女</v>
      </c>
      <c r="D1866" s="8" t="str">
        <f>"1997-02-04"</f>
        <v>1997-02-04</v>
      </c>
      <c r="E1866" s="8" t="str">
        <f>"大学本科学历"</f>
        <v>大学本科学历</v>
      </c>
      <c r="F1866" s="8" t="str">
        <f aca="true" t="shared" si="987" ref="F1866:F1874">"工学学士"</f>
        <v>工学学士</v>
      </c>
      <c r="G1866" s="8" t="str">
        <f>"物联网工程"</f>
        <v>物联网工程</v>
      </c>
      <c r="H1866" s="7" t="s">
        <v>10</v>
      </c>
    </row>
    <row r="1867" spans="1:8" ht="15" customHeight="1">
      <c r="A1867" s="5">
        <v>1865</v>
      </c>
      <c r="B1867" s="8" t="str">
        <f>"何毅"</f>
        <v>何毅</v>
      </c>
      <c r="C1867" s="8" t="str">
        <f aca="true" t="shared" si="988" ref="C1867:C1872">"男"</f>
        <v>男</v>
      </c>
      <c r="D1867" s="8" t="str">
        <f>"1996-11-19"</f>
        <v>1996-11-19</v>
      </c>
      <c r="E1867" s="8" t="str">
        <f t="shared" si="985"/>
        <v>本科</v>
      </c>
      <c r="F1867" s="8" t="str">
        <f t="shared" si="987"/>
        <v>工学学士</v>
      </c>
      <c r="G1867" s="8" t="str">
        <f aca="true" t="shared" si="989" ref="G1867:G1870">"软件工程"</f>
        <v>软件工程</v>
      </c>
      <c r="H1867" s="7" t="s">
        <v>10</v>
      </c>
    </row>
    <row r="1868" spans="1:8" ht="15" customHeight="1">
      <c r="A1868" s="5">
        <v>1866</v>
      </c>
      <c r="B1868" s="8" t="str">
        <f>"符契芬"</f>
        <v>符契芬</v>
      </c>
      <c r="C1868" s="8" t="str">
        <f t="shared" si="988"/>
        <v>男</v>
      </c>
      <c r="D1868" s="8" t="str">
        <f>"1990-09-07"</f>
        <v>1990-09-07</v>
      </c>
      <c r="E1868" s="8" t="str">
        <f t="shared" si="985"/>
        <v>本科</v>
      </c>
      <c r="F1868" s="8" t="str">
        <f>"学士"</f>
        <v>学士</v>
      </c>
      <c r="G1868" s="8" t="str">
        <f>"计算机科学与技术"</f>
        <v>计算机科学与技术</v>
      </c>
      <c r="H1868" s="7" t="s">
        <v>10</v>
      </c>
    </row>
    <row r="1869" spans="1:8" ht="15" customHeight="1">
      <c r="A1869" s="5">
        <v>1867</v>
      </c>
      <c r="B1869" s="8" t="str">
        <f>"符逢桃"</f>
        <v>符逢桃</v>
      </c>
      <c r="C1869" s="8" t="str">
        <f t="shared" si="986"/>
        <v>女</v>
      </c>
      <c r="D1869" s="8" t="str">
        <f>"1994-10-22"</f>
        <v>1994-10-22</v>
      </c>
      <c r="E1869" s="8" t="str">
        <f t="shared" si="985"/>
        <v>本科</v>
      </c>
      <c r="F1869" s="8" t="str">
        <f t="shared" si="987"/>
        <v>工学学士</v>
      </c>
      <c r="G1869" s="8" t="str">
        <f t="shared" si="989"/>
        <v>软件工程</v>
      </c>
      <c r="H1869" s="7" t="s">
        <v>10</v>
      </c>
    </row>
    <row r="1870" spans="1:8" ht="15" customHeight="1">
      <c r="A1870" s="5">
        <v>1868</v>
      </c>
      <c r="B1870" s="8" t="str">
        <f>"王秋霞"</f>
        <v>王秋霞</v>
      </c>
      <c r="C1870" s="8" t="str">
        <f t="shared" si="986"/>
        <v>女</v>
      </c>
      <c r="D1870" s="8" t="str">
        <f>"1996-08-27"</f>
        <v>1996-08-27</v>
      </c>
      <c r="E1870" s="8" t="str">
        <f t="shared" si="985"/>
        <v>本科</v>
      </c>
      <c r="F1870" s="8" t="str">
        <f t="shared" si="987"/>
        <v>工学学士</v>
      </c>
      <c r="G1870" s="8" t="str">
        <f t="shared" si="989"/>
        <v>软件工程</v>
      </c>
      <c r="H1870" s="7" t="s">
        <v>10</v>
      </c>
    </row>
    <row r="1871" spans="1:8" ht="15" customHeight="1">
      <c r="A1871" s="5">
        <v>1869</v>
      </c>
      <c r="B1871" s="8" t="str">
        <f>"王少丽"</f>
        <v>王少丽</v>
      </c>
      <c r="C1871" s="8" t="str">
        <f t="shared" si="986"/>
        <v>女</v>
      </c>
      <c r="D1871" s="8" t="str">
        <f>"1989-05-22"</f>
        <v>1989-05-22</v>
      </c>
      <c r="E1871" s="8" t="str">
        <f t="shared" si="985"/>
        <v>本科</v>
      </c>
      <c r="F1871" s="8" t="str">
        <f t="shared" si="987"/>
        <v>工学学士</v>
      </c>
      <c r="G1871" s="8" t="str">
        <f>"通信工程"</f>
        <v>通信工程</v>
      </c>
      <c r="H1871" s="7" t="s">
        <v>10</v>
      </c>
    </row>
    <row r="1872" spans="1:8" ht="15" customHeight="1">
      <c r="A1872" s="5">
        <v>1870</v>
      </c>
      <c r="B1872" s="8" t="str">
        <f>"徐俊毅"</f>
        <v>徐俊毅</v>
      </c>
      <c r="C1872" s="8" t="str">
        <f t="shared" si="988"/>
        <v>男</v>
      </c>
      <c r="D1872" s="8" t="str">
        <f>"2001-09-24"</f>
        <v>2001-09-24</v>
      </c>
      <c r="E1872" s="8" t="str">
        <f t="shared" si="985"/>
        <v>本科</v>
      </c>
      <c r="F1872" s="8" t="str">
        <f t="shared" si="987"/>
        <v>工学学士</v>
      </c>
      <c r="G1872" s="8" t="str">
        <f>"计算机科学与技术"</f>
        <v>计算机科学与技术</v>
      </c>
      <c r="H1872" s="7" t="s">
        <v>10</v>
      </c>
    </row>
    <row r="1873" spans="1:8" ht="15" customHeight="1">
      <c r="A1873" s="5">
        <v>1871</v>
      </c>
      <c r="B1873" s="8" t="str">
        <f>"王羽茜"</f>
        <v>王羽茜</v>
      </c>
      <c r="C1873" s="8" t="str">
        <f aca="true" t="shared" si="990" ref="C1873:C1875">"女"</f>
        <v>女</v>
      </c>
      <c r="D1873" s="8" t="str">
        <f>"2002-02-12"</f>
        <v>2002-02-12</v>
      </c>
      <c r="E1873" s="8" t="str">
        <f t="shared" si="985"/>
        <v>本科</v>
      </c>
      <c r="F1873" s="8" t="str">
        <f t="shared" si="987"/>
        <v>工学学士</v>
      </c>
      <c r="G1873" s="8" t="str">
        <f>"软件工程"</f>
        <v>软件工程</v>
      </c>
      <c r="H1873" s="7" t="s">
        <v>10</v>
      </c>
    </row>
    <row r="1874" spans="1:8" ht="15" customHeight="1">
      <c r="A1874" s="5">
        <v>1872</v>
      </c>
      <c r="B1874" s="8" t="str">
        <f>"罗婉元"</f>
        <v>罗婉元</v>
      </c>
      <c r="C1874" s="8" t="str">
        <f t="shared" si="990"/>
        <v>女</v>
      </c>
      <c r="D1874" s="8" t="str">
        <f>"2000-09-28"</f>
        <v>2000-09-28</v>
      </c>
      <c r="E1874" s="8" t="str">
        <f aca="true" t="shared" si="991" ref="E1874:E1879">"大学本科"</f>
        <v>大学本科</v>
      </c>
      <c r="F1874" s="8" t="str">
        <f t="shared" si="987"/>
        <v>工学学士</v>
      </c>
      <c r="G1874" s="8" t="str">
        <f>"智能科学与技术"</f>
        <v>智能科学与技术</v>
      </c>
      <c r="H1874" s="7" t="s">
        <v>10</v>
      </c>
    </row>
    <row r="1875" spans="1:8" ht="15" customHeight="1">
      <c r="A1875" s="5">
        <v>1873</v>
      </c>
      <c r="B1875" s="8" t="str">
        <f>"羊显慎"</f>
        <v>羊显慎</v>
      </c>
      <c r="C1875" s="8" t="str">
        <f t="shared" si="990"/>
        <v>女</v>
      </c>
      <c r="D1875" s="8" t="str">
        <f>"1993-12-28"</f>
        <v>1993-12-28</v>
      </c>
      <c r="E1875" s="8" t="str">
        <f aca="true" t="shared" si="992" ref="E1875:E1878">"本科"</f>
        <v>本科</v>
      </c>
      <c r="F1875" s="8" t="str">
        <f>"学士"</f>
        <v>学士</v>
      </c>
      <c r="G1875" s="8" t="str">
        <f>"软件工程"</f>
        <v>软件工程</v>
      </c>
      <c r="H1875" s="7" t="s">
        <v>10</v>
      </c>
    </row>
    <row r="1876" spans="1:8" ht="15" customHeight="1">
      <c r="A1876" s="5">
        <v>1874</v>
      </c>
      <c r="B1876" s="8" t="str">
        <f>"林子植"</f>
        <v>林子植</v>
      </c>
      <c r="C1876" s="8" t="str">
        <f aca="true" t="shared" si="993" ref="C1876:C1879">"男"</f>
        <v>男</v>
      </c>
      <c r="D1876" s="8" t="str">
        <f>"2001-09-21"</f>
        <v>2001-09-21</v>
      </c>
      <c r="E1876" s="8" t="str">
        <f t="shared" si="991"/>
        <v>大学本科</v>
      </c>
      <c r="F1876" s="8" t="str">
        <f aca="true" t="shared" si="994" ref="F1876:F1878">"工学学士"</f>
        <v>工学学士</v>
      </c>
      <c r="G1876" s="8" t="str">
        <f>"计算机科学与技术"</f>
        <v>计算机科学与技术</v>
      </c>
      <c r="H1876" s="7" t="s">
        <v>10</v>
      </c>
    </row>
    <row r="1877" spans="1:8" ht="15" customHeight="1">
      <c r="A1877" s="5">
        <v>1875</v>
      </c>
      <c r="B1877" s="8" t="str">
        <f>"林佳敏"</f>
        <v>林佳敏</v>
      </c>
      <c r="C1877" s="8" t="str">
        <f>"女"</f>
        <v>女</v>
      </c>
      <c r="D1877" s="8" t="str">
        <f>"1996-02-03"</f>
        <v>1996-02-03</v>
      </c>
      <c r="E1877" s="8" t="str">
        <f t="shared" si="992"/>
        <v>本科</v>
      </c>
      <c r="F1877" s="8" t="str">
        <f t="shared" si="994"/>
        <v>工学学士</v>
      </c>
      <c r="G1877" s="8" t="str">
        <f>"数字媒体技术"</f>
        <v>数字媒体技术</v>
      </c>
      <c r="H1877" s="7" t="s">
        <v>10</v>
      </c>
    </row>
    <row r="1878" spans="1:8" ht="15" customHeight="1">
      <c r="A1878" s="5">
        <v>1876</v>
      </c>
      <c r="B1878" s="8" t="str">
        <f>"谢浩义"</f>
        <v>谢浩义</v>
      </c>
      <c r="C1878" s="8" t="str">
        <f t="shared" si="993"/>
        <v>男</v>
      </c>
      <c r="D1878" s="8" t="str">
        <f>"1998-06-12"</f>
        <v>1998-06-12</v>
      </c>
      <c r="E1878" s="8" t="str">
        <f t="shared" si="992"/>
        <v>本科</v>
      </c>
      <c r="F1878" s="8" t="str">
        <f t="shared" si="994"/>
        <v>工学学士</v>
      </c>
      <c r="G1878" s="8" t="str">
        <f>"计算机科学与技术"</f>
        <v>计算机科学与技术</v>
      </c>
      <c r="H1878" s="7" t="s">
        <v>10</v>
      </c>
    </row>
    <row r="1879" spans="1:8" ht="15" customHeight="1">
      <c r="A1879" s="5">
        <v>1877</v>
      </c>
      <c r="B1879" s="8" t="str">
        <f>"唐允良"</f>
        <v>唐允良</v>
      </c>
      <c r="C1879" s="8" t="str">
        <f t="shared" si="993"/>
        <v>男</v>
      </c>
      <c r="D1879" s="8" t="str">
        <f>"1994-07-16"</f>
        <v>1994-07-16</v>
      </c>
      <c r="E1879" s="8" t="str">
        <f t="shared" si="991"/>
        <v>大学本科</v>
      </c>
      <c r="F1879" s="8" t="str">
        <f>"管理学士"</f>
        <v>管理学士</v>
      </c>
      <c r="G1879" s="8" t="str">
        <f>"信息管理与信息系统"</f>
        <v>信息管理与信息系统</v>
      </c>
      <c r="H1879" s="7" t="s">
        <v>10</v>
      </c>
    </row>
    <row r="1880" spans="1:8" ht="15" customHeight="1">
      <c r="A1880" s="5">
        <v>1878</v>
      </c>
      <c r="B1880" s="8" t="str">
        <f>"陈一侨"</f>
        <v>陈一侨</v>
      </c>
      <c r="C1880" s="8" t="str">
        <f>"女"</f>
        <v>女</v>
      </c>
      <c r="D1880" s="8" t="str">
        <f>"2000-12-01"</f>
        <v>2000-12-01</v>
      </c>
      <c r="E1880" s="8" t="str">
        <f aca="true" t="shared" si="995" ref="E1880:E1882">"本科"</f>
        <v>本科</v>
      </c>
      <c r="F1880" s="8" t="str">
        <f aca="true" t="shared" si="996" ref="F1880:F1882">"工学学士"</f>
        <v>工学学士</v>
      </c>
      <c r="G1880" s="8" t="str">
        <f aca="true" t="shared" si="997" ref="G1880:G1882">"软件工程"</f>
        <v>软件工程</v>
      </c>
      <c r="H1880" s="7" t="s">
        <v>10</v>
      </c>
    </row>
    <row r="1881" spans="1:8" ht="15" customHeight="1">
      <c r="A1881" s="5">
        <v>1879</v>
      </c>
      <c r="B1881" s="8" t="str">
        <f>"符式学"</f>
        <v>符式学</v>
      </c>
      <c r="C1881" s="8" t="str">
        <f aca="true" t="shared" si="998" ref="C1881:C1885">"男"</f>
        <v>男</v>
      </c>
      <c r="D1881" s="8" t="str">
        <f>"1998-08-23"</f>
        <v>1998-08-23</v>
      </c>
      <c r="E1881" s="8" t="str">
        <f t="shared" si="995"/>
        <v>本科</v>
      </c>
      <c r="F1881" s="8" t="str">
        <f t="shared" si="996"/>
        <v>工学学士</v>
      </c>
      <c r="G1881" s="8" t="str">
        <f t="shared" si="997"/>
        <v>软件工程</v>
      </c>
      <c r="H1881" s="7" t="s">
        <v>10</v>
      </c>
    </row>
    <row r="1882" spans="1:8" ht="15" customHeight="1">
      <c r="A1882" s="5">
        <v>1880</v>
      </c>
      <c r="B1882" s="8" t="str">
        <f>"符再超"</f>
        <v>符再超</v>
      </c>
      <c r="C1882" s="8" t="str">
        <f t="shared" si="998"/>
        <v>男</v>
      </c>
      <c r="D1882" s="8" t="str">
        <f>"1998-06-13"</f>
        <v>1998-06-13</v>
      </c>
      <c r="E1882" s="8" t="str">
        <f t="shared" si="995"/>
        <v>本科</v>
      </c>
      <c r="F1882" s="8" t="str">
        <f t="shared" si="996"/>
        <v>工学学士</v>
      </c>
      <c r="G1882" s="8" t="str">
        <f t="shared" si="997"/>
        <v>软件工程</v>
      </c>
      <c r="H1882" s="7" t="s">
        <v>10</v>
      </c>
    </row>
    <row r="1883" spans="1:8" ht="15" customHeight="1">
      <c r="A1883" s="5">
        <v>1881</v>
      </c>
      <c r="B1883" s="8" t="str">
        <f>"吴铁惠"</f>
        <v>吴铁惠</v>
      </c>
      <c r="C1883" s="8" t="str">
        <f aca="true" t="shared" si="999" ref="C1883:C1888">"女"</f>
        <v>女</v>
      </c>
      <c r="D1883" s="8" t="str">
        <f>"1997-10-08"</f>
        <v>1997-10-08</v>
      </c>
      <c r="E1883" s="8" t="str">
        <f>" 大学本科学历"</f>
        <v> 大学本科学历</v>
      </c>
      <c r="F1883" s="8" t="str">
        <f>"工科学士"</f>
        <v>工科学士</v>
      </c>
      <c r="G1883" s="8" t="str">
        <f>"通信工程"</f>
        <v>通信工程</v>
      </c>
      <c r="H1883" s="7" t="s">
        <v>10</v>
      </c>
    </row>
    <row r="1884" spans="1:8" ht="15" customHeight="1">
      <c r="A1884" s="5">
        <v>1882</v>
      </c>
      <c r="B1884" s="8" t="str">
        <f>"梁国涛"</f>
        <v>梁国涛</v>
      </c>
      <c r="C1884" s="8" t="str">
        <f t="shared" si="998"/>
        <v>男</v>
      </c>
      <c r="D1884" s="8" t="str">
        <f>"1995-08-28"</f>
        <v>1995-08-28</v>
      </c>
      <c r="E1884" s="8" t="str">
        <f aca="true" t="shared" si="1000" ref="E1884:E1890">"本科"</f>
        <v>本科</v>
      </c>
      <c r="F1884" s="8" t="str">
        <f aca="true" t="shared" si="1001" ref="F1884:F1892">"工学学士"</f>
        <v>工学学士</v>
      </c>
      <c r="G1884" s="8" t="str">
        <f>"软件工程（该专业为计算机类）"</f>
        <v>软件工程（该专业为计算机类）</v>
      </c>
      <c r="H1884" s="7" t="s">
        <v>10</v>
      </c>
    </row>
    <row r="1885" spans="1:8" ht="15" customHeight="1">
      <c r="A1885" s="5">
        <v>1883</v>
      </c>
      <c r="B1885" s="8" t="str">
        <f>"钟山观"</f>
        <v>钟山观</v>
      </c>
      <c r="C1885" s="8" t="str">
        <f t="shared" si="998"/>
        <v>男</v>
      </c>
      <c r="D1885" s="8" t="str">
        <f>"1999-01-14"</f>
        <v>1999-01-14</v>
      </c>
      <c r="E1885" s="8" t="str">
        <f>"大学本科"</f>
        <v>大学本科</v>
      </c>
      <c r="F1885" s="8" t="str">
        <f t="shared" si="1001"/>
        <v>工学学士</v>
      </c>
      <c r="G1885" s="8" t="str">
        <f>"计算机科学与技术"</f>
        <v>计算机科学与技术</v>
      </c>
      <c r="H1885" s="7" t="s">
        <v>10</v>
      </c>
    </row>
    <row r="1886" spans="1:8" ht="15" customHeight="1">
      <c r="A1886" s="5">
        <v>1884</v>
      </c>
      <c r="B1886" s="8" t="str">
        <f>"李雨娴"</f>
        <v>李雨娴</v>
      </c>
      <c r="C1886" s="8" t="str">
        <f t="shared" si="999"/>
        <v>女</v>
      </c>
      <c r="D1886" s="8" t="str">
        <f>"1996-07-20"</f>
        <v>1996-07-20</v>
      </c>
      <c r="E1886" s="8" t="str">
        <f t="shared" si="1000"/>
        <v>本科</v>
      </c>
      <c r="F1886" s="8" t="str">
        <f t="shared" si="1001"/>
        <v>工学学士</v>
      </c>
      <c r="G1886" s="8" t="str">
        <f>"软件工程"</f>
        <v>软件工程</v>
      </c>
      <c r="H1886" s="7" t="s">
        <v>10</v>
      </c>
    </row>
    <row r="1887" spans="1:8" ht="15" customHeight="1">
      <c r="A1887" s="5">
        <v>1885</v>
      </c>
      <c r="B1887" s="8" t="str">
        <f>"陈宏伟"</f>
        <v>陈宏伟</v>
      </c>
      <c r="C1887" s="8" t="str">
        <f>"男"</f>
        <v>男</v>
      </c>
      <c r="D1887" s="8" t="str">
        <f>"1997-03-02"</f>
        <v>1997-03-02</v>
      </c>
      <c r="E1887" s="8" t="str">
        <f>"全日制本科"</f>
        <v>全日制本科</v>
      </c>
      <c r="F1887" s="8" t="str">
        <f t="shared" si="1001"/>
        <v>工学学士</v>
      </c>
      <c r="G1887" s="8" t="str">
        <f>"数字媒体技术"</f>
        <v>数字媒体技术</v>
      </c>
      <c r="H1887" s="7" t="s">
        <v>10</v>
      </c>
    </row>
    <row r="1888" spans="1:8" ht="15" customHeight="1">
      <c r="A1888" s="5">
        <v>1886</v>
      </c>
      <c r="B1888" s="8" t="str">
        <f>"肖平"</f>
        <v>肖平</v>
      </c>
      <c r="C1888" s="8" t="str">
        <f t="shared" si="999"/>
        <v>女</v>
      </c>
      <c r="D1888" s="8" t="str">
        <f>"1999-05-15"</f>
        <v>1999-05-15</v>
      </c>
      <c r="E1888" s="8" t="str">
        <f t="shared" si="1000"/>
        <v>本科</v>
      </c>
      <c r="F1888" s="8" t="str">
        <f t="shared" si="1001"/>
        <v>工学学士</v>
      </c>
      <c r="G1888" s="8" t="str">
        <f>"软件工程"</f>
        <v>软件工程</v>
      </c>
      <c r="H1888" s="7" t="s">
        <v>10</v>
      </c>
    </row>
    <row r="1889" spans="1:8" ht="15" customHeight="1">
      <c r="A1889" s="5">
        <v>1887</v>
      </c>
      <c r="B1889" s="8" t="str">
        <f>"孙云熙"</f>
        <v>孙云熙</v>
      </c>
      <c r="C1889" s="8" t="str">
        <f aca="true" t="shared" si="1002" ref="C1889:C1894">"男"</f>
        <v>男</v>
      </c>
      <c r="D1889" s="8" t="str">
        <f>"2002-01-15"</f>
        <v>2002-01-15</v>
      </c>
      <c r="E1889" s="8" t="str">
        <f t="shared" si="1000"/>
        <v>本科</v>
      </c>
      <c r="F1889" s="8" t="str">
        <f t="shared" si="1001"/>
        <v>工学学士</v>
      </c>
      <c r="G1889" s="8" t="str">
        <f aca="true" t="shared" si="1003" ref="G1889:G1894">"通信工程"</f>
        <v>通信工程</v>
      </c>
      <c r="H1889" s="7" t="s">
        <v>10</v>
      </c>
    </row>
    <row r="1890" spans="1:8" ht="15" customHeight="1">
      <c r="A1890" s="5">
        <v>1888</v>
      </c>
      <c r="B1890" s="8" t="str">
        <f>"陈娇雁"</f>
        <v>陈娇雁</v>
      </c>
      <c r="C1890" s="8" t="str">
        <f aca="true" t="shared" si="1004" ref="C1890:C1892">"女"</f>
        <v>女</v>
      </c>
      <c r="D1890" s="8" t="str">
        <f>"1988-11-12"</f>
        <v>1988-11-12</v>
      </c>
      <c r="E1890" s="8" t="str">
        <f t="shared" si="1000"/>
        <v>本科</v>
      </c>
      <c r="F1890" s="8" t="str">
        <f t="shared" si="1001"/>
        <v>工学学士</v>
      </c>
      <c r="G1890" s="8" t="str">
        <f t="shared" si="1003"/>
        <v>通信工程</v>
      </c>
      <c r="H1890" s="7" t="s">
        <v>10</v>
      </c>
    </row>
    <row r="1891" spans="1:8" ht="15" customHeight="1">
      <c r="A1891" s="5">
        <v>1889</v>
      </c>
      <c r="B1891" s="8" t="str">
        <f>"邓小梅"</f>
        <v>邓小梅</v>
      </c>
      <c r="C1891" s="8" t="str">
        <f t="shared" si="1004"/>
        <v>女</v>
      </c>
      <c r="D1891" s="8" t="str">
        <f>"1998-09-15"</f>
        <v>1998-09-15</v>
      </c>
      <c r="E1891" s="8" t="str">
        <f>"大学本科学历"</f>
        <v>大学本科学历</v>
      </c>
      <c r="F1891" s="8" t="str">
        <f t="shared" si="1001"/>
        <v>工学学士</v>
      </c>
      <c r="G1891" s="8" t="str">
        <f>"计算机科学与技术"</f>
        <v>计算机科学与技术</v>
      </c>
      <c r="H1891" s="7" t="s">
        <v>10</v>
      </c>
    </row>
    <row r="1892" spans="1:8" ht="15" customHeight="1">
      <c r="A1892" s="5">
        <v>1890</v>
      </c>
      <c r="B1892" s="8" t="str">
        <f>"陈后燕"</f>
        <v>陈后燕</v>
      </c>
      <c r="C1892" s="8" t="str">
        <f t="shared" si="1004"/>
        <v>女</v>
      </c>
      <c r="D1892" s="8" t="str">
        <f>"1993-07-08"</f>
        <v>1993-07-08</v>
      </c>
      <c r="E1892" s="8" t="str">
        <f>"大学本科"</f>
        <v>大学本科</v>
      </c>
      <c r="F1892" s="8" t="str">
        <f t="shared" si="1001"/>
        <v>工学学士</v>
      </c>
      <c r="G1892" s="8" t="str">
        <f>"计算机科学与技术"</f>
        <v>计算机科学与技术</v>
      </c>
      <c r="H1892" s="7" t="s">
        <v>10</v>
      </c>
    </row>
    <row r="1893" spans="1:8" ht="15" customHeight="1">
      <c r="A1893" s="5">
        <v>1891</v>
      </c>
      <c r="B1893" s="8" t="str">
        <f>"鲍必卿"</f>
        <v>鲍必卿</v>
      </c>
      <c r="C1893" s="8" t="str">
        <f t="shared" si="1002"/>
        <v>男</v>
      </c>
      <c r="D1893" s="8" t="str">
        <f>"1995-11-30"</f>
        <v>1995-11-30</v>
      </c>
      <c r="E1893" s="8" t="str">
        <f aca="true" t="shared" si="1005" ref="E1893:E1898">"本科"</f>
        <v>本科</v>
      </c>
      <c r="F1893" s="8" t="str">
        <f>"学士学位"</f>
        <v>学士学位</v>
      </c>
      <c r="G1893" s="8" t="str">
        <f>"信息管理与信息系统"</f>
        <v>信息管理与信息系统</v>
      </c>
      <c r="H1893" s="7" t="s">
        <v>10</v>
      </c>
    </row>
    <row r="1894" spans="1:8" ht="15" customHeight="1">
      <c r="A1894" s="5">
        <v>1892</v>
      </c>
      <c r="B1894" s="8" t="str">
        <f>"刘亚三"</f>
        <v>刘亚三</v>
      </c>
      <c r="C1894" s="8" t="str">
        <f t="shared" si="1002"/>
        <v>男</v>
      </c>
      <c r="D1894" s="8" t="str">
        <f>"1997-06-12"</f>
        <v>1997-06-12</v>
      </c>
      <c r="E1894" s="8" t="str">
        <f t="shared" si="1005"/>
        <v>本科</v>
      </c>
      <c r="F1894" s="8" t="str">
        <f aca="true" t="shared" si="1006" ref="F1894:F1896">"工学学士"</f>
        <v>工学学士</v>
      </c>
      <c r="G1894" s="8" t="str">
        <f t="shared" si="1003"/>
        <v>通信工程</v>
      </c>
      <c r="H1894" s="7" t="s">
        <v>10</v>
      </c>
    </row>
    <row r="1895" spans="1:8" ht="15" customHeight="1">
      <c r="A1895" s="5">
        <v>1893</v>
      </c>
      <c r="B1895" s="8" t="str">
        <f>"李小茜"</f>
        <v>李小茜</v>
      </c>
      <c r="C1895" s="8" t="str">
        <f aca="true" t="shared" si="1007" ref="C1895:C1901">"女"</f>
        <v>女</v>
      </c>
      <c r="D1895" s="8" t="str">
        <f>"1999-01-03"</f>
        <v>1999-01-03</v>
      </c>
      <c r="E1895" s="8" t="str">
        <f t="shared" si="1005"/>
        <v>本科</v>
      </c>
      <c r="F1895" s="8" t="str">
        <f t="shared" si="1006"/>
        <v>工学学士</v>
      </c>
      <c r="G1895" s="8" t="str">
        <f>"电子信息科学与技术"</f>
        <v>电子信息科学与技术</v>
      </c>
      <c r="H1895" s="7" t="s">
        <v>10</v>
      </c>
    </row>
    <row r="1896" spans="1:8" ht="15" customHeight="1">
      <c r="A1896" s="5">
        <v>1894</v>
      </c>
      <c r="B1896" s="8" t="str">
        <f>"李强"</f>
        <v>李强</v>
      </c>
      <c r="C1896" s="8" t="str">
        <f aca="true" t="shared" si="1008" ref="C1896:C1899">"男"</f>
        <v>男</v>
      </c>
      <c r="D1896" s="8" t="str">
        <f>"1989-09-19"</f>
        <v>1989-09-19</v>
      </c>
      <c r="E1896" s="8" t="str">
        <f t="shared" si="1005"/>
        <v>本科</v>
      </c>
      <c r="F1896" s="8" t="str">
        <f t="shared" si="1006"/>
        <v>工学学士</v>
      </c>
      <c r="G1896" s="8" t="str">
        <f>"电子信息工程"</f>
        <v>电子信息工程</v>
      </c>
      <c r="H1896" s="7" t="s">
        <v>10</v>
      </c>
    </row>
    <row r="1897" spans="1:8" ht="15" customHeight="1">
      <c r="A1897" s="5">
        <v>1895</v>
      </c>
      <c r="B1897" s="8" t="str">
        <f>"王晓箭"</f>
        <v>王晓箭</v>
      </c>
      <c r="C1897" s="8" t="str">
        <f t="shared" si="1008"/>
        <v>男</v>
      </c>
      <c r="D1897" s="8" t="str">
        <f>"1993-10-08"</f>
        <v>1993-10-08</v>
      </c>
      <c r="E1897" s="8" t="str">
        <f t="shared" si="1005"/>
        <v>本科</v>
      </c>
      <c r="F1897" s="8" t="str">
        <f>"理学学士"</f>
        <v>理学学士</v>
      </c>
      <c r="G1897" s="8" t="str">
        <f>"电子信息科学与技术"</f>
        <v>电子信息科学与技术</v>
      </c>
      <c r="H1897" s="7" t="s">
        <v>10</v>
      </c>
    </row>
    <row r="1898" spans="1:8" ht="15" customHeight="1">
      <c r="A1898" s="5">
        <v>1896</v>
      </c>
      <c r="B1898" s="8" t="str">
        <f>"曾柳"</f>
        <v>曾柳</v>
      </c>
      <c r="C1898" s="8" t="str">
        <f t="shared" si="1007"/>
        <v>女</v>
      </c>
      <c r="D1898" s="8" t="str">
        <f>"1999-01-05"</f>
        <v>1999-01-05</v>
      </c>
      <c r="E1898" s="8" t="str">
        <f t="shared" si="1005"/>
        <v>本科</v>
      </c>
      <c r="F1898" s="8" t="str">
        <f>"工学学位"</f>
        <v>工学学位</v>
      </c>
      <c r="G1898" s="8" t="str">
        <f aca="true" t="shared" si="1009" ref="G1898:G1900">"软件工程"</f>
        <v>软件工程</v>
      </c>
      <c r="H1898" s="7" t="s">
        <v>10</v>
      </c>
    </row>
    <row r="1899" spans="1:8" ht="15" customHeight="1">
      <c r="A1899" s="5">
        <v>1897</v>
      </c>
      <c r="B1899" s="8" t="str">
        <f>"曾上浩"</f>
        <v>曾上浩</v>
      </c>
      <c r="C1899" s="8" t="str">
        <f t="shared" si="1008"/>
        <v>男</v>
      </c>
      <c r="D1899" s="8" t="str">
        <f>"1999-10-10"</f>
        <v>1999-10-10</v>
      </c>
      <c r="E1899" s="8" t="str">
        <f>"大学本科学历"</f>
        <v>大学本科学历</v>
      </c>
      <c r="F1899" s="8" t="str">
        <f>"工学学士"</f>
        <v>工学学士</v>
      </c>
      <c r="G1899" s="8" t="str">
        <f t="shared" si="1009"/>
        <v>软件工程</v>
      </c>
      <c r="H1899" s="7" t="s">
        <v>10</v>
      </c>
    </row>
    <row r="1900" spans="1:8" ht="15" customHeight="1">
      <c r="A1900" s="5">
        <v>1898</v>
      </c>
      <c r="B1900" s="8" t="str">
        <f>"冯雪莲"</f>
        <v>冯雪莲</v>
      </c>
      <c r="C1900" s="8" t="str">
        <f t="shared" si="1007"/>
        <v>女</v>
      </c>
      <c r="D1900" s="8" t="str">
        <f>"1992-02-13"</f>
        <v>1992-02-13</v>
      </c>
      <c r="E1900" s="8" t="str">
        <f>"大学本科学历"</f>
        <v>大学本科学历</v>
      </c>
      <c r="F1900" s="8" t="str">
        <f>"工学学士"</f>
        <v>工学学士</v>
      </c>
      <c r="G1900" s="8" t="str">
        <f t="shared" si="1009"/>
        <v>软件工程</v>
      </c>
      <c r="H1900" s="7" t="s">
        <v>10</v>
      </c>
    </row>
    <row r="1901" spans="1:8" ht="15" customHeight="1">
      <c r="A1901" s="5">
        <v>1899</v>
      </c>
      <c r="B1901" s="8" t="str">
        <f>"王惠子"</f>
        <v>王惠子</v>
      </c>
      <c r="C1901" s="8" t="str">
        <f t="shared" si="1007"/>
        <v>女</v>
      </c>
      <c r="D1901" s="8" t="str">
        <f>"2000-12-25"</f>
        <v>2000-12-25</v>
      </c>
      <c r="E1901" s="8" t="str">
        <f>"大学本科"</f>
        <v>大学本科</v>
      </c>
      <c r="F1901" s="8" t="str">
        <f>"学士学位"</f>
        <v>学士学位</v>
      </c>
      <c r="G1901" s="8" t="str">
        <f aca="true" t="shared" si="1010" ref="G1901:G1905">"计算机科学与技术"</f>
        <v>计算机科学与技术</v>
      </c>
      <c r="H1901" s="7" t="s">
        <v>10</v>
      </c>
    </row>
    <row r="1902" spans="1:8" ht="15" customHeight="1">
      <c r="A1902" s="5">
        <v>1900</v>
      </c>
      <c r="B1902" s="8" t="str">
        <f>"曾开伟"</f>
        <v>曾开伟</v>
      </c>
      <c r="C1902" s="8" t="str">
        <f aca="true" t="shared" si="1011" ref="C1902:C1906">"男"</f>
        <v>男</v>
      </c>
      <c r="D1902" s="8" t="str">
        <f>"1999-06-23"</f>
        <v>1999-06-23</v>
      </c>
      <c r="E1902" s="8" t="str">
        <f aca="true" t="shared" si="1012" ref="E1902:E1906">"本科"</f>
        <v>本科</v>
      </c>
      <c r="F1902" s="8" t="str">
        <f>"学士"</f>
        <v>学士</v>
      </c>
      <c r="G1902" s="8" t="str">
        <f>"软件工程"</f>
        <v>软件工程</v>
      </c>
      <c r="H1902" s="7" t="s">
        <v>10</v>
      </c>
    </row>
    <row r="1903" spans="1:8" ht="15" customHeight="1">
      <c r="A1903" s="5">
        <v>1901</v>
      </c>
      <c r="B1903" s="8" t="str">
        <f>"李丽红"</f>
        <v>李丽红</v>
      </c>
      <c r="C1903" s="8" t="str">
        <f aca="true" t="shared" si="1013" ref="C1903:C1908">"女"</f>
        <v>女</v>
      </c>
      <c r="D1903" s="8" t="str">
        <f>"1999-01-08"</f>
        <v>1999-01-08</v>
      </c>
      <c r="E1903" s="8" t="str">
        <f>"大学本科"</f>
        <v>大学本科</v>
      </c>
      <c r="F1903" s="8" t="str">
        <f>"学士学位"</f>
        <v>学士学位</v>
      </c>
      <c r="G1903" s="8" t="str">
        <f t="shared" si="1010"/>
        <v>计算机科学与技术</v>
      </c>
      <c r="H1903" s="7" t="s">
        <v>10</v>
      </c>
    </row>
    <row r="1904" spans="1:8" ht="15" customHeight="1">
      <c r="A1904" s="5">
        <v>1902</v>
      </c>
      <c r="B1904" s="8" t="str">
        <f>"王兴奕"</f>
        <v>王兴奕</v>
      </c>
      <c r="C1904" s="8" t="str">
        <f t="shared" si="1011"/>
        <v>男</v>
      </c>
      <c r="D1904" s="8" t="str">
        <f>"2001-10-15"</f>
        <v>2001-10-15</v>
      </c>
      <c r="E1904" s="8" t="str">
        <f t="shared" si="1012"/>
        <v>本科</v>
      </c>
      <c r="F1904" s="8" t="str">
        <f>"管理学学士"</f>
        <v>管理学学士</v>
      </c>
      <c r="G1904" s="8" t="str">
        <f>"电子商务及法律"</f>
        <v>电子商务及法律</v>
      </c>
      <c r="H1904" s="7" t="s">
        <v>10</v>
      </c>
    </row>
    <row r="1905" spans="1:8" ht="15" customHeight="1">
      <c r="A1905" s="5">
        <v>1903</v>
      </c>
      <c r="B1905" s="8" t="str">
        <f>"黎惠娴"</f>
        <v>黎惠娴</v>
      </c>
      <c r="C1905" s="8" t="str">
        <f t="shared" si="1013"/>
        <v>女</v>
      </c>
      <c r="D1905" s="8" t="str">
        <f>"1997-07-09"</f>
        <v>1997-07-09</v>
      </c>
      <c r="E1905" s="8" t="str">
        <f t="shared" si="1012"/>
        <v>本科</v>
      </c>
      <c r="F1905" s="8" t="str">
        <f aca="true" t="shared" si="1014" ref="F1905:F1910">"工学学士"</f>
        <v>工学学士</v>
      </c>
      <c r="G1905" s="8" t="str">
        <f t="shared" si="1010"/>
        <v>计算机科学与技术</v>
      </c>
      <c r="H1905" s="7" t="s">
        <v>10</v>
      </c>
    </row>
    <row r="1906" spans="1:8" ht="15" customHeight="1">
      <c r="A1906" s="5">
        <v>1904</v>
      </c>
      <c r="B1906" s="8" t="str">
        <f>"王昭超"</f>
        <v>王昭超</v>
      </c>
      <c r="C1906" s="8" t="str">
        <f t="shared" si="1011"/>
        <v>男</v>
      </c>
      <c r="D1906" s="8" t="str">
        <f>"2000-08-04"</f>
        <v>2000-08-04</v>
      </c>
      <c r="E1906" s="8" t="str">
        <f t="shared" si="1012"/>
        <v>本科</v>
      </c>
      <c r="F1906" s="8" t="str">
        <f>"工学学位"</f>
        <v>工学学位</v>
      </c>
      <c r="G1906" s="8" t="str">
        <f>"网络工程"</f>
        <v>网络工程</v>
      </c>
      <c r="H1906" s="7" t="s">
        <v>10</v>
      </c>
    </row>
    <row r="1907" spans="1:8" ht="15" customHeight="1">
      <c r="A1907" s="5">
        <v>1905</v>
      </c>
      <c r="B1907" s="8" t="str">
        <f>"吴菲菲"</f>
        <v>吴菲菲</v>
      </c>
      <c r="C1907" s="8" t="str">
        <f t="shared" si="1013"/>
        <v>女</v>
      </c>
      <c r="D1907" s="8" t="str">
        <f>"1999-12-03"</f>
        <v>1999-12-03</v>
      </c>
      <c r="E1907" s="8" t="str">
        <f>"大学本科"</f>
        <v>大学本科</v>
      </c>
      <c r="F1907" s="8" t="str">
        <f t="shared" si="1014"/>
        <v>工学学士</v>
      </c>
      <c r="G1907" s="8" t="str">
        <f>"计算机科学与技术"</f>
        <v>计算机科学与技术</v>
      </c>
      <c r="H1907" s="7" t="s">
        <v>10</v>
      </c>
    </row>
    <row r="1908" spans="1:8" ht="15" customHeight="1">
      <c r="A1908" s="5">
        <v>1906</v>
      </c>
      <c r="B1908" s="8" t="str">
        <f>"王诗蔓"</f>
        <v>王诗蔓</v>
      </c>
      <c r="C1908" s="8" t="str">
        <f t="shared" si="1013"/>
        <v>女</v>
      </c>
      <c r="D1908" s="8" t="str">
        <f>"2000-04-14"</f>
        <v>2000-04-14</v>
      </c>
      <c r="E1908" s="8" t="str">
        <f aca="true" t="shared" si="1015" ref="E1908:E1910">"本科"</f>
        <v>本科</v>
      </c>
      <c r="F1908" s="8" t="str">
        <f t="shared" si="1014"/>
        <v>工学学士</v>
      </c>
      <c r="G1908" s="8" t="str">
        <f>"信息安全"</f>
        <v>信息安全</v>
      </c>
      <c r="H1908" s="7" t="s">
        <v>10</v>
      </c>
    </row>
    <row r="1909" spans="1:8" ht="15" customHeight="1">
      <c r="A1909" s="5">
        <v>1907</v>
      </c>
      <c r="B1909" s="8" t="str">
        <f>"陈华瑞"</f>
        <v>陈华瑞</v>
      </c>
      <c r="C1909" s="8" t="str">
        <f aca="true" t="shared" si="1016" ref="C1909:C1917">"男"</f>
        <v>男</v>
      </c>
      <c r="D1909" s="8" t="str">
        <f>"2000-09-11"</f>
        <v>2000-09-11</v>
      </c>
      <c r="E1909" s="8" t="str">
        <f t="shared" si="1015"/>
        <v>本科</v>
      </c>
      <c r="F1909" s="8" t="str">
        <f t="shared" si="1014"/>
        <v>工学学士</v>
      </c>
      <c r="G1909" s="8" t="str">
        <f>"计算机科学与技术"</f>
        <v>计算机科学与技术</v>
      </c>
      <c r="H1909" s="7" t="s">
        <v>10</v>
      </c>
    </row>
    <row r="1910" spans="1:8" ht="15" customHeight="1">
      <c r="A1910" s="5">
        <v>1908</v>
      </c>
      <c r="B1910" s="8" t="str">
        <f>"黄河翔"</f>
        <v>黄河翔</v>
      </c>
      <c r="C1910" s="8" t="str">
        <f t="shared" si="1016"/>
        <v>男</v>
      </c>
      <c r="D1910" s="8" t="str">
        <f>"1991-08-26"</f>
        <v>1991-08-26</v>
      </c>
      <c r="E1910" s="8" t="str">
        <f t="shared" si="1015"/>
        <v>本科</v>
      </c>
      <c r="F1910" s="8" t="str">
        <f t="shared" si="1014"/>
        <v>工学学士</v>
      </c>
      <c r="G1910" s="8" t="str">
        <f aca="true" t="shared" si="1017" ref="G1910:G1914">"软件工程"</f>
        <v>软件工程</v>
      </c>
      <c r="H1910" s="7" t="s">
        <v>10</v>
      </c>
    </row>
    <row r="1911" spans="1:8" ht="15" customHeight="1">
      <c r="A1911" s="5">
        <v>1909</v>
      </c>
      <c r="B1911" s="8" t="str">
        <f>"曾造邦"</f>
        <v>曾造邦</v>
      </c>
      <c r="C1911" s="8" t="str">
        <f t="shared" si="1016"/>
        <v>男</v>
      </c>
      <c r="D1911" s="8" t="str">
        <f>"1992-07-18"</f>
        <v>1992-07-18</v>
      </c>
      <c r="E1911" s="8" t="str">
        <f>"大学本科学历"</f>
        <v>大学本科学历</v>
      </c>
      <c r="F1911" s="8" t="str">
        <f>"理学学士"</f>
        <v>理学学士</v>
      </c>
      <c r="G1911" s="8" t="str">
        <f>"电子信息科学与技术"</f>
        <v>电子信息科学与技术</v>
      </c>
      <c r="H1911" s="7" t="s">
        <v>10</v>
      </c>
    </row>
    <row r="1912" spans="1:8" ht="15" customHeight="1">
      <c r="A1912" s="5">
        <v>1910</v>
      </c>
      <c r="B1912" s="8" t="str">
        <f>"羊卓丞"</f>
        <v>羊卓丞</v>
      </c>
      <c r="C1912" s="8" t="str">
        <f t="shared" si="1016"/>
        <v>男</v>
      </c>
      <c r="D1912" s="8" t="str">
        <f>"1995-08-01"</f>
        <v>1995-08-01</v>
      </c>
      <c r="E1912" s="8" t="str">
        <f>"本科"</f>
        <v>本科</v>
      </c>
      <c r="F1912" s="8" t="str">
        <f aca="true" t="shared" si="1018" ref="F1912:F1915">"工学学士"</f>
        <v>工学学士</v>
      </c>
      <c r="G1912" s="8" t="str">
        <f t="shared" si="1017"/>
        <v>软件工程</v>
      </c>
      <c r="H1912" s="7" t="s">
        <v>10</v>
      </c>
    </row>
    <row r="1913" spans="1:8" ht="15" customHeight="1">
      <c r="A1913" s="5">
        <v>1911</v>
      </c>
      <c r="B1913" s="8" t="str">
        <f>"王俊智"</f>
        <v>王俊智</v>
      </c>
      <c r="C1913" s="8" t="str">
        <f t="shared" si="1016"/>
        <v>男</v>
      </c>
      <c r="D1913" s="8" t="str">
        <f>"1996-01-06"</f>
        <v>1996-01-06</v>
      </c>
      <c r="E1913" s="8" t="str">
        <f aca="true" t="shared" si="1019" ref="E1913:E1918">"大学本科"</f>
        <v>大学本科</v>
      </c>
      <c r="F1913" s="8" t="str">
        <f t="shared" si="1018"/>
        <v>工学学士</v>
      </c>
      <c r="G1913" s="8" t="str">
        <f t="shared" si="1017"/>
        <v>软件工程</v>
      </c>
      <c r="H1913" s="7" t="s">
        <v>10</v>
      </c>
    </row>
    <row r="1914" spans="1:8" ht="15" customHeight="1">
      <c r="A1914" s="5">
        <v>1912</v>
      </c>
      <c r="B1914" s="8" t="str">
        <f>"黄祖培"</f>
        <v>黄祖培</v>
      </c>
      <c r="C1914" s="8" t="str">
        <f t="shared" si="1016"/>
        <v>男</v>
      </c>
      <c r="D1914" s="8" t="str">
        <f>"1998-11-04"</f>
        <v>1998-11-04</v>
      </c>
      <c r="E1914" s="8" t="str">
        <f>"大学"</f>
        <v>大学</v>
      </c>
      <c r="F1914" s="8" t="str">
        <f t="shared" si="1018"/>
        <v>工学学士</v>
      </c>
      <c r="G1914" s="8" t="str">
        <f t="shared" si="1017"/>
        <v>软件工程</v>
      </c>
      <c r="H1914" s="7" t="s">
        <v>10</v>
      </c>
    </row>
    <row r="1915" spans="1:8" ht="15" customHeight="1">
      <c r="A1915" s="5">
        <v>1913</v>
      </c>
      <c r="B1915" s="8" t="str">
        <f>"许书耀"</f>
        <v>许书耀</v>
      </c>
      <c r="C1915" s="8" t="str">
        <f t="shared" si="1016"/>
        <v>男</v>
      </c>
      <c r="D1915" s="8" t="str">
        <f>"2000-11-03"</f>
        <v>2000-11-03</v>
      </c>
      <c r="E1915" s="8" t="str">
        <f aca="true" t="shared" si="1020" ref="E1915:E1920">"本科"</f>
        <v>本科</v>
      </c>
      <c r="F1915" s="8" t="str">
        <f t="shared" si="1018"/>
        <v>工学学士</v>
      </c>
      <c r="G1915" s="8" t="str">
        <f>"电子信息工程"</f>
        <v>电子信息工程</v>
      </c>
      <c r="H1915" s="7" t="s">
        <v>10</v>
      </c>
    </row>
    <row r="1916" spans="1:8" ht="15" customHeight="1">
      <c r="A1916" s="5">
        <v>1914</v>
      </c>
      <c r="B1916" s="8" t="str">
        <f>"陈迁捷"</f>
        <v>陈迁捷</v>
      </c>
      <c r="C1916" s="8" t="str">
        <f t="shared" si="1016"/>
        <v>男</v>
      </c>
      <c r="D1916" s="8" t="str">
        <f>"1999-08-12"</f>
        <v>1999-08-12</v>
      </c>
      <c r="E1916" s="8" t="str">
        <f>"大学本科学历"</f>
        <v>大学本科学历</v>
      </c>
      <c r="F1916" s="8" t="str">
        <f>"工学学士学位"</f>
        <v>工学学士学位</v>
      </c>
      <c r="G1916" s="8" t="str">
        <f>"物联网工程"</f>
        <v>物联网工程</v>
      </c>
      <c r="H1916" s="7" t="s">
        <v>10</v>
      </c>
    </row>
    <row r="1917" spans="1:8" ht="15" customHeight="1">
      <c r="A1917" s="5">
        <v>1915</v>
      </c>
      <c r="B1917" s="8" t="str">
        <f>"王俞皓"</f>
        <v>王俞皓</v>
      </c>
      <c r="C1917" s="8" t="str">
        <f t="shared" si="1016"/>
        <v>男</v>
      </c>
      <c r="D1917" s="8" t="str">
        <f>"1992-03-06"</f>
        <v>1992-03-06</v>
      </c>
      <c r="E1917" s="8" t="str">
        <f t="shared" si="1019"/>
        <v>大学本科</v>
      </c>
      <c r="F1917" s="8" t="str">
        <f>"工学学士学位"</f>
        <v>工学学士学位</v>
      </c>
      <c r="G1917" s="8" t="str">
        <f>"数字媒体技术"</f>
        <v>数字媒体技术</v>
      </c>
      <c r="H1917" s="7" t="s">
        <v>10</v>
      </c>
    </row>
    <row r="1918" spans="1:8" ht="15" customHeight="1">
      <c r="A1918" s="5">
        <v>1916</v>
      </c>
      <c r="B1918" s="8" t="str">
        <f>"王敏"</f>
        <v>王敏</v>
      </c>
      <c r="C1918" s="8" t="str">
        <f>"女"</f>
        <v>女</v>
      </c>
      <c r="D1918" s="8" t="str">
        <f>"1996-01-30"</f>
        <v>1996-01-30</v>
      </c>
      <c r="E1918" s="8" t="str">
        <f t="shared" si="1019"/>
        <v>大学本科</v>
      </c>
      <c r="F1918" s="8" t="str">
        <f aca="true" t="shared" si="1021" ref="F1918:F1924">"工学学士"</f>
        <v>工学学士</v>
      </c>
      <c r="G1918" s="8" t="str">
        <f>"数字媒体技术"</f>
        <v>数字媒体技术</v>
      </c>
      <c r="H1918" s="7" t="s">
        <v>10</v>
      </c>
    </row>
    <row r="1919" spans="1:8" ht="15" customHeight="1">
      <c r="A1919" s="5">
        <v>1917</v>
      </c>
      <c r="B1919" s="8" t="str">
        <f>"杨基俊"</f>
        <v>杨基俊</v>
      </c>
      <c r="C1919" s="8" t="str">
        <f aca="true" t="shared" si="1022" ref="C1919:C1925">"男"</f>
        <v>男</v>
      </c>
      <c r="D1919" s="8" t="str">
        <f>"1995-07-14"</f>
        <v>1995-07-14</v>
      </c>
      <c r="E1919" s="8" t="str">
        <f t="shared" si="1020"/>
        <v>本科</v>
      </c>
      <c r="F1919" s="8" t="str">
        <f t="shared" si="1021"/>
        <v>工学学士</v>
      </c>
      <c r="G1919" s="8" t="str">
        <f>"通信工程"</f>
        <v>通信工程</v>
      </c>
      <c r="H1919" s="7" t="s">
        <v>10</v>
      </c>
    </row>
    <row r="1920" spans="1:8" ht="15" customHeight="1">
      <c r="A1920" s="5">
        <v>1918</v>
      </c>
      <c r="B1920" s="8" t="str">
        <f>"劳田艺"</f>
        <v>劳田艺</v>
      </c>
      <c r="C1920" s="8" t="str">
        <f t="shared" si="1022"/>
        <v>男</v>
      </c>
      <c r="D1920" s="8" t="str">
        <f>"1997-02-06"</f>
        <v>1997-02-06</v>
      </c>
      <c r="E1920" s="8" t="str">
        <f t="shared" si="1020"/>
        <v>本科</v>
      </c>
      <c r="F1920" s="8" t="str">
        <f t="shared" si="1021"/>
        <v>工学学士</v>
      </c>
      <c r="G1920" s="8" t="str">
        <f aca="true" t="shared" si="1023" ref="G1920:G1922">"软件工程"</f>
        <v>软件工程</v>
      </c>
      <c r="H1920" s="7" t="s">
        <v>10</v>
      </c>
    </row>
    <row r="1921" spans="1:8" ht="15" customHeight="1">
      <c r="A1921" s="5">
        <v>1919</v>
      </c>
      <c r="B1921" s="8" t="str">
        <f>"羊业博"</f>
        <v>羊业博</v>
      </c>
      <c r="C1921" s="8" t="str">
        <f t="shared" si="1022"/>
        <v>男</v>
      </c>
      <c r="D1921" s="8" t="str">
        <f>"1999-09-23"</f>
        <v>1999-09-23</v>
      </c>
      <c r="E1921" s="8" t="str">
        <f>"大学本科"</f>
        <v>大学本科</v>
      </c>
      <c r="F1921" s="8" t="str">
        <f t="shared" si="1021"/>
        <v>工学学士</v>
      </c>
      <c r="G1921" s="8" t="str">
        <f t="shared" si="1023"/>
        <v>软件工程</v>
      </c>
      <c r="H1921" s="7" t="s">
        <v>10</v>
      </c>
    </row>
    <row r="1922" spans="1:8" ht="15" customHeight="1">
      <c r="A1922" s="5">
        <v>1920</v>
      </c>
      <c r="B1922" s="8" t="str">
        <f>"张达"</f>
        <v>张达</v>
      </c>
      <c r="C1922" s="8" t="str">
        <f t="shared" si="1022"/>
        <v>男</v>
      </c>
      <c r="D1922" s="8" t="str">
        <f>"1999-05-08"</f>
        <v>1999-05-08</v>
      </c>
      <c r="E1922" s="8" t="str">
        <f aca="true" t="shared" si="1024" ref="E1922:E1934">"本科"</f>
        <v>本科</v>
      </c>
      <c r="F1922" s="8" t="str">
        <f t="shared" si="1021"/>
        <v>工学学士</v>
      </c>
      <c r="G1922" s="8" t="str">
        <f t="shared" si="1023"/>
        <v>软件工程</v>
      </c>
      <c r="H1922" s="7" t="s">
        <v>10</v>
      </c>
    </row>
    <row r="1923" spans="1:8" ht="15" customHeight="1">
      <c r="A1923" s="5">
        <v>1921</v>
      </c>
      <c r="B1923" s="8" t="str">
        <f>"陈封儒"</f>
        <v>陈封儒</v>
      </c>
      <c r="C1923" s="8" t="str">
        <f t="shared" si="1022"/>
        <v>男</v>
      </c>
      <c r="D1923" s="8" t="str">
        <f>"1998-10-24"</f>
        <v>1998-10-24</v>
      </c>
      <c r="E1923" s="8" t="str">
        <f>"全日制本科"</f>
        <v>全日制本科</v>
      </c>
      <c r="F1923" s="8" t="str">
        <f t="shared" si="1021"/>
        <v>工学学士</v>
      </c>
      <c r="G1923" s="8" t="str">
        <f>"数字媒体技术"</f>
        <v>数字媒体技术</v>
      </c>
      <c r="H1923" s="7" t="s">
        <v>10</v>
      </c>
    </row>
    <row r="1924" spans="1:8" ht="15" customHeight="1">
      <c r="A1924" s="5">
        <v>1922</v>
      </c>
      <c r="B1924" s="8" t="str">
        <f>"潘国民"</f>
        <v>潘国民</v>
      </c>
      <c r="C1924" s="8" t="str">
        <f t="shared" si="1022"/>
        <v>男</v>
      </c>
      <c r="D1924" s="8" t="str">
        <f>"1999-09-05"</f>
        <v>1999-09-05</v>
      </c>
      <c r="E1924" s="8" t="str">
        <f t="shared" si="1024"/>
        <v>本科</v>
      </c>
      <c r="F1924" s="8" t="str">
        <f t="shared" si="1021"/>
        <v>工学学士</v>
      </c>
      <c r="G1924" s="8" t="str">
        <f>"通信工程"</f>
        <v>通信工程</v>
      </c>
      <c r="H1924" s="7" t="s">
        <v>10</v>
      </c>
    </row>
    <row r="1925" spans="1:8" ht="15" customHeight="1">
      <c r="A1925" s="5">
        <v>1923</v>
      </c>
      <c r="B1925" s="8" t="str">
        <f>"冯智伟"</f>
        <v>冯智伟</v>
      </c>
      <c r="C1925" s="8" t="str">
        <f t="shared" si="1022"/>
        <v>男</v>
      </c>
      <c r="D1925" s="8" t="str">
        <f>"1990-10-02"</f>
        <v>1990-10-02</v>
      </c>
      <c r="E1925" s="8" t="str">
        <f>"大学本科学历"</f>
        <v>大学本科学历</v>
      </c>
      <c r="F1925" s="8" t="str">
        <f>"无"</f>
        <v>无</v>
      </c>
      <c r="G1925" s="8" t="str">
        <f>"计算机网络（计算机网络技术）"</f>
        <v>计算机网络（计算机网络技术）</v>
      </c>
      <c r="H1925" s="7" t="s">
        <v>10</v>
      </c>
    </row>
    <row r="1926" spans="1:8" ht="15" customHeight="1">
      <c r="A1926" s="5">
        <v>1924</v>
      </c>
      <c r="B1926" s="8" t="str">
        <f>"马雨婷"</f>
        <v>马雨婷</v>
      </c>
      <c r="C1926" s="8" t="str">
        <f>"女"</f>
        <v>女</v>
      </c>
      <c r="D1926" s="8" t="str">
        <f>"2000-07-10"</f>
        <v>2000-07-10</v>
      </c>
      <c r="E1926" s="8" t="str">
        <f t="shared" si="1024"/>
        <v>本科</v>
      </c>
      <c r="F1926" s="8" t="str">
        <f aca="true" t="shared" si="1025" ref="F1926:F1928">"工学学士"</f>
        <v>工学学士</v>
      </c>
      <c r="G1926" s="8" t="str">
        <f>"数字媒体技术专业"</f>
        <v>数字媒体技术专业</v>
      </c>
      <c r="H1926" s="7" t="s">
        <v>10</v>
      </c>
    </row>
    <row r="1927" spans="1:8" ht="15" customHeight="1">
      <c r="A1927" s="5">
        <v>1925</v>
      </c>
      <c r="B1927" s="8" t="str">
        <f>"王鸿宁"</f>
        <v>王鸿宁</v>
      </c>
      <c r="C1927" s="8" t="str">
        <f aca="true" t="shared" si="1026" ref="C1927:C1933">"男"</f>
        <v>男</v>
      </c>
      <c r="D1927" s="8" t="str">
        <f>"1999-04-14"</f>
        <v>1999-04-14</v>
      </c>
      <c r="E1927" s="8" t="str">
        <f t="shared" si="1024"/>
        <v>本科</v>
      </c>
      <c r="F1927" s="8" t="str">
        <f t="shared" si="1025"/>
        <v>工学学士</v>
      </c>
      <c r="G1927" s="8" t="str">
        <f>"物联网工程"</f>
        <v>物联网工程</v>
      </c>
      <c r="H1927" s="7" t="s">
        <v>10</v>
      </c>
    </row>
    <row r="1928" spans="1:8" ht="15" customHeight="1">
      <c r="A1928" s="5">
        <v>1926</v>
      </c>
      <c r="B1928" s="8" t="str">
        <f>"林芳松"</f>
        <v>林芳松</v>
      </c>
      <c r="C1928" s="8" t="str">
        <f t="shared" si="1026"/>
        <v>男</v>
      </c>
      <c r="D1928" s="8" t="str">
        <f>"1998-09-16"</f>
        <v>1998-09-16</v>
      </c>
      <c r="E1928" s="8" t="str">
        <f t="shared" si="1024"/>
        <v>本科</v>
      </c>
      <c r="F1928" s="8" t="str">
        <f t="shared" si="1025"/>
        <v>工学学士</v>
      </c>
      <c r="G1928" s="8" t="str">
        <f>"大数据技术与应用"</f>
        <v>大数据技术与应用</v>
      </c>
      <c r="H1928" s="7" t="s">
        <v>10</v>
      </c>
    </row>
    <row r="1929" spans="1:8" ht="15" customHeight="1">
      <c r="A1929" s="5">
        <v>1927</v>
      </c>
      <c r="B1929" s="8" t="str">
        <f>"王昌海"</f>
        <v>王昌海</v>
      </c>
      <c r="C1929" s="8" t="str">
        <f t="shared" si="1026"/>
        <v>男</v>
      </c>
      <c r="D1929" s="8" t="str">
        <f>"1997-12-17"</f>
        <v>1997-12-17</v>
      </c>
      <c r="E1929" s="8" t="str">
        <f t="shared" si="1024"/>
        <v>本科</v>
      </c>
      <c r="F1929" s="8" t="str">
        <f>"理学学士"</f>
        <v>理学学士</v>
      </c>
      <c r="G1929" s="8" t="str">
        <f>"教育技术学"</f>
        <v>教育技术学</v>
      </c>
      <c r="H1929" s="7" t="s">
        <v>10</v>
      </c>
    </row>
    <row r="1930" spans="1:8" ht="15" customHeight="1">
      <c r="A1930" s="5">
        <v>1928</v>
      </c>
      <c r="B1930" s="8" t="str">
        <f>"陈法跃"</f>
        <v>陈法跃</v>
      </c>
      <c r="C1930" s="8" t="str">
        <f t="shared" si="1026"/>
        <v>男</v>
      </c>
      <c r="D1930" s="8" t="str">
        <f>"1996-07-03"</f>
        <v>1996-07-03</v>
      </c>
      <c r="E1930" s="8" t="str">
        <f t="shared" si="1024"/>
        <v>本科</v>
      </c>
      <c r="F1930" s="8" t="str">
        <f>"无"</f>
        <v>无</v>
      </c>
      <c r="G1930" s="8" t="str">
        <f aca="true" t="shared" si="1027" ref="G1930:G1935">"计算机科学与技术"</f>
        <v>计算机科学与技术</v>
      </c>
      <c r="H1930" s="7" t="s">
        <v>10</v>
      </c>
    </row>
    <row r="1931" spans="1:8" ht="15" customHeight="1">
      <c r="A1931" s="5">
        <v>1929</v>
      </c>
      <c r="B1931" s="8" t="str">
        <f>"蔡仁杰"</f>
        <v>蔡仁杰</v>
      </c>
      <c r="C1931" s="8" t="str">
        <f t="shared" si="1026"/>
        <v>男</v>
      </c>
      <c r="D1931" s="8" t="str">
        <f>"1997-01-09"</f>
        <v>1997-01-09</v>
      </c>
      <c r="E1931" s="8" t="str">
        <f t="shared" si="1024"/>
        <v>本科</v>
      </c>
      <c r="F1931" s="8" t="str">
        <f aca="true" t="shared" si="1028" ref="F1931:F1936">"工学学士"</f>
        <v>工学学士</v>
      </c>
      <c r="G1931" s="8" t="str">
        <f>"电子信息工程"</f>
        <v>电子信息工程</v>
      </c>
      <c r="H1931" s="7" t="s">
        <v>10</v>
      </c>
    </row>
    <row r="1932" spans="1:8" ht="15" customHeight="1">
      <c r="A1932" s="5">
        <v>1930</v>
      </c>
      <c r="B1932" s="8" t="str">
        <f>"周永超"</f>
        <v>周永超</v>
      </c>
      <c r="C1932" s="8" t="str">
        <f t="shared" si="1026"/>
        <v>男</v>
      </c>
      <c r="D1932" s="8" t="str">
        <f>"1993-10-22"</f>
        <v>1993-10-22</v>
      </c>
      <c r="E1932" s="8" t="str">
        <f t="shared" si="1024"/>
        <v>本科</v>
      </c>
      <c r="F1932" s="8" t="str">
        <f t="shared" si="1028"/>
        <v>工学学士</v>
      </c>
      <c r="G1932" s="8" t="str">
        <f>"软件工程（计算机应用软件方向）"</f>
        <v>软件工程（计算机应用软件方向）</v>
      </c>
      <c r="H1932" s="7" t="s">
        <v>10</v>
      </c>
    </row>
    <row r="1933" spans="1:8" ht="15" customHeight="1">
      <c r="A1933" s="5">
        <v>1931</v>
      </c>
      <c r="B1933" s="8" t="str">
        <f>"李道悦"</f>
        <v>李道悦</v>
      </c>
      <c r="C1933" s="8" t="str">
        <f t="shared" si="1026"/>
        <v>男</v>
      </c>
      <c r="D1933" s="8" t="str">
        <f>"2002-07-31"</f>
        <v>2002-07-31</v>
      </c>
      <c r="E1933" s="8" t="str">
        <f t="shared" si="1024"/>
        <v>本科</v>
      </c>
      <c r="F1933" s="8" t="str">
        <f aca="true" t="shared" si="1029" ref="F1933:F1938">"学士"</f>
        <v>学士</v>
      </c>
      <c r="G1933" s="8" t="str">
        <f t="shared" si="1027"/>
        <v>计算机科学与技术</v>
      </c>
      <c r="H1933" s="7" t="s">
        <v>10</v>
      </c>
    </row>
    <row r="1934" spans="1:8" ht="15" customHeight="1">
      <c r="A1934" s="5">
        <v>1932</v>
      </c>
      <c r="B1934" s="8" t="str">
        <f>"林馨玥"</f>
        <v>林馨玥</v>
      </c>
      <c r="C1934" s="8" t="str">
        <f>"女"</f>
        <v>女</v>
      </c>
      <c r="D1934" s="8" t="str">
        <f>"1997-04-08"</f>
        <v>1997-04-08</v>
      </c>
      <c r="E1934" s="8" t="str">
        <f t="shared" si="1024"/>
        <v>本科</v>
      </c>
      <c r="F1934" s="8" t="str">
        <f>"学士学位"</f>
        <v>学士学位</v>
      </c>
      <c r="G1934" s="8" t="str">
        <f t="shared" si="1027"/>
        <v>计算机科学与技术</v>
      </c>
      <c r="H1934" s="7" t="s">
        <v>10</v>
      </c>
    </row>
    <row r="1935" spans="1:8" ht="15" customHeight="1">
      <c r="A1935" s="5">
        <v>1933</v>
      </c>
      <c r="B1935" s="8" t="str">
        <f>"王达培"</f>
        <v>王达培</v>
      </c>
      <c r="C1935" s="8" t="str">
        <f aca="true" t="shared" si="1030" ref="C1935:C1941">"男"</f>
        <v>男</v>
      </c>
      <c r="D1935" s="8" t="str">
        <f>"2000-12-17"</f>
        <v>2000-12-17</v>
      </c>
      <c r="E1935" s="8" t="str">
        <f>"大学本科"</f>
        <v>大学本科</v>
      </c>
      <c r="F1935" s="8" t="str">
        <f t="shared" si="1028"/>
        <v>工学学士</v>
      </c>
      <c r="G1935" s="8" t="str">
        <f t="shared" si="1027"/>
        <v>计算机科学与技术</v>
      </c>
      <c r="H1935" s="7" t="s">
        <v>10</v>
      </c>
    </row>
    <row r="1936" spans="1:8" ht="15" customHeight="1">
      <c r="A1936" s="5">
        <v>1934</v>
      </c>
      <c r="B1936" s="8" t="str">
        <f>"王文婷"</f>
        <v>王文婷</v>
      </c>
      <c r="C1936" s="8" t="str">
        <f>"女"</f>
        <v>女</v>
      </c>
      <c r="D1936" s="8" t="str">
        <f>"2000-09-17"</f>
        <v>2000-09-17</v>
      </c>
      <c r="E1936" s="8" t="str">
        <f aca="true" t="shared" si="1031" ref="E1936:E1938">"本科"</f>
        <v>本科</v>
      </c>
      <c r="F1936" s="8" t="str">
        <f t="shared" si="1028"/>
        <v>工学学士</v>
      </c>
      <c r="G1936" s="8" t="str">
        <f>"数字媒体技术"</f>
        <v>数字媒体技术</v>
      </c>
      <c r="H1936" s="7" t="s">
        <v>10</v>
      </c>
    </row>
    <row r="1937" spans="1:8" ht="15" customHeight="1">
      <c r="A1937" s="5">
        <v>1935</v>
      </c>
      <c r="B1937" s="8" t="str">
        <f>"梁家豪"</f>
        <v>梁家豪</v>
      </c>
      <c r="C1937" s="8" t="str">
        <f t="shared" si="1030"/>
        <v>男</v>
      </c>
      <c r="D1937" s="8" t="str">
        <f>"1999-07-01"</f>
        <v>1999-07-01</v>
      </c>
      <c r="E1937" s="8" t="str">
        <f t="shared" si="1031"/>
        <v>本科</v>
      </c>
      <c r="F1937" s="8" t="str">
        <f t="shared" si="1029"/>
        <v>学士</v>
      </c>
      <c r="G1937" s="8" t="str">
        <f aca="true" t="shared" si="1032" ref="G1937:G1941">"软件工程"</f>
        <v>软件工程</v>
      </c>
      <c r="H1937" s="7" t="s">
        <v>10</v>
      </c>
    </row>
    <row r="1938" spans="1:8" ht="15" customHeight="1">
      <c r="A1938" s="5">
        <v>1936</v>
      </c>
      <c r="B1938" s="8" t="str">
        <f>"张孟江"</f>
        <v>张孟江</v>
      </c>
      <c r="C1938" s="8" t="str">
        <f t="shared" si="1030"/>
        <v>男</v>
      </c>
      <c r="D1938" s="8" t="str">
        <f>"1989-06-10"</f>
        <v>1989-06-10</v>
      </c>
      <c r="E1938" s="8" t="str">
        <f t="shared" si="1031"/>
        <v>本科</v>
      </c>
      <c r="F1938" s="8" t="str">
        <f t="shared" si="1029"/>
        <v>学士</v>
      </c>
      <c r="G1938" s="8" t="str">
        <f>"通信工程"</f>
        <v>通信工程</v>
      </c>
      <c r="H1938" s="7" t="s">
        <v>10</v>
      </c>
    </row>
    <row r="1939" spans="1:8" ht="15" customHeight="1">
      <c r="A1939" s="5">
        <v>1937</v>
      </c>
      <c r="B1939" s="8" t="str">
        <f>"李培峰"</f>
        <v>李培峰</v>
      </c>
      <c r="C1939" s="8" t="str">
        <f t="shared" si="1030"/>
        <v>男</v>
      </c>
      <c r="D1939" s="8" t="str">
        <f>"1999-02-02"</f>
        <v>1999-02-02</v>
      </c>
      <c r="E1939" s="8" t="str">
        <f>"大学本科学历"</f>
        <v>大学本科学历</v>
      </c>
      <c r="F1939" s="8" t="str">
        <f aca="true" t="shared" si="1033" ref="F1939:F1941">"工学学士"</f>
        <v>工学学士</v>
      </c>
      <c r="G1939" s="8" t="str">
        <f t="shared" si="1032"/>
        <v>软件工程</v>
      </c>
      <c r="H1939" s="7" t="s">
        <v>10</v>
      </c>
    </row>
    <row r="1940" spans="1:8" ht="15" customHeight="1">
      <c r="A1940" s="5">
        <v>1938</v>
      </c>
      <c r="B1940" s="8" t="str">
        <f>"许翀"</f>
        <v>许翀</v>
      </c>
      <c r="C1940" s="8" t="str">
        <f t="shared" si="1030"/>
        <v>男</v>
      </c>
      <c r="D1940" s="8" t="str">
        <f>"1994-12-08"</f>
        <v>1994-12-08</v>
      </c>
      <c r="E1940" s="8" t="str">
        <f aca="true" t="shared" si="1034" ref="E1940:E1951">"本科"</f>
        <v>本科</v>
      </c>
      <c r="F1940" s="8" t="str">
        <f t="shared" si="1033"/>
        <v>工学学士</v>
      </c>
      <c r="G1940" s="8" t="str">
        <f>"数字媒体技术"</f>
        <v>数字媒体技术</v>
      </c>
      <c r="H1940" s="7" t="s">
        <v>10</v>
      </c>
    </row>
    <row r="1941" spans="1:8" ht="15" customHeight="1">
      <c r="A1941" s="5">
        <v>1939</v>
      </c>
      <c r="B1941" s="8" t="str">
        <f>"谢煌智"</f>
        <v>谢煌智</v>
      </c>
      <c r="C1941" s="8" t="str">
        <f t="shared" si="1030"/>
        <v>男</v>
      </c>
      <c r="D1941" s="8" t="str">
        <f>"1998-07-30"</f>
        <v>1998-07-30</v>
      </c>
      <c r="E1941" s="8" t="str">
        <f>"全日制本科"</f>
        <v>全日制本科</v>
      </c>
      <c r="F1941" s="8" t="str">
        <f t="shared" si="1033"/>
        <v>工学学士</v>
      </c>
      <c r="G1941" s="8" t="str">
        <f t="shared" si="1032"/>
        <v>软件工程</v>
      </c>
      <c r="H1941" s="7" t="s">
        <v>10</v>
      </c>
    </row>
    <row r="1942" spans="1:8" ht="15" customHeight="1">
      <c r="A1942" s="5">
        <v>1940</v>
      </c>
      <c r="B1942" s="8" t="str">
        <f>"陈文颖"</f>
        <v>陈文颖</v>
      </c>
      <c r="C1942" s="8" t="str">
        <f aca="true" t="shared" si="1035" ref="C1942:C1946">"女"</f>
        <v>女</v>
      </c>
      <c r="D1942" s="8" t="str">
        <f>"2000-12-23"</f>
        <v>2000-12-23</v>
      </c>
      <c r="E1942" s="8" t="str">
        <f>"普通全日制本科"</f>
        <v>普通全日制本科</v>
      </c>
      <c r="F1942" s="8" t="str">
        <f>"学士学位"</f>
        <v>学士学位</v>
      </c>
      <c r="G1942" s="8" t="str">
        <f>"计算机科学与技术"</f>
        <v>计算机科学与技术</v>
      </c>
      <c r="H1942" s="7" t="s">
        <v>10</v>
      </c>
    </row>
    <row r="1943" spans="1:8" ht="15" customHeight="1">
      <c r="A1943" s="5">
        <v>1941</v>
      </c>
      <c r="B1943" s="8" t="str">
        <f>"辜振贤"</f>
        <v>辜振贤</v>
      </c>
      <c r="C1943" s="8" t="str">
        <f aca="true" t="shared" si="1036" ref="C1943:C1950">"男"</f>
        <v>男</v>
      </c>
      <c r="D1943" s="8" t="str">
        <f>"1994-11-26"</f>
        <v>1994-11-26</v>
      </c>
      <c r="E1943" s="8" t="str">
        <f t="shared" si="1034"/>
        <v>本科</v>
      </c>
      <c r="F1943" s="8" t="str">
        <f aca="true" t="shared" si="1037" ref="F1943:F1947">"工学学士"</f>
        <v>工学学士</v>
      </c>
      <c r="G1943" s="8" t="str">
        <f>"软件工程"</f>
        <v>软件工程</v>
      </c>
      <c r="H1943" s="7" t="s">
        <v>10</v>
      </c>
    </row>
    <row r="1944" spans="1:8" ht="15" customHeight="1">
      <c r="A1944" s="5">
        <v>1942</v>
      </c>
      <c r="B1944" s="8" t="str">
        <f>"朱孟香"</f>
        <v>朱孟香</v>
      </c>
      <c r="C1944" s="8" t="str">
        <f t="shared" si="1035"/>
        <v>女</v>
      </c>
      <c r="D1944" s="8" t="str">
        <f>"1994-02-25"</f>
        <v>1994-02-25</v>
      </c>
      <c r="E1944" s="8" t="str">
        <f t="shared" si="1034"/>
        <v>本科</v>
      </c>
      <c r="F1944" s="8" t="str">
        <f>"学士"</f>
        <v>学士</v>
      </c>
      <c r="G1944" s="8" t="str">
        <f>"软件工程"</f>
        <v>软件工程</v>
      </c>
      <c r="H1944" s="7" t="s">
        <v>10</v>
      </c>
    </row>
    <row r="1945" spans="1:8" ht="15" customHeight="1">
      <c r="A1945" s="5">
        <v>1943</v>
      </c>
      <c r="B1945" s="8" t="str">
        <f>"邱健泽"</f>
        <v>邱健泽</v>
      </c>
      <c r="C1945" s="8" t="str">
        <f t="shared" si="1036"/>
        <v>男</v>
      </c>
      <c r="D1945" s="8" t="str">
        <f>"1997-10-24"</f>
        <v>1997-10-24</v>
      </c>
      <c r="E1945" s="8" t="str">
        <f t="shared" si="1034"/>
        <v>本科</v>
      </c>
      <c r="F1945" s="8" t="str">
        <f t="shared" si="1037"/>
        <v>工学学士</v>
      </c>
      <c r="G1945" s="8" t="str">
        <f aca="true" t="shared" si="1038" ref="G1945:G1949">"数字媒体技术"</f>
        <v>数字媒体技术</v>
      </c>
      <c r="H1945" s="7" t="s">
        <v>10</v>
      </c>
    </row>
    <row r="1946" spans="1:8" ht="15" customHeight="1">
      <c r="A1946" s="5">
        <v>1944</v>
      </c>
      <c r="B1946" s="8" t="str">
        <f>"张琰"</f>
        <v>张琰</v>
      </c>
      <c r="C1946" s="8" t="str">
        <f t="shared" si="1035"/>
        <v>女</v>
      </c>
      <c r="D1946" s="8" t="str">
        <f>"1998-09-13"</f>
        <v>1998-09-13</v>
      </c>
      <c r="E1946" s="8" t="str">
        <f t="shared" si="1034"/>
        <v>本科</v>
      </c>
      <c r="F1946" s="8" t="str">
        <f t="shared" si="1037"/>
        <v>工学学士</v>
      </c>
      <c r="G1946" s="8" t="str">
        <f>"计算机科学与技术"</f>
        <v>计算机科学与技术</v>
      </c>
      <c r="H1946" s="7" t="s">
        <v>10</v>
      </c>
    </row>
    <row r="1947" spans="1:8" ht="15" customHeight="1">
      <c r="A1947" s="5">
        <v>1945</v>
      </c>
      <c r="B1947" s="8" t="str">
        <f>"韦天远"</f>
        <v>韦天远</v>
      </c>
      <c r="C1947" s="8" t="str">
        <f t="shared" si="1036"/>
        <v>男</v>
      </c>
      <c r="D1947" s="8" t="str">
        <f>"2000-07-12"</f>
        <v>2000-07-12</v>
      </c>
      <c r="E1947" s="8" t="str">
        <f t="shared" si="1034"/>
        <v>本科</v>
      </c>
      <c r="F1947" s="8" t="str">
        <f t="shared" si="1037"/>
        <v>工学学士</v>
      </c>
      <c r="G1947" s="8" t="str">
        <f t="shared" si="1038"/>
        <v>数字媒体技术</v>
      </c>
      <c r="H1947" s="7" t="s">
        <v>10</v>
      </c>
    </row>
    <row r="1948" spans="1:8" ht="15" customHeight="1">
      <c r="A1948" s="5">
        <v>1946</v>
      </c>
      <c r="B1948" s="8" t="str">
        <f>"何永华"</f>
        <v>何永华</v>
      </c>
      <c r="C1948" s="8" t="str">
        <f t="shared" si="1036"/>
        <v>男</v>
      </c>
      <c r="D1948" s="8" t="str">
        <f>"1991-09-29"</f>
        <v>1991-09-29</v>
      </c>
      <c r="E1948" s="8" t="str">
        <f t="shared" si="1034"/>
        <v>本科</v>
      </c>
      <c r="F1948" s="8" t="str">
        <f>"无"</f>
        <v>无</v>
      </c>
      <c r="G1948" s="8" t="str">
        <f>"计算机科学与技术"</f>
        <v>计算机科学与技术</v>
      </c>
      <c r="H1948" s="7" t="s">
        <v>10</v>
      </c>
    </row>
    <row r="1949" spans="1:8" ht="15" customHeight="1">
      <c r="A1949" s="5">
        <v>1947</v>
      </c>
      <c r="B1949" s="8" t="str">
        <f>"李健鑫"</f>
        <v>李健鑫</v>
      </c>
      <c r="C1949" s="8" t="str">
        <f t="shared" si="1036"/>
        <v>男</v>
      </c>
      <c r="D1949" s="8" t="str">
        <f>"1995-10-25"</f>
        <v>1995-10-25</v>
      </c>
      <c r="E1949" s="8" t="str">
        <f t="shared" si="1034"/>
        <v>本科</v>
      </c>
      <c r="F1949" s="8" t="str">
        <f>"工学学位"</f>
        <v>工学学位</v>
      </c>
      <c r="G1949" s="8" t="str">
        <f t="shared" si="1038"/>
        <v>数字媒体技术</v>
      </c>
      <c r="H1949" s="7" t="s">
        <v>10</v>
      </c>
    </row>
    <row r="1950" spans="1:8" ht="15" customHeight="1">
      <c r="A1950" s="5">
        <v>1948</v>
      </c>
      <c r="B1950" s="8" t="str">
        <f>"王上前"</f>
        <v>王上前</v>
      </c>
      <c r="C1950" s="8" t="str">
        <f t="shared" si="1036"/>
        <v>男</v>
      </c>
      <c r="D1950" s="8" t="str">
        <f>"1991-01-13"</f>
        <v>1991-01-13</v>
      </c>
      <c r="E1950" s="8" t="str">
        <f t="shared" si="1034"/>
        <v>本科</v>
      </c>
      <c r="F1950" s="8" t="str">
        <f aca="true" t="shared" si="1039" ref="F1950:F1955">"工学学士"</f>
        <v>工学学士</v>
      </c>
      <c r="G1950" s="8" t="str">
        <f>"物联网工程"</f>
        <v>物联网工程</v>
      </c>
      <c r="H1950" s="7" t="s">
        <v>10</v>
      </c>
    </row>
    <row r="1951" spans="1:8" ht="15" customHeight="1">
      <c r="A1951" s="5">
        <v>1949</v>
      </c>
      <c r="B1951" s="8" t="str">
        <f>"陈姗姗"</f>
        <v>陈姗姗</v>
      </c>
      <c r="C1951" s="8" t="str">
        <f aca="true" t="shared" si="1040" ref="C1951:C1954">"女"</f>
        <v>女</v>
      </c>
      <c r="D1951" s="8" t="str">
        <f>"2000-06-19"</f>
        <v>2000-06-19</v>
      </c>
      <c r="E1951" s="8" t="str">
        <f t="shared" si="1034"/>
        <v>本科</v>
      </c>
      <c r="F1951" s="8" t="str">
        <f>"学士"</f>
        <v>学士</v>
      </c>
      <c r="G1951" s="8" t="str">
        <f>"电子科学与技术"</f>
        <v>电子科学与技术</v>
      </c>
      <c r="H1951" s="7" t="s">
        <v>10</v>
      </c>
    </row>
    <row r="1952" spans="1:8" ht="15" customHeight="1">
      <c r="A1952" s="5">
        <v>1950</v>
      </c>
      <c r="B1952" s="8" t="str">
        <f>"王玲"</f>
        <v>王玲</v>
      </c>
      <c r="C1952" s="8" t="str">
        <f t="shared" si="1040"/>
        <v>女</v>
      </c>
      <c r="D1952" s="8" t="str">
        <f>"1993-12-20"</f>
        <v>1993-12-20</v>
      </c>
      <c r="E1952" s="8" t="str">
        <f>"大学本科"</f>
        <v>大学本科</v>
      </c>
      <c r="F1952" s="8" t="str">
        <f t="shared" si="1039"/>
        <v>工学学士</v>
      </c>
      <c r="G1952" s="8" t="str">
        <f aca="true" t="shared" si="1041" ref="G1952:G1957">"软件工程"</f>
        <v>软件工程</v>
      </c>
      <c r="H1952" s="7" t="s">
        <v>10</v>
      </c>
    </row>
    <row r="1953" spans="1:8" ht="15" customHeight="1">
      <c r="A1953" s="5">
        <v>1951</v>
      </c>
      <c r="B1953" s="8" t="str">
        <f>"王善如"</f>
        <v>王善如</v>
      </c>
      <c r="C1953" s="8" t="str">
        <f aca="true" t="shared" si="1042" ref="C1953:C1957">"男"</f>
        <v>男</v>
      </c>
      <c r="D1953" s="8" t="str">
        <f>"1991-05-12"</f>
        <v>1991-05-12</v>
      </c>
      <c r="E1953" s="8" t="str">
        <f aca="true" t="shared" si="1043" ref="E1953:E1959">"本科"</f>
        <v>本科</v>
      </c>
      <c r="F1953" s="8" t="str">
        <f>"无"</f>
        <v>无</v>
      </c>
      <c r="G1953" s="8" t="str">
        <f>"计算机科学与技术（软件工程方向）"</f>
        <v>计算机科学与技术（软件工程方向）</v>
      </c>
      <c r="H1953" s="7" t="s">
        <v>10</v>
      </c>
    </row>
    <row r="1954" spans="1:8" ht="15" customHeight="1">
      <c r="A1954" s="5">
        <v>1952</v>
      </c>
      <c r="B1954" s="8" t="str">
        <f>"唐春萍"</f>
        <v>唐春萍</v>
      </c>
      <c r="C1954" s="8" t="str">
        <f t="shared" si="1040"/>
        <v>女</v>
      </c>
      <c r="D1954" s="8" t="str">
        <f>"2000-11-18"</f>
        <v>2000-11-18</v>
      </c>
      <c r="E1954" s="8" t="str">
        <f>"全日制本科"</f>
        <v>全日制本科</v>
      </c>
      <c r="F1954" s="8" t="str">
        <f>"学士"</f>
        <v>学士</v>
      </c>
      <c r="G1954" s="8" t="str">
        <f>"计算机科学与技术"</f>
        <v>计算机科学与技术</v>
      </c>
      <c r="H1954" s="7" t="s">
        <v>10</v>
      </c>
    </row>
    <row r="1955" spans="1:8" ht="15" customHeight="1">
      <c r="A1955" s="5">
        <v>1953</v>
      </c>
      <c r="B1955" s="8" t="str">
        <f>"蒙景"</f>
        <v>蒙景</v>
      </c>
      <c r="C1955" s="8" t="str">
        <f t="shared" si="1042"/>
        <v>男</v>
      </c>
      <c r="D1955" s="8" t="str">
        <f>"1995-03-18"</f>
        <v>1995-03-18</v>
      </c>
      <c r="E1955" s="8" t="str">
        <f>"全日制本科"</f>
        <v>全日制本科</v>
      </c>
      <c r="F1955" s="8" t="str">
        <f t="shared" si="1039"/>
        <v>工学学士</v>
      </c>
      <c r="G1955" s="8" t="str">
        <f t="shared" si="1041"/>
        <v>软件工程</v>
      </c>
      <c r="H1955" s="7" t="s">
        <v>10</v>
      </c>
    </row>
    <row r="1956" spans="1:8" ht="15" customHeight="1">
      <c r="A1956" s="5">
        <v>1954</v>
      </c>
      <c r="B1956" s="8" t="str">
        <f>"梁崇善"</f>
        <v>梁崇善</v>
      </c>
      <c r="C1956" s="8" t="str">
        <f t="shared" si="1042"/>
        <v>男</v>
      </c>
      <c r="D1956" s="8" t="str">
        <f>"1992-12-27"</f>
        <v>1992-12-27</v>
      </c>
      <c r="E1956" s="8" t="str">
        <f t="shared" si="1043"/>
        <v>本科</v>
      </c>
      <c r="F1956" s="8" t="str">
        <f>"理学学士"</f>
        <v>理学学士</v>
      </c>
      <c r="G1956" s="8" t="str">
        <f>"电子信息科学与技术"</f>
        <v>电子信息科学与技术</v>
      </c>
      <c r="H1956" s="7" t="s">
        <v>10</v>
      </c>
    </row>
    <row r="1957" spans="1:8" ht="15" customHeight="1">
      <c r="A1957" s="5">
        <v>1955</v>
      </c>
      <c r="B1957" s="8" t="str">
        <f>"于东杨"</f>
        <v>于东杨</v>
      </c>
      <c r="C1957" s="8" t="str">
        <f t="shared" si="1042"/>
        <v>男</v>
      </c>
      <c r="D1957" s="8" t="str">
        <f>"2000-12-27"</f>
        <v>2000-12-27</v>
      </c>
      <c r="E1957" s="8" t="str">
        <f t="shared" si="1043"/>
        <v>本科</v>
      </c>
      <c r="F1957" s="8" t="str">
        <f>"工学学士"</f>
        <v>工学学士</v>
      </c>
      <c r="G1957" s="8" t="str">
        <f t="shared" si="1041"/>
        <v>软件工程</v>
      </c>
      <c r="H1957" s="7" t="s">
        <v>10</v>
      </c>
    </row>
    <row r="1958" spans="1:8" ht="15" customHeight="1">
      <c r="A1958" s="5">
        <v>1956</v>
      </c>
      <c r="B1958" s="8" t="str">
        <f>"吴道欣"</f>
        <v>吴道欣</v>
      </c>
      <c r="C1958" s="8" t="str">
        <f aca="true" t="shared" si="1044" ref="C1958:C1962">"女"</f>
        <v>女</v>
      </c>
      <c r="D1958" s="8" t="str">
        <f>"1999-06-06"</f>
        <v>1999-06-06</v>
      </c>
      <c r="E1958" s="8" t="str">
        <f t="shared" si="1043"/>
        <v>本科</v>
      </c>
      <c r="F1958" s="8" t="str">
        <f>"理科学士"</f>
        <v>理科学士</v>
      </c>
      <c r="G1958" s="8" t="str">
        <f>"计算机科学与技术"</f>
        <v>计算机科学与技术</v>
      </c>
      <c r="H1958" s="7" t="s">
        <v>10</v>
      </c>
    </row>
    <row r="1959" spans="1:8" ht="15" customHeight="1">
      <c r="A1959" s="5">
        <v>1957</v>
      </c>
      <c r="B1959" s="8" t="str">
        <f>"吴国俊"</f>
        <v>吴国俊</v>
      </c>
      <c r="C1959" s="8" t="str">
        <f aca="true" t="shared" si="1045" ref="C1959:C1963">"男"</f>
        <v>男</v>
      </c>
      <c r="D1959" s="8" t="str">
        <f>"1999-07-10"</f>
        <v>1999-07-10</v>
      </c>
      <c r="E1959" s="8" t="str">
        <f t="shared" si="1043"/>
        <v>本科</v>
      </c>
      <c r="F1959" s="8" t="str">
        <f>"理学学士"</f>
        <v>理学学士</v>
      </c>
      <c r="G1959" s="8" t="str">
        <f>"信息与计算科学"</f>
        <v>信息与计算科学</v>
      </c>
      <c r="H1959" s="7" t="s">
        <v>10</v>
      </c>
    </row>
    <row r="1960" spans="1:8" ht="15" customHeight="1">
      <c r="A1960" s="5">
        <v>1958</v>
      </c>
      <c r="B1960" s="8" t="str">
        <f>"陈春晓"</f>
        <v>陈春晓</v>
      </c>
      <c r="C1960" s="8" t="str">
        <f t="shared" si="1045"/>
        <v>男</v>
      </c>
      <c r="D1960" s="8" t="str">
        <f>"1999-01-18"</f>
        <v>1999-01-18</v>
      </c>
      <c r="E1960" s="8" t="str">
        <f>"大学本科学历"</f>
        <v>大学本科学历</v>
      </c>
      <c r="F1960" s="8" t="str">
        <f>"工学学位学士"</f>
        <v>工学学位学士</v>
      </c>
      <c r="G1960" s="8" t="str">
        <f>"通信工程"</f>
        <v>通信工程</v>
      </c>
      <c r="H1960" s="7" t="s">
        <v>10</v>
      </c>
    </row>
    <row r="1961" spans="1:8" ht="15" customHeight="1">
      <c r="A1961" s="5">
        <v>1959</v>
      </c>
      <c r="B1961" s="8" t="str">
        <f>"李璐璐"</f>
        <v>李璐璐</v>
      </c>
      <c r="C1961" s="8" t="str">
        <f t="shared" si="1044"/>
        <v>女</v>
      </c>
      <c r="D1961" s="8" t="str">
        <f>"1995-07-07"</f>
        <v>1995-07-07</v>
      </c>
      <c r="E1961" s="8" t="str">
        <f aca="true" t="shared" si="1046" ref="E1961:E1963">"本科"</f>
        <v>本科</v>
      </c>
      <c r="F1961" s="8" t="str">
        <f>"工学学士"</f>
        <v>工学学士</v>
      </c>
      <c r="G1961" s="8" t="str">
        <f>"软件工程"</f>
        <v>软件工程</v>
      </c>
      <c r="H1961" s="7" t="s">
        <v>10</v>
      </c>
    </row>
    <row r="1962" spans="1:8" ht="15" customHeight="1">
      <c r="A1962" s="5">
        <v>1960</v>
      </c>
      <c r="B1962" s="8" t="str">
        <f>"周业兰"</f>
        <v>周业兰</v>
      </c>
      <c r="C1962" s="8" t="str">
        <f t="shared" si="1044"/>
        <v>女</v>
      </c>
      <c r="D1962" s="8" t="str">
        <f>"1997-04-07"</f>
        <v>1997-04-07</v>
      </c>
      <c r="E1962" s="8" t="str">
        <f t="shared" si="1046"/>
        <v>本科</v>
      </c>
      <c r="F1962" s="8" t="str">
        <f>"学士"</f>
        <v>学士</v>
      </c>
      <c r="G1962" s="8" t="str">
        <f>"物联网工程专业"</f>
        <v>物联网工程专业</v>
      </c>
      <c r="H1962" s="7" t="s">
        <v>10</v>
      </c>
    </row>
    <row r="1963" spans="1:8" ht="15" customHeight="1">
      <c r="A1963" s="5">
        <v>1961</v>
      </c>
      <c r="B1963" s="8" t="str">
        <f>"吴高毅"</f>
        <v>吴高毅</v>
      </c>
      <c r="C1963" s="8" t="str">
        <f t="shared" si="1045"/>
        <v>男</v>
      </c>
      <c r="D1963" s="8" t="str">
        <f>"1998-05-30"</f>
        <v>1998-05-30</v>
      </c>
      <c r="E1963" s="8" t="str">
        <f t="shared" si="1046"/>
        <v>本科</v>
      </c>
      <c r="F1963" s="8" t="str">
        <f>"工学学士"</f>
        <v>工学学士</v>
      </c>
      <c r="G1963" s="8" t="str">
        <f>"软件工程"</f>
        <v>软件工程</v>
      </c>
      <c r="H1963" s="7" t="s">
        <v>10</v>
      </c>
    </row>
    <row r="1964" spans="1:8" ht="15" customHeight="1">
      <c r="A1964" s="5">
        <v>1962</v>
      </c>
      <c r="B1964" s="8" t="str">
        <f>"林晓"</f>
        <v>林晓</v>
      </c>
      <c r="C1964" s="8" t="str">
        <f aca="true" t="shared" si="1047" ref="C1964:C1974">"女"</f>
        <v>女</v>
      </c>
      <c r="D1964" s="8" t="str">
        <f>"1992-07-27"</f>
        <v>1992-07-27</v>
      </c>
      <c r="E1964" s="8" t="str">
        <f>"大学本科学历"</f>
        <v>大学本科学历</v>
      </c>
      <c r="F1964" s="8" t="str">
        <f aca="true" t="shared" si="1048" ref="F1964:F1969">"文学学士"</f>
        <v>文学学士</v>
      </c>
      <c r="G1964" s="8" t="str">
        <f>"新闻学"</f>
        <v>新闻学</v>
      </c>
      <c r="H1964" s="7" t="s">
        <v>10</v>
      </c>
    </row>
    <row r="1965" spans="1:8" ht="15" customHeight="1">
      <c r="A1965" s="5">
        <v>1963</v>
      </c>
      <c r="B1965" s="8" t="str">
        <f>"洪晓慧"</f>
        <v>洪晓慧</v>
      </c>
      <c r="C1965" s="8" t="str">
        <f t="shared" si="1047"/>
        <v>女</v>
      </c>
      <c r="D1965" s="8" t="str">
        <f>"1996-08-15"</f>
        <v>1996-08-15</v>
      </c>
      <c r="E1965" s="8" t="str">
        <f aca="true" t="shared" si="1049" ref="E1965:E1971">"本科"</f>
        <v>本科</v>
      </c>
      <c r="F1965" s="8" t="str">
        <f>"无"</f>
        <v>无</v>
      </c>
      <c r="G1965" s="8" t="str">
        <f>"动画"</f>
        <v>动画</v>
      </c>
      <c r="H1965" s="7" t="s">
        <v>10</v>
      </c>
    </row>
    <row r="1966" spans="1:8" ht="15" customHeight="1">
      <c r="A1966" s="5">
        <v>1964</v>
      </c>
      <c r="B1966" s="8" t="str">
        <f>"曹菲菲"</f>
        <v>曹菲菲</v>
      </c>
      <c r="C1966" s="8" t="str">
        <f t="shared" si="1047"/>
        <v>女</v>
      </c>
      <c r="D1966" s="8" t="str">
        <f>"1997-07-28"</f>
        <v>1997-07-28</v>
      </c>
      <c r="E1966" s="8" t="str">
        <f t="shared" si="1049"/>
        <v>本科</v>
      </c>
      <c r="F1966" s="8" t="str">
        <f t="shared" si="1048"/>
        <v>文学学士</v>
      </c>
      <c r="G1966" s="8" t="str">
        <f>"广播电视学"</f>
        <v>广播电视学</v>
      </c>
      <c r="H1966" s="7" t="s">
        <v>10</v>
      </c>
    </row>
    <row r="1967" spans="1:8" ht="15" customHeight="1">
      <c r="A1967" s="5">
        <v>1965</v>
      </c>
      <c r="B1967" s="8" t="str">
        <f>"吉春婷"</f>
        <v>吉春婷</v>
      </c>
      <c r="C1967" s="8" t="str">
        <f t="shared" si="1047"/>
        <v>女</v>
      </c>
      <c r="D1967" s="8" t="str">
        <f>"1995-12-28"</f>
        <v>1995-12-28</v>
      </c>
      <c r="E1967" s="8" t="str">
        <f>"大学本科"</f>
        <v>大学本科</v>
      </c>
      <c r="F1967" s="8" t="str">
        <f>"学士"</f>
        <v>学士</v>
      </c>
      <c r="G1967" s="8" t="str">
        <f>"汉语言文学"</f>
        <v>汉语言文学</v>
      </c>
      <c r="H1967" s="7" t="s">
        <v>10</v>
      </c>
    </row>
    <row r="1968" spans="1:8" ht="15" customHeight="1">
      <c r="A1968" s="5">
        <v>1966</v>
      </c>
      <c r="B1968" s="8" t="str">
        <f>"梁一笑"</f>
        <v>梁一笑</v>
      </c>
      <c r="C1968" s="8" t="str">
        <f t="shared" si="1047"/>
        <v>女</v>
      </c>
      <c r="D1968" s="8" t="str">
        <f>"2000-03-07"</f>
        <v>2000-03-07</v>
      </c>
      <c r="E1968" s="8" t="str">
        <f t="shared" si="1049"/>
        <v>本科</v>
      </c>
      <c r="F1968" s="8" t="str">
        <f>"艺术学学士"</f>
        <v>艺术学学士</v>
      </c>
      <c r="G1968" s="8" t="str">
        <f>"戏剧影视文学"</f>
        <v>戏剧影视文学</v>
      </c>
      <c r="H1968" s="7" t="s">
        <v>10</v>
      </c>
    </row>
    <row r="1969" spans="1:8" ht="15" customHeight="1">
      <c r="A1969" s="5">
        <v>1967</v>
      </c>
      <c r="B1969" s="8" t="str">
        <f>"符小霞"</f>
        <v>符小霞</v>
      </c>
      <c r="C1969" s="8" t="str">
        <f t="shared" si="1047"/>
        <v>女</v>
      </c>
      <c r="D1969" s="8" t="str">
        <f>"1993-09-16"</f>
        <v>1993-09-16</v>
      </c>
      <c r="E1969" s="8" t="str">
        <f t="shared" si="1049"/>
        <v>本科</v>
      </c>
      <c r="F1969" s="8" t="str">
        <f t="shared" si="1048"/>
        <v>文学学士</v>
      </c>
      <c r="G1969" s="8" t="str">
        <f aca="true" t="shared" si="1050" ref="G1969:G1974">"新闻学"</f>
        <v>新闻学</v>
      </c>
      <c r="H1969" s="7" t="s">
        <v>10</v>
      </c>
    </row>
    <row r="1970" spans="1:8" ht="15" customHeight="1">
      <c r="A1970" s="5">
        <v>1968</v>
      </c>
      <c r="B1970" s="8" t="str">
        <f>"王影"</f>
        <v>王影</v>
      </c>
      <c r="C1970" s="8" t="str">
        <f t="shared" si="1047"/>
        <v>女</v>
      </c>
      <c r="D1970" s="8" t="str">
        <f>"2000-03-31"</f>
        <v>2000-03-31</v>
      </c>
      <c r="E1970" s="8" t="str">
        <f t="shared" si="1049"/>
        <v>本科</v>
      </c>
      <c r="F1970" s="8" t="str">
        <f>"学士"</f>
        <v>学士</v>
      </c>
      <c r="G1970" s="8" t="str">
        <f>"法学"</f>
        <v>法学</v>
      </c>
      <c r="H1970" s="7" t="s">
        <v>10</v>
      </c>
    </row>
    <row r="1971" spans="1:8" ht="15" customHeight="1">
      <c r="A1971" s="5">
        <v>1969</v>
      </c>
      <c r="B1971" s="8" t="str">
        <f>"杨燕"</f>
        <v>杨燕</v>
      </c>
      <c r="C1971" s="8" t="str">
        <f t="shared" si="1047"/>
        <v>女</v>
      </c>
      <c r="D1971" s="8" t="str">
        <f>"1998-04-22"</f>
        <v>1998-04-22</v>
      </c>
      <c r="E1971" s="8" t="str">
        <f t="shared" si="1049"/>
        <v>本科</v>
      </c>
      <c r="F1971" s="8" t="str">
        <f>"理学学士"</f>
        <v>理学学士</v>
      </c>
      <c r="G1971" s="8" t="str">
        <f>"教育技术学"</f>
        <v>教育技术学</v>
      </c>
      <c r="H1971" s="7" t="s">
        <v>10</v>
      </c>
    </row>
    <row r="1972" spans="1:8" ht="15" customHeight="1">
      <c r="A1972" s="5">
        <v>1970</v>
      </c>
      <c r="B1972" s="8" t="str">
        <f>"里艺"</f>
        <v>里艺</v>
      </c>
      <c r="C1972" s="8" t="str">
        <f t="shared" si="1047"/>
        <v>女</v>
      </c>
      <c r="D1972" s="8" t="str">
        <f>"1988-04-10"</f>
        <v>1988-04-10</v>
      </c>
      <c r="E1972" s="8" t="str">
        <f aca="true" t="shared" si="1051" ref="E1972:E1976">"大学本科"</f>
        <v>大学本科</v>
      </c>
      <c r="F1972" s="8" t="str">
        <f>"艺术学学士"</f>
        <v>艺术学学士</v>
      </c>
      <c r="G1972" s="8" t="str">
        <f>"播音与主持艺术"</f>
        <v>播音与主持艺术</v>
      </c>
      <c r="H1972" s="7" t="s">
        <v>10</v>
      </c>
    </row>
    <row r="1973" spans="1:8" ht="15" customHeight="1">
      <c r="A1973" s="5">
        <v>1971</v>
      </c>
      <c r="B1973" s="8" t="str">
        <f>"麦曾菊"</f>
        <v>麦曾菊</v>
      </c>
      <c r="C1973" s="8" t="str">
        <f t="shared" si="1047"/>
        <v>女</v>
      </c>
      <c r="D1973" s="8" t="str">
        <f>"2000-03-08"</f>
        <v>2000-03-08</v>
      </c>
      <c r="E1973" s="8" t="str">
        <f aca="true" t="shared" si="1052" ref="E1973:E1979">"本科"</f>
        <v>本科</v>
      </c>
      <c r="F1973" s="8" t="str">
        <f>"文学学士"</f>
        <v>文学学士</v>
      </c>
      <c r="G1973" s="8" t="str">
        <f t="shared" si="1050"/>
        <v>新闻学</v>
      </c>
      <c r="H1973" s="7" t="s">
        <v>10</v>
      </c>
    </row>
    <row r="1974" spans="1:8" ht="15" customHeight="1">
      <c r="A1974" s="5">
        <v>1972</v>
      </c>
      <c r="B1974" s="8" t="str">
        <f>"苏群"</f>
        <v>苏群</v>
      </c>
      <c r="C1974" s="8" t="str">
        <f t="shared" si="1047"/>
        <v>女</v>
      </c>
      <c r="D1974" s="8" t="str">
        <f>"1989-10-07"</f>
        <v>1989-10-07</v>
      </c>
      <c r="E1974" s="8" t="str">
        <f t="shared" si="1051"/>
        <v>大学本科</v>
      </c>
      <c r="F1974" s="8" t="str">
        <f>"学士学位"</f>
        <v>学士学位</v>
      </c>
      <c r="G1974" s="8" t="str">
        <f t="shared" si="1050"/>
        <v>新闻学</v>
      </c>
      <c r="H1974" s="7" t="s">
        <v>10</v>
      </c>
    </row>
    <row r="1975" spans="1:8" ht="15" customHeight="1">
      <c r="A1975" s="5">
        <v>1973</v>
      </c>
      <c r="B1975" s="8" t="str">
        <f>"曾扬刚"</f>
        <v>曾扬刚</v>
      </c>
      <c r="C1975" s="8" t="str">
        <f aca="true" t="shared" si="1053" ref="C1975:C1983">"男"</f>
        <v>男</v>
      </c>
      <c r="D1975" s="8" t="str">
        <f>"1997-11-15"</f>
        <v>1997-11-15</v>
      </c>
      <c r="E1975" s="8" t="str">
        <f t="shared" si="1051"/>
        <v>大学本科</v>
      </c>
      <c r="F1975" s="8" t="str">
        <f>"艺术学学士学位"</f>
        <v>艺术学学士学位</v>
      </c>
      <c r="G1975" s="8" t="str">
        <f>"环境设计"</f>
        <v>环境设计</v>
      </c>
      <c r="H1975" s="7" t="s">
        <v>10</v>
      </c>
    </row>
    <row r="1976" spans="1:8" ht="15" customHeight="1">
      <c r="A1976" s="5">
        <v>1974</v>
      </c>
      <c r="B1976" s="8" t="str">
        <f>"陈乙兴"</f>
        <v>陈乙兴</v>
      </c>
      <c r="C1976" s="8" t="str">
        <f t="shared" si="1053"/>
        <v>男</v>
      </c>
      <c r="D1976" s="8" t="str">
        <f>"1997-12-18"</f>
        <v>1997-12-18</v>
      </c>
      <c r="E1976" s="8" t="str">
        <f t="shared" si="1051"/>
        <v>大学本科</v>
      </c>
      <c r="F1976" s="8" t="str">
        <f aca="true" t="shared" si="1054" ref="F1976:F1980">"工学学士"</f>
        <v>工学学士</v>
      </c>
      <c r="G1976" s="8" t="str">
        <f aca="true" t="shared" si="1055" ref="G1976:G1980">"环境工程"</f>
        <v>环境工程</v>
      </c>
      <c r="H1976" s="7" t="s">
        <v>10</v>
      </c>
    </row>
    <row r="1977" spans="1:8" ht="15" customHeight="1">
      <c r="A1977" s="5">
        <v>1975</v>
      </c>
      <c r="B1977" s="8" t="str">
        <f>"曾令宝"</f>
        <v>曾令宝</v>
      </c>
      <c r="C1977" s="8" t="str">
        <f t="shared" si="1053"/>
        <v>男</v>
      </c>
      <c r="D1977" s="8" t="str">
        <f>"1997-10-20"</f>
        <v>1997-10-20</v>
      </c>
      <c r="E1977" s="8" t="str">
        <f t="shared" si="1052"/>
        <v>本科</v>
      </c>
      <c r="F1977" s="8" t="str">
        <f>"学士"</f>
        <v>学士</v>
      </c>
      <c r="G1977" s="8" t="str">
        <f>"轻化工程"</f>
        <v>轻化工程</v>
      </c>
      <c r="H1977" s="7" t="s">
        <v>10</v>
      </c>
    </row>
    <row r="1978" spans="1:8" ht="15" customHeight="1">
      <c r="A1978" s="5">
        <v>1976</v>
      </c>
      <c r="B1978" s="8" t="str">
        <f>"孔祥锋"</f>
        <v>孔祥锋</v>
      </c>
      <c r="C1978" s="8" t="str">
        <f t="shared" si="1053"/>
        <v>男</v>
      </c>
      <c r="D1978" s="8" t="str">
        <f>"1989-12-12"</f>
        <v>1989-12-12</v>
      </c>
      <c r="E1978" s="8" t="str">
        <f t="shared" si="1052"/>
        <v>本科</v>
      </c>
      <c r="F1978" s="8" t="str">
        <f t="shared" si="1054"/>
        <v>工学学士</v>
      </c>
      <c r="G1978" s="8" t="str">
        <f t="shared" si="1055"/>
        <v>环境工程</v>
      </c>
      <c r="H1978" s="7" t="s">
        <v>10</v>
      </c>
    </row>
    <row r="1979" spans="1:8" ht="15" customHeight="1">
      <c r="A1979" s="5">
        <v>1977</v>
      </c>
      <c r="B1979" s="8" t="str">
        <f>"符洺睿"</f>
        <v>符洺睿</v>
      </c>
      <c r="C1979" s="8" t="str">
        <f t="shared" si="1053"/>
        <v>男</v>
      </c>
      <c r="D1979" s="8" t="str">
        <f>"1999-10-09"</f>
        <v>1999-10-09</v>
      </c>
      <c r="E1979" s="8" t="str">
        <f t="shared" si="1052"/>
        <v>本科</v>
      </c>
      <c r="F1979" s="8" t="str">
        <f t="shared" si="1054"/>
        <v>工学学士</v>
      </c>
      <c r="G1979" s="8" t="str">
        <f t="shared" si="1055"/>
        <v>环境工程</v>
      </c>
      <c r="H1979" s="7" t="s">
        <v>10</v>
      </c>
    </row>
    <row r="1980" spans="1:8" ht="15" customHeight="1">
      <c r="A1980" s="5">
        <v>1978</v>
      </c>
      <c r="B1980" s="8" t="str">
        <f>"谢勇"</f>
        <v>谢勇</v>
      </c>
      <c r="C1980" s="8" t="str">
        <f t="shared" si="1053"/>
        <v>男</v>
      </c>
      <c r="D1980" s="8" t="str">
        <f>"1999-12-08"</f>
        <v>1999-12-08</v>
      </c>
      <c r="E1980" s="8" t="str">
        <f>"大学"</f>
        <v>大学</v>
      </c>
      <c r="F1980" s="8" t="str">
        <f t="shared" si="1054"/>
        <v>工学学士</v>
      </c>
      <c r="G1980" s="8" t="str">
        <f t="shared" si="1055"/>
        <v>环境工程</v>
      </c>
      <c r="H1980" s="7" t="s">
        <v>10</v>
      </c>
    </row>
    <row r="1981" spans="1:8" ht="15" customHeight="1">
      <c r="A1981" s="5">
        <v>1979</v>
      </c>
      <c r="B1981" s="8" t="str">
        <f>"王学旭"</f>
        <v>王学旭</v>
      </c>
      <c r="C1981" s="8" t="str">
        <f t="shared" si="1053"/>
        <v>男</v>
      </c>
      <c r="D1981" s="8" t="str">
        <f>"1996-04-23"</f>
        <v>1996-04-23</v>
      </c>
      <c r="E1981" s="8" t="str">
        <f aca="true" t="shared" si="1056" ref="E1981:E1985">"本科"</f>
        <v>本科</v>
      </c>
      <c r="F1981" s="8" t="str">
        <f>"学士学位"</f>
        <v>学士学位</v>
      </c>
      <c r="G1981" s="8" t="str">
        <f>"应用化学"</f>
        <v>应用化学</v>
      </c>
      <c r="H1981" s="7" t="s">
        <v>10</v>
      </c>
    </row>
    <row r="1982" spans="1:8" ht="15" customHeight="1">
      <c r="A1982" s="5">
        <v>1980</v>
      </c>
      <c r="B1982" s="8" t="str">
        <f>"庄俊良"</f>
        <v>庄俊良</v>
      </c>
      <c r="C1982" s="8" t="str">
        <f t="shared" si="1053"/>
        <v>男</v>
      </c>
      <c r="D1982" s="8" t="str">
        <f>"1999-02-06"</f>
        <v>1999-02-06</v>
      </c>
      <c r="E1982" s="8" t="str">
        <f t="shared" si="1056"/>
        <v>本科</v>
      </c>
      <c r="F1982" s="8" t="str">
        <f>"工学学士"</f>
        <v>工学学士</v>
      </c>
      <c r="G1982" s="8" t="str">
        <f>"环境工程"</f>
        <v>环境工程</v>
      </c>
      <c r="H1982" s="7" t="s">
        <v>10</v>
      </c>
    </row>
    <row r="1983" spans="1:8" ht="15" customHeight="1">
      <c r="A1983" s="5">
        <v>1981</v>
      </c>
      <c r="B1983" s="8" t="str">
        <f>"韦永良"</f>
        <v>韦永良</v>
      </c>
      <c r="C1983" s="8" t="str">
        <f t="shared" si="1053"/>
        <v>男</v>
      </c>
      <c r="D1983" s="8" t="str">
        <f>"1990-08-02"</f>
        <v>1990-08-02</v>
      </c>
      <c r="E1983" s="8" t="str">
        <f>"大专"</f>
        <v>大专</v>
      </c>
      <c r="F1983" s="8" t="str">
        <f>"无"</f>
        <v>无</v>
      </c>
      <c r="G1983" s="8" t="str">
        <f>"房地产经营与估价"</f>
        <v>房地产经营与估价</v>
      </c>
      <c r="H1983" s="7" t="s">
        <v>10</v>
      </c>
    </row>
    <row r="1984" spans="1:8" ht="15" customHeight="1">
      <c r="A1984" s="5">
        <v>1982</v>
      </c>
      <c r="B1984" s="8" t="str">
        <f>"唐爱求"</f>
        <v>唐爱求</v>
      </c>
      <c r="C1984" s="8" t="str">
        <f>"女"</f>
        <v>女</v>
      </c>
      <c r="D1984" s="8" t="str">
        <f>"1995-08-10"</f>
        <v>1995-08-10</v>
      </c>
      <c r="E1984" s="8" t="str">
        <f>"大学本科"</f>
        <v>大学本科</v>
      </c>
      <c r="F1984" s="8" t="str">
        <f>"学士"</f>
        <v>学士</v>
      </c>
      <c r="G1984" s="8" t="str">
        <f>"地理信息科学"</f>
        <v>地理信息科学</v>
      </c>
      <c r="H1984" s="7" t="s">
        <v>10</v>
      </c>
    </row>
    <row r="1985" spans="1:8" ht="15" customHeight="1">
      <c r="A1985" s="5">
        <v>1983</v>
      </c>
      <c r="B1985" s="8" t="str">
        <f>"黎明道"</f>
        <v>黎明道</v>
      </c>
      <c r="C1985" s="8" t="str">
        <f aca="true" t="shared" si="1057" ref="C1985:C1989">"男"</f>
        <v>男</v>
      </c>
      <c r="D1985" s="8" t="str">
        <f>"1992-02-10"</f>
        <v>1992-02-10</v>
      </c>
      <c r="E1985" s="8" t="str">
        <f t="shared" si="1056"/>
        <v>本科</v>
      </c>
      <c r="F1985" s="8" t="str">
        <f>"无"</f>
        <v>无</v>
      </c>
      <c r="G1985" s="8" t="str">
        <f>"环境工程"</f>
        <v>环境工程</v>
      </c>
      <c r="H1985" s="7" t="s">
        <v>10</v>
      </c>
    </row>
    <row r="1986" spans="1:8" ht="15" customHeight="1">
      <c r="A1986" s="5">
        <v>1984</v>
      </c>
      <c r="B1986" s="8" t="str">
        <f>"梁花婷"</f>
        <v>梁花婷</v>
      </c>
      <c r="C1986" s="8" t="str">
        <f aca="true" t="shared" si="1058" ref="C1986:C1992">"女"</f>
        <v>女</v>
      </c>
      <c r="D1986" s="8" t="str">
        <f>"1999-03-31"</f>
        <v>1999-03-31</v>
      </c>
      <c r="E1986" s="8" t="str">
        <f>"大学本科"</f>
        <v>大学本科</v>
      </c>
      <c r="F1986" s="8" t="str">
        <f aca="true" t="shared" si="1059" ref="F1986:F1991">"理学学士"</f>
        <v>理学学士</v>
      </c>
      <c r="G1986" s="8" t="str">
        <f>"生态学"</f>
        <v>生态学</v>
      </c>
      <c r="H1986" s="7" t="s">
        <v>10</v>
      </c>
    </row>
    <row r="1987" spans="1:8" ht="15" customHeight="1">
      <c r="A1987" s="5">
        <v>1985</v>
      </c>
      <c r="B1987" s="8" t="str">
        <f>"林录超"</f>
        <v>林录超</v>
      </c>
      <c r="C1987" s="8" t="str">
        <f t="shared" si="1057"/>
        <v>男</v>
      </c>
      <c r="D1987" s="8" t="str">
        <f>"1999-06-27"</f>
        <v>1999-06-27</v>
      </c>
      <c r="E1987" s="8" t="str">
        <f aca="true" t="shared" si="1060" ref="E1987:E1989">"本科"</f>
        <v>本科</v>
      </c>
      <c r="F1987" s="8" t="str">
        <f t="shared" si="1059"/>
        <v>理学学士</v>
      </c>
      <c r="G1987" s="8" t="str">
        <f>"环境科学"</f>
        <v>环境科学</v>
      </c>
      <c r="H1987" s="7" t="s">
        <v>10</v>
      </c>
    </row>
    <row r="1988" spans="1:8" ht="15" customHeight="1">
      <c r="A1988" s="5">
        <v>1986</v>
      </c>
      <c r="B1988" s="8" t="str">
        <f>"谢仁浪"</f>
        <v>谢仁浪</v>
      </c>
      <c r="C1988" s="8" t="str">
        <f t="shared" si="1057"/>
        <v>男</v>
      </c>
      <c r="D1988" s="8" t="str">
        <f>"1994-11-11"</f>
        <v>1994-11-11</v>
      </c>
      <c r="E1988" s="8" t="str">
        <f t="shared" si="1060"/>
        <v>本科</v>
      </c>
      <c r="F1988" s="8" t="str">
        <f>"工学学士"</f>
        <v>工学学士</v>
      </c>
      <c r="G1988" s="8" t="str">
        <f>"海洋技术"</f>
        <v>海洋技术</v>
      </c>
      <c r="H1988" s="7" t="s">
        <v>10</v>
      </c>
    </row>
    <row r="1989" spans="1:8" ht="15" customHeight="1">
      <c r="A1989" s="5">
        <v>1987</v>
      </c>
      <c r="B1989" s="8" t="str">
        <f>"李毅瑞"</f>
        <v>李毅瑞</v>
      </c>
      <c r="C1989" s="8" t="str">
        <f t="shared" si="1057"/>
        <v>男</v>
      </c>
      <c r="D1989" s="8" t="str">
        <f>"1998-05-13"</f>
        <v>1998-05-13</v>
      </c>
      <c r="E1989" s="8" t="str">
        <f t="shared" si="1060"/>
        <v>本科</v>
      </c>
      <c r="F1989" s="8" t="str">
        <f>"学士"</f>
        <v>学士</v>
      </c>
      <c r="G1989" s="8" t="str">
        <f>"体育教育"</f>
        <v>体育教育</v>
      </c>
      <c r="H1989" s="7" t="s">
        <v>10</v>
      </c>
    </row>
    <row r="1990" spans="1:8" ht="15" customHeight="1">
      <c r="A1990" s="5">
        <v>1988</v>
      </c>
      <c r="B1990" s="8" t="str">
        <f>"林海莉"</f>
        <v>林海莉</v>
      </c>
      <c r="C1990" s="8" t="str">
        <f t="shared" si="1058"/>
        <v>女</v>
      </c>
      <c r="D1990" s="8" t="str">
        <f>"1990-08-21"</f>
        <v>1990-08-21</v>
      </c>
      <c r="E1990" s="8" t="str">
        <f>"大专"</f>
        <v>大专</v>
      </c>
      <c r="F1990" s="8" t="str">
        <f>"无"</f>
        <v>无</v>
      </c>
      <c r="G1990" s="8" t="str">
        <f>"音乐教育"</f>
        <v>音乐教育</v>
      </c>
      <c r="H1990" s="7" t="s">
        <v>10</v>
      </c>
    </row>
    <row r="1991" spans="1:8" ht="15" customHeight="1">
      <c r="A1991" s="5">
        <v>1989</v>
      </c>
      <c r="B1991" s="8" t="str">
        <f>"姚宇宁"</f>
        <v>姚宇宁</v>
      </c>
      <c r="C1991" s="8" t="str">
        <f t="shared" si="1058"/>
        <v>女</v>
      </c>
      <c r="D1991" s="8" t="str">
        <f>"2001-08-20"</f>
        <v>2001-08-20</v>
      </c>
      <c r="E1991" s="8" t="str">
        <f aca="true" t="shared" si="1061" ref="E1991:E1996">"本科"</f>
        <v>本科</v>
      </c>
      <c r="F1991" s="8" t="str">
        <f t="shared" si="1059"/>
        <v>理学学士</v>
      </c>
      <c r="G1991" s="8" t="str">
        <f>"环境科学"</f>
        <v>环境科学</v>
      </c>
      <c r="H1991" s="7" t="s">
        <v>10</v>
      </c>
    </row>
    <row r="1992" spans="1:8" ht="15" customHeight="1">
      <c r="A1992" s="5">
        <v>1990</v>
      </c>
      <c r="B1992" s="8" t="str">
        <f>"李慧敏"</f>
        <v>李慧敏</v>
      </c>
      <c r="C1992" s="8" t="str">
        <f t="shared" si="1058"/>
        <v>女</v>
      </c>
      <c r="D1992" s="8" t="str">
        <f>"2001-09-27"</f>
        <v>2001-09-27</v>
      </c>
      <c r="E1992" s="8" t="str">
        <f t="shared" si="1061"/>
        <v>本科</v>
      </c>
      <c r="F1992" s="8" t="str">
        <f>"学士学位"</f>
        <v>学士学位</v>
      </c>
      <c r="G1992" s="8" t="str">
        <f aca="true" t="shared" si="1062" ref="G1992:G1996">"环境工程"</f>
        <v>环境工程</v>
      </c>
      <c r="H1992" s="7" t="s">
        <v>10</v>
      </c>
    </row>
    <row r="1993" spans="1:8" ht="15" customHeight="1">
      <c r="A1993" s="5">
        <v>1991</v>
      </c>
      <c r="B1993" s="8" t="str">
        <f>"羊强进"</f>
        <v>羊强进</v>
      </c>
      <c r="C1993" s="8" t="str">
        <f>"男"</f>
        <v>男</v>
      </c>
      <c r="D1993" s="8" t="str">
        <f>"1992-05-26"</f>
        <v>1992-05-26</v>
      </c>
      <c r="E1993" s="8" t="str">
        <f>"大学本科"</f>
        <v>大学本科</v>
      </c>
      <c r="F1993" s="8" t="str">
        <f aca="true" t="shared" si="1063" ref="F1993:F1995">"工学学士"</f>
        <v>工学学士</v>
      </c>
      <c r="G1993" s="8" t="str">
        <f>"应用化学"</f>
        <v>应用化学</v>
      </c>
      <c r="H1993" s="7" t="s">
        <v>10</v>
      </c>
    </row>
    <row r="1994" spans="1:8" ht="15" customHeight="1">
      <c r="A1994" s="5">
        <v>1992</v>
      </c>
      <c r="B1994" s="8" t="str">
        <f>"温景"</f>
        <v>温景</v>
      </c>
      <c r="C1994" s="8" t="str">
        <f aca="true" t="shared" si="1064" ref="C1994:C1998">"女"</f>
        <v>女</v>
      </c>
      <c r="D1994" s="8" t="str">
        <f>"1999-04-21"</f>
        <v>1999-04-21</v>
      </c>
      <c r="E1994" s="8" t="str">
        <f>"大学本科学历"</f>
        <v>大学本科学历</v>
      </c>
      <c r="F1994" s="8" t="str">
        <f t="shared" si="1063"/>
        <v>工学学士</v>
      </c>
      <c r="G1994" s="8" t="str">
        <f t="shared" si="1062"/>
        <v>环境工程</v>
      </c>
      <c r="H1994" s="7" t="s">
        <v>10</v>
      </c>
    </row>
    <row r="1995" spans="1:8" ht="15" customHeight="1">
      <c r="A1995" s="5">
        <v>1993</v>
      </c>
      <c r="B1995" s="8" t="str">
        <f>"林唐子"</f>
        <v>林唐子</v>
      </c>
      <c r="C1995" s="8" t="str">
        <f>"男"</f>
        <v>男</v>
      </c>
      <c r="D1995" s="8" t="str">
        <f>"1994-04-18"</f>
        <v>1994-04-18</v>
      </c>
      <c r="E1995" s="8" t="str">
        <f t="shared" si="1061"/>
        <v>本科</v>
      </c>
      <c r="F1995" s="8" t="str">
        <f t="shared" si="1063"/>
        <v>工学学士</v>
      </c>
      <c r="G1995" s="8" t="str">
        <f t="shared" si="1062"/>
        <v>环境工程</v>
      </c>
      <c r="H1995" s="7" t="s">
        <v>10</v>
      </c>
    </row>
    <row r="1996" spans="1:8" ht="15" customHeight="1">
      <c r="A1996" s="5">
        <v>1994</v>
      </c>
      <c r="B1996" s="8" t="str">
        <f>"王菲"</f>
        <v>王菲</v>
      </c>
      <c r="C1996" s="8" t="str">
        <f t="shared" si="1064"/>
        <v>女</v>
      </c>
      <c r="D1996" s="8" t="str">
        <f>"2000-02-21"</f>
        <v>2000-02-21</v>
      </c>
      <c r="E1996" s="8" t="str">
        <f t="shared" si="1061"/>
        <v>本科</v>
      </c>
      <c r="F1996" s="8" t="str">
        <f>"工科学士"</f>
        <v>工科学士</v>
      </c>
      <c r="G1996" s="8" t="str">
        <f t="shared" si="1062"/>
        <v>环境工程</v>
      </c>
      <c r="H1996" s="7" t="s">
        <v>10</v>
      </c>
    </row>
    <row r="1997" spans="1:8" ht="15" customHeight="1">
      <c r="A1997" s="5">
        <v>1995</v>
      </c>
      <c r="B1997" s="8" t="str">
        <f>"李欣欣"</f>
        <v>李欣欣</v>
      </c>
      <c r="C1997" s="8" t="str">
        <f t="shared" si="1064"/>
        <v>女</v>
      </c>
      <c r="D1997" s="8" t="str">
        <f>"1996-07-08"</f>
        <v>1996-07-08</v>
      </c>
      <c r="E1997" s="8" t="str">
        <f>"研究生"</f>
        <v>研究生</v>
      </c>
      <c r="F1997" s="8" t="str">
        <f>"硕士"</f>
        <v>硕士</v>
      </c>
      <c r="G1997" s="8" t="str">
        <f>"生态学"</f>
        <v>生态学</v>
      </c>
      <c r="H1997" s="7" t="s">
        <v>10</v>
      </c>
    </row>
    <row r="1998" spans="1:8" ht="15" customHeight="1">
      <c r="A1998" s="5">
        <v>1996</v>
      </c>
      <c r="B1998" s="8" t="str">
        <f>"覃丽颖"</f>
        <v>覃丽颖</v>
      </c>
      <c r="C1998" s="8" t="str">
        <f t="shared" si="1064"/>
        <v>女</v>
      </c>
      <c r="D1998" s="8" t="str">
        <f>"1998-08-02"</f>
        <v>1998-08-02</v>
      </c>
      <c r="E1998" s="8" t="str">
        <f>"本科"</f>
        <v>本科</v>
      </c>
      <c r="F1998" s="8" t="str">
        <f aca="true" t="shared" si="1065" ref="F1998:F2001">"农学学士"</f>
        <v>农学学士</v>
      </c>
      <c r="G1998" s="8" t="str">
        <f>"园艺"</f>
        <v>园艺</v>
      </c>
      <c r="H1998" s="7" t="s">
        <v>10</v>
      </c>
    </row>
    <row r="1999" spans="1:8" ht="15" customHeight="1">
      <c r="A1999" s="5">
        <v>1997</v>
      </c>
      <c r="B1999" s="8" t="str">
        <f>"闫三强"</f>
        <v>闫三强</v>
      </c>
      <c r="C1999" s="8" t="str">
        <f>"男"</f>
        <v>男</v>
      </c>
      <c r="D1999" s="8" t="str">
        <f>"1997-05-08"</f>
        <v>1997-05-08</v>
      </c>
      <c r="E1999" s="8" t="str">
        <f>"硕士"</f>
        <v>硕士</v>
      </c>
      <c r="F1999" s="8" t="str">
        <f>"林业硕士"</f>
        <v>林业硕士</v>
      </c>
      <c r="G1999" s="8" t="str">
        <f>"林业"</f>
        <v>林业</v>
      </c>
      <c r="H1999" s="7" t="s">
        <v>10</v>
      </c>
    </row>
    <row r="2000" spans="1:8" ht="15" customHeight="1">
      <c r="A2000" s="5">
        <v>1998</v>
      </c>
      <c r="B2000" s="8" t="str">
        <f>"孟琳"</f>
        <v>孟琳</v>
      </c>
      <c r="C2000" s="8" t="str">
        <f aca="true" t="shared" si="1066" ref="C2000:C2003">"女"</f>
        <v>女</v>
      </c>
      <c r="D2000" s="8" t="str">
        <f>"2000-05-18"</f>
        <v>2000-05-18</v>
      </c>
      <c r="E2000" s="8" t="str">
        <f>"大学本科"</f>
        <v>大学本科</v>
      </c>
      <c r="F2000" s="8" t="str">
        <f t="shared" si="1065"/>
        <v>农学学士</v>
      </c>
      <c r="G2000" s="8" t="str">
        <f>"园艺"</f>
        <v>园艺</v>
      </c>
      <c r="H2000" s="7" t="s">
        <v>10</v>
      </c>
    </row>
    <row r="2001" spans="1:8" ht="15" customHeight="1">
      <c r="A2001" s="5">
        <v>1999</v>
      </c>
      <c r="B2001" s="8" t="str">
        <f>"唐造胡"</f>
        <v>唐造胡</v>
      </c>
      <c r="C2001" s="8" t="str">
        <f t="shared" si="1066"/>
        <v>女</v>
      </c>
      <c r="D2001" s="8" t="str">
        <f>"1999-09-21"</f>
        <v>1999-09-21</v>
      </c>
      <c r="E2001" s="8" t="str">
        <f aca="true" t="shared" si="1067" ref="E2001:E2007">"本科"</f>
        <v>本科</v>
      </c>
      <c r="F2001" s="8" t="str">
        <f t="shared" si="1065"/>
        <v>农学学士</v>
      </c>
      <c r="G2001" s="8" t="str">
        <f>"海洋渔业科学与技术"</f>
        <v>海洋渔业科学与技术</v>
      </c>
      <c r="H2001" s="7" t="s">
        <v>10</v>
      </c>
    </row>
    <row r="2002" spans="1:8" ht="15" customHeight="1">
      <c r="A2002" s="5">
        <v>2000</v>
      </c>
      <c r="B2002" s="8" t="str">
        <f>"梁予"</f>
        <v>梁予</v>
      </c>
      <c r="C2002" s="8" t="str">
        <f t="shared" si="1066"/>
        <v>女</v>
      </c>
      <c r="D2002" s="8" t="str">
        <f>"1998-04-14"</f>
        <v>1998-04-14</v>
      </c>
      <c r="E2002" s="8" t="str">
        <f>"全日制本科"</f>
        <v>全日制本科</v>
      </c>
      <c r="F2002" s="8" t="str">
        <f>"管理学学位"</f>
        <v>管理学学位</v>
      </c>
      <c r="G2002" s="8" t="str">
        <f>"公共事业管理"</f>
        <v>公共事业管理</v>
      </c>
      <c r="H2002" s="7" t="s">
        <v>10</v>
      </c>
    </row>
    <row r="2003" spans="1:8" ht="15" customHeight="1">
      <c r="A2003" s="5">
        <v>2001</v>
      </c>
      <c r="B2003" s="8" t="str">
        <f>"黎星延"</f>
        <v>黎星延</v>
      </c>
      <c r="C2003" s="8" t="str">
        <f t="shared" si="1066"/>
        <v>女</v>
      </c>
      <c r="D2003" s="8" t="str">
        <f>"1998-03-10"</f>
        <v>1998-03-10</v>
      </c>
      <c r="E2003" s="8" t="str">
        <f>"硕士研究生"</f>
        <v>硕士研究生</v>
      </c>
      <c r="F2003" s="8" t="str">
        <f>"农学硕士"</f>
        <v>农学硕士</v>
      </c>
      <c r="G2003" s="8" t="str">
        <f>"食品加工与安全"</f>
        <v>食品加工与安全</v>
      </c>
      <c r="H2003" s="7" t="s">
        <v>10</v>
      </c>
    </row>
    <row r="2004" spans="1:8" ht="15" customHeight="1">
      <c r="A2004" s="5">
        <v>2002</v>
      </c>
      <c r="B2004" s="8" t="str">
        <f>"严朝阳"</f>
        <v>严朝阳</v>
      </c>
      <c r="C2004" s="8" t="str">
        <f aca="true" t="shared" si="1068" ref="C2004:C2009">"男"</f>
        <v>男</v>
      </c>
      <c r="D2004" s="8" t="str">
        <f>"2001-08-23"</f>
        <v>2001-08-23</v>
      </c>
      <c r="E2004" s="8" t="str">
        <f t="shared" si="1067"/>
        <v>本科</v>
      </c>
      <c r="F2004" s="8" t="str">
        <f>"管理学学士"</f>
        <v>管理学学士</v>
      </c>
      <c r="G2004" s="8" t="str">
        <f>"电子商务"</f>
        <v>电子商务</v>
      </c>
      <c r="H2004" s="7" t="s">
        <v>10</v>
      </c>
    </row>
    <row r="2005" spans="1:8" ht="15" customHeight="1">
      <c r="A2005" s="5">
        <v>2003</v>
      </c>
      <c r="B2005" s="8" t="str">
        <f>"林颖婕"</f>
        <v>林颖婕</v>
      </c>
      <c r="C2005" s="8" t="str">
        <f aca="true" t="shared" si="1069" ref="C2005:C2010">"女"</f>
        <v>女</v>
      </c>
      <c r="D2005" s="8" t="str">
        <f>"1998-10-30"</f>
        <v>1998-10-30</v>
      </c>
      <c r="E2005" s="8" t="str">
        <f t="shared" si="1067"/>
        <v>本科</v>
      </c>
      <c r="F2005" s="8" t="str">
        <f>"管理学学士"</f>
        <v>管理学学士</v>
      </c>
      <c r="G2005" s="8" t="str">
        <f>"会计学"</f>
        <v>会计学</v>
      </c>
      <c r="H2005" s="7" t="s">
        <v>10</v>
      </c>
    </row>
    <row r="2006" spans="1:8" ht="15" customHeight="1">
      <c r="A2006" s="5">
        <v>2004</v>
      </c>
      <c r="B2006" s="8" t="str">
        <f>"蔡莹"</f>
        <v>蔡莹</v>
      </c>
      <c r="C2006" s="8" t="str">
        <f t="shared" si="1069"/>
        <v>女</v>
      </c>
      <c r="D2006" s="8" t="str">
        <f>"2002-01-27"</f>
        <v>2002-01-27</v>
      </c>
      <c r="E2006" s="8" t="str">
        <f t="shared" si="1067"/>
        <v>本科</v>
      </c>
      <c r="F2006" s="8" t="str">
        <f aca="true" t="shared" si="1070" ref="F2006:F2009">"农学学士"</f>
        <v>农学学士</v>
      </c>
      <c r="G2006" s="8" t="str">
        <f>"森林保护"</f>
        <v>森林保护</v>
      </c>
      <c r="H2006" s="7" t="s">
        <v>10</v>
      </c>
    </row>
    <row r="2007" spans="1:8" ht="15" customHeight="1">
      <c r="A2007" s="5">
        <v>2005</v>
      </c>
      <c r="B2007" s="8" t="str">
        <f>"王国胜"</f>
        <v>王国胜</v>
      </c>
      <c r="C2007" s="8" t="str">
        <f t="shared" si="1068"/>
        <v>男</v>
      </c>
      <c r="D2007" s="8" t="str">
        <f>"1992-05-20"</f>
        <v>1992-05-20</v>
      </c>
      <c r="E2007" s="8" t="str">
        <f t="shared" si="1067"/>
        <v>本科</v>
      </c>
      <c r="F2007" s="8" t="str">
        <f t="shared" si="1070"/>
        <v>农学学士</v>
      </c>
      <c r="G2007" s="8" t="str">
        <f>"植物保护"</f>
        <v>植物保护</v>
      </c>
      <c r="H2007" s="7" t="s">
        <v>10</v>
      </c>
    </row>
    <row r="2008" spans="1:8" ht="15" customHeight="1">
      <c r="A2008" s="5">
        <v>2006</v>
      </c>
      <c r="B2008" s="8" t="str">
        <f>"王家威"</f>
        <v>王家威</v>
      </c>
      <c r="C2008" s="8" t="str">
        <f t="shared" si="1068"/>
        <v>男</v>
      </c>
      <c r="D2008" s="8" t="str">
        <f>"1989-12-18"</f>
        <v>1989-12-18</v>
      </c>
      <c r="E2008" s="8" t="str">
        <f>"三亚中瑞酒店管理职业学院"</f>
        <v>三亚中瑞酒店管理职业学院</v>
      </c>
      <c r="F2008" s="8" t="str">
        <f>"无"</f>
        <v>无</v>
      </c>
      <c r="G2008" s="8" t="str">
        <f>"人力资源管理"</f>
        <v>人力资源管理</v>
      </c>
      <c r="H2008" s="7" t="s">
        <v>10</v>
      </c>
    </row>
    <row r="2009" spans="1:8" ht="15" customHeight="1">
      <c r="A2009" s="5">
        <v>2007</v>
      </c>
      <c r="B2009" s="8" t="str">
        <f>"何和宇"</f>
        <v>何和宇</v>
      </c>
      <c r="C2009" s="8" t="str">
        <f t="shared" si="1068"/>
        <v>男</v>
      </c>
      <c r="D2009" s="8" t="str">
        <f>"1997-03-23"</f>
        <v>1997-03-23</v>
      </c>
      <c r="E2009" s="8" t="str">
        <f>"大学本科"</f>
        <v>大学本科</v>
      </c>
      <c r="F2009" s="8" t="str">
        <f t="shared" si="1070"/>
        <v>农学学士</v>
      </c>
      <c r="G2009" s="8" t="str">
        <f>"植物保护（农药与农产品安全方向）"</f>
        <v>植物保护（农药与农产品安全方向）</v>
      </c>
      <c r="H2009" s="7" t="s">
        <v>10</v>
      </c>
    </row>
    <row r="2010" spans="1:8" ht="15" customHeight="1">
      <c r="A2010" s="5">
        <v>2008</v>
      </c>
      <c r="B2010" s="8" t="str">
        <f>"符燕姑"</f>
        <v>符燕姑</v>
      </c>
      <c r="C2010" s="8" t="str">
        <f t="shared" si="1069"/>
        <v>女</v>
      </c>
      <c r="D2010" s="8" t="str">
        <f>"1989-08-03"</f>
        <v>1989-08-03</v>
      </c>
      <c r="E2010" s="8" t="str">
        <f aca="true" t="shared" si="1071" ref="E2010:E2014">"本科"</f>
        <v>本科</v>
      </c>
      <c r="F2010" s="8" t="str">
        <f>"学士学位"</f>
        <v>学士学位</v>
      </c>
      <c r="G2010" s="8" t="str">
        <f>"动物医学"</f>
        <v>动物医学</v>
      </c>
      <c r="H2010" s="7" t="s">
        <v>10</v>
      </c>
    </row>
    <row r="2011" spans="1:8" ht="15" customHeight="1">
      <c r="A2011" s="5">
        <v>2009</v>
      </c>
      <c r="B2011" s="8" t="str">
        <f>"王崇帆"</f>
        <v>王崇帆</v>
      </c>
      <c r="C2011" s="8" t="str">
        <f>"男"</f>
        <v>男</v>
      </c>
      <c r="D2011" s="8" t="str">
        <f>"1998-09-11"</f>
        <v>1998-09-11</v>
      </c>
      <c r="E2011" s="8" t="str">
        <f t="shared" si="1071"/>
        <v>本科</v>
      </c>
      <c r="F2011" s="8" t="str">
        <f aca="true" t="shared" si="1072" ref="F2011:F2014">"农学学士"</f>
        <v>农学学士</v>
      </c>
      <c r="G2011" s="8" t="str">
        <f>"水产养殖学"</f>
        <v>水产养殖学</v>
      </c>
      <c r="H2011" s="7" t="s">
        <v>10</v>
      </c>
    </row>
    <row r="2012" spans="1:8" ht="15" customHeight="1">
      <c r="A2012" s="5">
        <v>2010</v>
      </c>
      <c r="B2012" s="8" t="str">
        <f>"钟小星"</f>
        <v>钟小星</v>
      </c>
      <c r="C2012" s="8" t="str">
        <f aca="true" t="shared" si="1073" ref="C2012:C2015">"女"</f>
        <v>女</v>
      </c>
      <c r="D2012" s="8" t="str">
        <f>"1999-04-06"</f>
        <v>1999-04-06</v>
      </c>
      <c r="E2012" s="8" t="str">
        <f>"大学本科"</f>
        <v>大学本科</v>
      </c>
      <c r="F2012" s="8" t="str">
        <f t="shared" si="1072"/>
        <v>农学学士</v>
      </c>
      <c r="G2012" s="8" t="str">
        <f>"森林保护"</f>
        <v>森林保护</v>
      </c>
      <c r="H2012" s="7" t="s">
        <v>10</v>
      </c>
    </row>
    <row r="2013" spans="1:8" ht="15" customHeight="1">
      <c r="A2013" s="5">
        <v>2011</v>
      </c>
      <c r="B2013" s="8" t="str">
        <f>"王逗"</f>
        <v>王逗</v>
      </c>
      <c r="C2013" s="8" t="str">
        <f t="shared" si="1073"/>
        <v>女</v>
      </c>
      <c r="D2013" s="8" t="str">
        <f>"1997-02-04"</f>
        <v>1997-02-04</v>
      </c>
      <c r="E2013" s="8" t="str">
        <f>"研究生学历"</f>
        <v>研究生学历</v>
      </c>
      <c r="F2013" s="8" t="str">
        <f>"农学硕士"</f>
        <v>农学硕士</v>
      </c>
      <c r="G2013" s="8" t="str">
        <f>"食品加工与安全"</f>
        <v>食品加工与安全</v>
      </c>
      <c r="H2013" s="7" t="s">
        <v>10</v>
      </c>
    </row>
    <row r="2014" spans="1:8" ht="15" customHeight="1">
      <c r="A2014" s="5">
        <v>2012</v>
      </c>
      <c r="B2014" s="8" t="str">
        <f>"黄小荷"</f>
        <v>黄小荷</v>
      </c>
      <c r="C2014" s="8" t="str">
        <f t="shared" si="1073"/>
        <v>女</v>
      </c>
      <c r="D2014" s="8" t="str">
        <f>"1989-06-04"</f>
        <v>1989-06-04</v>
      </c>
      <c r="E2014" s="8" t="str">
        <f t="shared" si="1071"/>
        <v>本科</v>
      </c>
      <c r="F2014" s="8" t="str">
        <f t="shared" si="1072"/>
        <v>农学学士</v>
      </c>
      <c r="G2014" s="8" t="str">
        <f>"动物医学"</f>
        <v>动物医学</v>
      </c>
      <c r="H2014" s="7" t="s">
        <v>10</v>
      </c>
    </row>
    <row r="2015" spans="1:8" ht="15" customHeight="1">
      <c r="A2015" s="5">
        <v>2013</v>
      </c>
      <c r="B2015" s="8" t="str">
        <f>"陈逢月"</f>
        <v>陈逢月</v>
      </c>
      <c r="C2015" s="8" t="str">
        <f t="shared" si="1073"/>
        <v>女</v>
      </c>
      <c r="D2015" s="8" t="str">
        <f>"1999-04-07"</f>
        <v>1999-04-07</v>
      </c>
      <c r="E2015" s="8" t="str">
        <f>"大学本科"</f>
        <v>大学本科</v>
      </c>
      <c r="F2015" s="8" t="str">
        <f aca="true" t="shared" si="1074" ref="F2015:F2019">"管理学学士"</f>
        <v>管理学学士</v>
      </c>
      <c r="G2015" s="8" t="str">
        <f>"信息管理与信息系统"</f>
        <v>信息管理与信息系统</v>
      </c>
      <c r="H2015" s="7" t="s">
        <v>10</v>
      </c>
    </row>
    <row r="2016" spans="1:8" ht="15" customHeight="1">
      <c r="A2016" s="5">
        <v>2014</v>
      </c>
      <c r="B2016" s="8" t="str">
        <f>"冯善伟"</f>
        <v>冯善伟</v>
      </c>
      <c r="C2016" s="8" t="str">
        <f>"男"</f>
        <v>男</v>
      </c>
      <c r="D2016" s="8" t="str">
        <f>"1999-04-04"</f>
        <v>1999-04-04</v>
      </c>
      <c r="E2016" s="8" t="str">
        <f aca="true" t="shared" si="1075" ref="E2016:E2026">"本科"</f>
        <v>本科</v>
      </c>
      <c r="F2016" s="8" t="str">
        <f>"农学学士"</f>
        <v>农学学士</v>
      </c>
      <c r="G2016" s="8" t="str">
        <f>"海洋渔业科学与技术"</f>
        <v>海洋渔业科学与技术</v>
      </c>
      <c r="H2016" s="7" t="s">
        <v>10</v>
      </c>
    </row>
    <row r="2017" spans="1:8" ht="15" customHeight="1">
      <c r="A2017" s="5">
        <v>2015</v>
      </c>
      <c r="B2017" s="8" t="str">
        <f>"林海美"</f>
        <v>林海美</v>
      </c>
      <c r="C2017" s="8" t="str">
        <f aca="true" t="shared" si="1076" ref="C2017:C2019">"女"</f>
        <v>女</v>
      </c>
      <c r="D2017" s="8" t="str">
        <f>"1998-03-12"</f>
        <v>1998-03-12</v>
      </c>
      <c r="E2017" s="8" t="str">
        <f t="shared" si="1075"/>
        <v>本科</v>
      </c>
      <c r="F2017" s="8" t="str">
        <f>"学士学位"</f>
        <v>学士学位</v>
      </c>
      <c r="G2017" s="8" t="str">
        <f>"财务管理"</f>
        <v>财务管理</v>
      </c>
      <c r="H2017" s="7" t="s">
        <v>10</v>
      </c>
    </row>
    <row r="2018" spans="1:8" ht="15" customHeight="1">
      <c r="A2018" s="5">
        <v>2016</v>
      </c>
      <c r="B2018" s="8" t="str">
        <f>"丰思倩"</f>
        <v>丰思倩</v>
      </c>
      <c r="C2018" s="8" t="str">
        <f t="shared" si="1076"/>
        <v>女</v>
      </c>
      <c r="D2018" s="8" t="str">
        <f>"1999-10-23"</f>
        <v>1999-10-23</v>
      </c>
      <c r="E2018" s="8" t="str">
        <f t="shared" si="1075"/>
        <v>本科</v>
      </c>
      <c r="F2018" s="8" t="str">
        <f t="shared" si="1074"/>
        <v>管理学学士</v>
      </c>
      <c r="G2018" s="8" t="str">
        <f>"农林经济管理"</f>
        <v>农林经济管理</v>
      </c>
      <c r="H2018" s="7" t="s">
        <v>10</v>
      </c>
    </row>
    <row r="2019" spans="1:8" ht="15" customHeight="1">
      <c r="A2019" s="5">
        <v>2017</v>
      </c>
      <c r="B2019" s="8" t="str">
        <f>"林贻宣"</f>
        <v>林贻宣</v>
      </c>
      <c r="C2019" s="8" t="str">
        <f t="shared" si="1076"/>
        <v>女</v>
      </c>
      <c r="D2019" s="8" t="str">
        <f>"2000-02-29"</f>
        <v>2000-02-29</v>
      </c>
      <c r="E2019" s="8" t="str">
        <f t="shared" si="1075"/>
        <v>本科</v>
      </c>
      <c r="F2019" s="8" t="str">
        <f t="shared" si="1074"/>
        <v>管理学学士</v>
      </c>
      <c r="G2019" s="8" t="str">
        <f>"农林经济管理"</f>
        <v>农林经济管理</v>
      </c>
      <c r="H2019" s="7" t="s">
        <v>10</v>
      </c>
    </row>
    <row r="2020" spans="1:8" ht="15" customHeight="1">
      <c r="A2020" s="5">
        <v>2018</v>
      </c>
      <c r="B2020" s="8" t="str">
        <f>"陈日新"</f>
        <v>陈日新</v>
      </c>
      <c r="C2020" s="8" t="str">
        <f aca="true" t="shared" si="1077" ref="C2020:C2027">"男"</f>
        <v>男</v>
      </c>
      <c r="D2020" s="8" t="str">
        <f>"1995-05-11"</f>
        <v>1995-05-11</v>
      </c>
      <c r="E2020" s="8" t="str">
        <f t="shared" si="1075"/>
        <v>本科</v>
      </c>
      <c r="F2020" s="8" t="str">
        <f>"理学学士"</f>
        <v>理学学士</v>
      </c>
      <c r="G2020" s="8" t="str">
        <f>"生物技术"</f>
        <v>生物技术</v>
      </c>
      <c r="H2020" s="7" t="s">
        <v>10</v>
      </c>
    </row>
    <row r="2021" spans="1:8" ht="15" customHeight="1">
      <c r="A2021" s="5">
        <v>2019</v>
      </c>
      <c r="B2021" s="8" t="str">
        <f>"张才芬"</f>
        <v>张才芬</v>
      </c>
      <c r="C2021" s="8" t="str">
        <f>"女"</f>
        <v>女</v>
      </c>
      <c r="D2021" s="8" t="str">
        <f>"1992-05-17"</f>
        <v>1992-05-17</v>
      </c>
      <c r="E2021" s="8" t="str">
        <f t="shared" si="1075"/>
        <v>本科</v>
      </c>
      <c r="F2021" s="8" t="str">
        <f>"农学士"</f>
        <v>农学士</v>
      </c>
      <c r="G2021" s="8" t="str">
        <f>"园艺"</f>
        <v>园艺</v>
      </c>
      <c r="H2021" s="7" t="s">
        <v>10</v>
      </c>
    </row>
    <row r="2022" spans="1:8" ht="15" customHeight="1">
      <c r="A2022" s="5">
        <v>2020</v>
      </c>
      <c r="B2022" s="8" t="str">
        <f>"王瑞锦"</f>
        <v>王瑞锦</v>
      </c>
      <c r="C2022" s="8" t="str">
        <f>"女"</f>
        <v>女</v>
      </c>
      <c r="D2022" s="8" t="str">
        <f>"1997-05-10"</f>
        <v>1997-05-10</v>
      </c>
      <c r="E2022" s="8" t="str">
        <f t="shared" si="1075"/>
        <v>本科</v>
      </c>
      <c r="F2022" s="8" t="str">
        <f>"管理学学士"</f>
        <v>管理学学士</v>
      </c>
      <c r="G2022" s="8" t="str">
        <f>"信息管理与信息系统"</f>
        <v>信息管理与信息系统</v>
      </c>
      <c r="H2022" s="7" t="s">
        <v>10</v>
      </c>
    </row>
    <row r="2023" spans="1:8" ht="15" customHeight="1">
      <c r="A2023" s="5">
        <v>2021</v>
      </c>
      <c r="B2023" s="8" t="str">
        <f>"张小鹏"</f>
        <v>张小鹏</v>
      </c>
      <c r="C2023" s="8" t="str">
        <f t="shared" si="1077"/>
        <v>男</v>
      </c>
      <c r="D2023" s="8" t="str">
        <f>"1994-06-10"</f>
        <v>1994-06-10</v>
      </c>
      <c r="E2023" s="8" t="str">
        <f t="shared" si="1075"/>
        <v>本科</v>
      </c>
      <c r="F2023" s="8" t="str">
        <f>"无"</f>
        <v>无</v>
      </c>
      <c r="G2023" s="8" t="str">
        <f>"植物保护"</f>
        <v>植物保护</v>
      </c>
      <c r="H2023" s="7" t="s">
        <v>10</v>
      </c>
    </row>
    <row r="2024" spans="1:8" ht="15" customHeight="1">
      <c r="A2024" s="5">
        <v>2022</v>
      </c>
      <c r="B2024" s="8" t="str">
        <f>"韦财"</f>
        <v>韦财</v>
      </c>
      <c r="C2024" s="8" t="str">
        <f t="shared" si="1077"/>
        <v>男</v>
      </c>
      <c r="D2024" s="8" t="str">
        <f>"1995-02-17"</f>
        <v>1995-02-17</v>
      </c>
      <c r="E2024" s="8" t="str">
        <f t="shared" si="1075"/>
        <v>本科</v>
      </c>
      <c r="F2024" s="8" t="str">
        <f>"管理学学士"</f>
        <v>管理学学士</v>
      </c>
      <c r="G2024" s="8" t="str">
        <f>"工商管理"</f>
        <v>工商管理</v>
      </c>
      <c r="H2024" s="7" t="s">
        <v>10</v>
      </c>
    </row>
    <row r="2025" spans="1:8" ht="15" customHeight="1">
      <c r="A2025" s="5">
        <v>2023</v>
      </c>
      <c r="B2025" s="8" t="str">
        <f>"麦民鉴"</f>
        <v>麦民鉴</v>
      </c>
      <c r="C2025" s="8" t="str">
        <f t="shared" si="1077"/>
        <v>男</v>
      </c>
      <c r="D2025" s="8" t="str">
        <f>"1997-03-07"</f>
        <v>1997-03-07</v>
      </c>
      <c r="E2025" s="8" t="str">
        <f t="shared" si="1075"/>
        <v>本科</v>
      </c>
      <c r="F2025" s="8" t="str">
        <f>"学士"</f>
        <v>学士</v>
      </c>
      <c r="G2025" s="8" t="str">
        <f>"国际经济与贸易"</f>
        <v>国际经济与贸易</v>
      </c>
      <c r="H2025" s="7" t="s">
        <v>10</v>
      </c>
    </row>
    <row r="2026" spans="1:8" ht="15" customHeight="1">
      <c r="A2026" s="5">
        <v>2024</v>
      </c>
      <c r="B2026" s="8" t="str">
        <f>"吴茏"</f>
        <v>吴茏</v>
      </c>
      <c r="C2026" s="8" t="str">
        <f t="shared" si="1077"/>
        <v>男</v>
      </c>
      <c r="D2026" s="8" t="str">
        <f>"1991-10-26"</f>
        <v>1991-10-26</v>
      </c>
      <c r="E2026" s="8" t="str">
        <f t="shared" si="1075"/>
        <v>本科</v>
      </c>
      <c r="F2026" s="8" t="str">
        <f>"农学学士"</f>
        <v>农学学士</v>
      </c>
      <c r="G2026" s="8" t="str">
        <f>"园林"</f>
        <v>园林</v>
      </c>
      <c r="H2026" s="7" t="s">
        <v>10</v>
      </c>
    </row>
    <row r="2027" spans="1:8" ht="15" customHeight="1">
      <c r="A2027" s="5">
        <v>2025</v>
      </c>
      <c r="B2027" s="8" t="str">
        <f>"谢明德"</f>
        <v>谢明德</v>
      </c>
      <c r="C2027" s="8" t="str">
        <f t="shared" si="1077"/>
        <v>男</v>
      </c>
      <c r="D2027" s="8" t="str">
        <f>"1987-10-05"</f>
        <v>1987-10-05</v>
      </c>
      <c r="E2027" s="8" t="str">
        <f>"研究生"</f>
        <v>研究生</v>
      </c>
      <c r="F2027" s="8" t="str">
        <f>"农学学士"</f>
        <v>农学学士</v>
      </c>
      <c r="G2027" s="8" t="str">
        <f>"作物栽培学与耕作学"</f>
        <v>作物栽培学与耕作学</v>
      </c>
      <c r="H2027" s="7" t="s">
        <v>10</v>
      </c>
    </row>
    <row r="2028" spans="1:8" ht="15" customHeight="1">
      <c r="A2028" s="5">
        <v>2026</v>
      </c>
      <c r="B2028" s="8" t="str">
        <f>"陈瑞红"</f>
        <v>陈瑞红</v>
      </c>
      <c r="C2028" s="8" t="str">
        <f aca="true" t="shared" si="1078" ref="C2028:C2031">"女"</f>
        <v>女</v>
      </c>
      <c r="D2028" s="8" t="str">
        <f>"1996-08-26"</f>
        <v>1996-08-26</v>
      </c>
      <c r="E2028" s="8" t="str">
        <f>"大学本科"</f>
        <v>大学本科</v>
      </c>
      <c r="F2028" s="8" t="str">
        <f>"管理学学士"</f>
        <v>管理学学士</v>
      </c>
      <c r="G2028" s="8" t="str">
        <f>"旅游管理专业"</f>
        <v>旅游管理专业</v>
      </c>
      <c r="H2028" s="7" t="s">
        <v>10</v>
      </c>
    </row>
    <row r="2029" spans="1:8" ht="15" customHeight="1">
      <c r="A2029" s="5">
        <v>2027</v>
      </c>
      <c r="B2029" s="8" t="str">
        <f>"黄宗文"</f>
        <v>黄宗文</v>
      </c>
      <c r="C2029" s="8" t="str">
        <f aca="true" t="shared" si="1079" ref="C2029:C2033">"男"</f>
        <v>男</v>
      </c>
      <c r="D2029" s="8" t="str">
        <f>"1990-09-12"</f>
        <v>1990-09-12</v>
      </c>
      <c r="E2029" s="8" t="str">
        <f aca="true" t="shared" si="1080" ref="E2029:E2033">"本科"</f>
        <v>本科</v>
      </c>
      <c r="F2029" s="8" t="str">
        <f>"无"</f>
        <v>无</v>
      </c>
      <c r="G2029" s="8" t="str">
        <f>"设施农业科学与工程"</f>
        <v>设施农业科学与工程</v>
      </c>
      <c r="H2029" s="7" t="s">
        <v>10</v>
      </c>
    </row>
    <row r="2030" spans="1:8" ht="15" customHeight="1">
      <c r="A2030" s="5">
        <v>2028</v>
      </c>
      <c r="B2030" s="8" t="str">
        <f>"劳广术"</f>
        <v>劳广术</v>
      </c>
      <c r="C2030" s="8" t="str">
        <f t="shared" si="1078"/>
        <v>女</v>
      </c>
      <c r="D2030" s="8" t="str">
        <f>"1997-10-05"</f>
        <v>1997-10-05</v>
      </c>
      <c r="E2030" s="8" t="str">
        <f>"硕士研究生"</f>
        <v>硕士研究生</v>
      </c>
      <c r="F2030" s="8" t="str">
        <f>"农业硕士"</f>
        <v>农业硕士</v>
      </c>
      <c r="G2030" s="8" t="str">
        <f>"资源利用与植物保护"</f>
        <v>资源利用与植物保护</v>
      </c>
      <c r="H2030" s="7" t="s">
        <v>10</v>
      </c>
    </row>
    <row r="2031" spans="1:8" ht="15" customHeight="1">
      <c r="A2031" s="5">
        <v>2029</v>
      </c>
      <c r="B2031" s="8" t="str">
        <f>"吴晓"</f>
        <v>吴晓</v>
      </c>
      <c r="C2031" s="8" t="str">
        <f t="shared" si="1078"/>
        <v>女</v>
      </c>
      <c r="D2031" s="8" t="str">
        <f>"2000-11-23"</f>
        <v>2000-11-23</v>
      </c>
      <c r="E2031" s="8" t="str">
        <f t="shared" si="1080"/>
        <v>本科</v>
      </c>
      <c r="F2031" s="8" t="str">
        <f>"无"</f>
        <v>无</v>
      </c>
      <c r="G2031" s="8" t="str">
        <f>"人力资源管理"</f>
        <v>人力资源管理</v>
      </c>
      <c r="H2031" s="7" t="s">
        <v>10</v>
      </c>
    </row>
    <row r="2032" spans="1:8" ht="15" customHeight="1">
      <c r="A2032" s="5">
        <v>2030</v>
      </c>
      <c r="B2032" s="8" t="str">
        <f>"吕俊浩"</f>
        <v>吕俊浩</v>
      </c>
      <c r="C2032" s="8" t="str">
        <f t="shared" si="1079"/>
        <v>男</v>
      </c>
      <c r="D2032" s="8" t="str">
        <f>"2001-06-12"</f>
        <v>2001-06-12</v>
      </c>
      <c r="E2032" s="8" t="str">
        <f t="shared" si="1080"/>
        <v>本科</v>
      </c>
      <c r="F2032" s="8" t="str">
        <f>"金融学学士"</f>
        <v>金融学学士</v>
      </c>
      <c r="G2032" s="8" t="str">
        <f>"金融学专业"</f>
        <v>金融学专业</v>
      </c>
      <c r="H2032" s="7" t="s">
        <v>10</v>
      </c>
    </row>
    <row r="2033" spans="1:8" ht="15" customHeight="1">
      <c r="A2033" s="5">
        <v>2031</v>
      </c>
      <c r="B2033" s="8" t="str">
        <f>"陈明钦"</f>
        <v>陈明钦</v>
      </c>
      <c r="C2033" s="8" t="str">
        <f t="shared" si="1079"/>
        <v>男</v>
      </c>
      <c r="D2033" s="8" t="str">
        <f>"1995-07-08"</f>
        <v>1995-07-08</v>
      </c>
      <c r="E2033" s="8" t="str">
        <f t="shared" si="1080"/>
        <v>本科</v>
      </c>
      <c r="F2033" s="8" t="str">
        <f>"农学学士"</f>
        <v>农学学士</v>
      </c>
      <c r="G2033" s="8" t="str">
        <f>"园林"</f>
        <v>园林</v>
      </c>
      <c r="H2033" s="7" t="s">
        <v>10</v>
      </c>
    </row>
    <row r="2034" spans="1:8" ht="15" customHeight="1">
      <c r="A2034" s="5">
        <v>2032</v>
      </c>
      <c r="B2034" s="8" t="str">
        <f>"马蜻霞"</f>
        <v>马蜻霞</v>
      </c>
      <c r="C2034" s="8" t="str">
        <f aca="true" t="shared" si="1081" ref="C2034:C2037">"女"</f>
        <v>女</v>
      </c>
      <c r="D2034" s="8" t="str">
        <f>"1998-01-13"</f>
        <v>1998-01-13</v>
      </c>
      <c r="E2034" s="8" t="str">
        <f>"硕士研究生"</f>
        <v>硕士研究生</v>
      </c>
      <c r="F2034" s="8" t="str">
        <f>"农业硕士"</f>
        <v>农业硕士</v>
      </c>
      <c r="G2034" s="8" t="str">
        <f>"渔业发展"</f>
        <v>渔业发展</v>
      </c>
      <c r="H2034" s="7" t="s">
        <v>10</v>
      </c>
    </row>
    <row r="2035" spans="1:8" ht="15" customHeight="1">
      <c r="A2035" s="5">
        <v>2033</v>
      </c>
      <c r="B2035" s="8" t="str">
        <f>"吴丽"</f>
        <v>吴丽</v>
      </c>
      <c r="C2035" s="8" t="str">
        <f t="shared" si="1081"/>
        <v>女</v>
      </c>
      <c r="D2035" s="8" t="str">
        <f>"1990-07-06"</f>
        <v>1990-07-06</v>
      </c>
      <c r="E2035" s="8" t="str">
        <f aca="true" t="shared" si="1082" ref="E2035:E2038">"本科"</f>
        <v>本科</v>
      </c>
      <c r="F2035" s="8" t="str">
        <f>"学士"</f>
        <v>学士</v>
      </c>
      <c r="G2035" s="8" t="str">
        <f>"物理学"</f>
        <v>物理学</v>
      </c>
      <c r="H2035" s="7" t="s">
        <v>10</v>
      </c>
    </row>
    <row r="2036" spans="1:8" ht="15" customHeight="1">
      <c r="A2036" s="5">
        <v>2034</v>
      </c>
      <c r="B2036" s="8" t="str">
        <f>"王小云"</f>
        <v>王小云</v>
      </c>
      <c r="C2036" s="8" t="str">
        <f t="shared" si="1081"/>
        <v>女</v>
      </c>
      <c r="D2036" s="8" t="str">
        <f>"2001-01-14"</f>
        <v>2001-01-14</v>
      </c>
      <c r="E2036" s="8" t="str">
        <f t="shared" si="1082"/>
        <v>本科</v>
      </c>
      <c r="F2036" s="8" t="str">
        <f aca="true" t="shared" si="1083" ref="F2036:F2039">"管理学学士"</f>
        <v>管理学学士</v>
      </c>
      <c r="G2036" s="8" t="str">
        <f>"人力资源管理"</f>
        <v>人力资源管理</v>
      </c>
      <c r="H2036" s="7" t="s">
        <v>10</v>
      </c>
    </row>
    <row r="2037" spans="1:8" ht="15" customHeight="1">
      <c r="A2037" s="5">
        <v>2035</v>
      </c>
      <c r="B2037" s="8" t="str">
        <f>"黎寿方"</f>
        <v>黎寿方</v>
      </c>
      <c r="C2037" s="8" t="str">
        <f t="shared" si="1081"/>
        <v>女</v>
      </c>
      <c r="D2037" s="8" t="str">
        <f>"1997-10-16"</f>
        <v>1997-10-16</v>
      </c>
      <c r="E2037" s="8" t="str">
        <f aca="true" t="shared" si="1084" ref="E2037:E2042">"大学本科"</f>
        <v>大学本科</v>
      </c>
      <c r="F2037" s="8" t="str">
        <f t="shared" si="1083"/>
        <v>管理学学士</v>
      </c>
      <c r="G2037" s="8" t="str">
        <f aca="true" t="shared" si="1085" ref="G2037:G2042">"电子商务"</f>
        <v>电子商务</v>
      </c>
      <c r="H2037" s="7" t="s">
        <v>10</v>
      </c>
    </row>
    <row r="2038" spans="1:8" ht="15" customHeight="1">
      <c r="A2038" s="5">
        <v>2036</v>
      </c>
      <c r="B2038" s="8" t="str">
        <f>"符振瑚"</f>
        <v>符振瑚</v>
      </c>
      <c r="C2038" s="8" t="str">
        <f aca="true" t="shared" si="1086" ref="C2038:C2040">"男"</f>
        <v>男</v>
      </c>
      <c r="D2038" s="8" t="str">
        <f>"1996-08-28"</f>
        <v>1996-08-28</v>
      </c>
      <c r="E2038" s="8" t="str">
        <f t="shared" si="1082"/>
        <v>本科</v>
      </c>
      <c r="F2038" s="8" t="str">
        <f>"学士学位"</f>
        <v>学士学位</v>
      </c>
      <c r="G2038" s="8" t="str">
        <f>"土地资源管理专业"</f>
        <v>土地资源管理专业</v>
      </c>
      <c r="H2038" s="7" t="s">
        <v>10</v>
      </c>
    </row>
    <row r="2039" spans="1:8" ht="15" customHeight="1">
      <c r="A2039" s="5">
        <v>2037</v>
      </c>
      <c r="B2039" s="8" t="str">
        <f>"王宏焕"</f>
        <v>王宏焕</v>
      </c>
      <c r="C2039" s="8" t="str">
        <f t="shared" si="1086"/>
        <v>男</v>
      </c>
      <c r="D2039" s="8" t="str">
        <f>"1999-09-13"</f>
        <v>1999-09-13</v>
      </c>
      <c r="E2039" s="8" t="str">
        <f t="shared" si="1084"/>
        <v>大学本科</v>
      </c>
      <c r="F2039" s="8" t="str">
        <f t="shared" si="1083"/>
        <v>管理学学士</v>
      </c>
      <c r="G2039" s="8" t="str">
        <f t="shared" si="1085"/>
        <v>电子商务</v>
      </c>
      <c r="H2039" s="7" t="s">
        <v>10</v>
      </c>
    </row>
    <row r="2040" spans="1:8" ht="15" customHeight="1">
      <c r="A2040" s="5">
        <v>2038</v>
      </c>
      <c r="B2040" s="8" t="str">
        <f>"卓多振"</f>
        <v>卓多振</v>
      </c>
      <c r="C2040" s="8" t="str">
        <f t="shared" si="1086"/>
        <v>男</v>
      </c>
      <c r="D2040" s="8" t="str">
        <f>"1994-06-19"</f>
        <v>1994-06-19</v>
      </c>
      <c r="E2040" s="8" t="str">
        <f aca="true" t="shared" si="1087" ref="E2040:E2044">"本科"</f>
        <v>本科</v>
      </c>
      <c r="F2040" s="8" t="str">
        <f>"无"</f>
        <v>无</v>
      </c>
      <c r="G2040" s="8" t="str">
        <f>"工商管理"</f>
        <v>工商管理</v>
      </c>
      <c r="H2040" s="7" t="s">
        <v>10</v>
      </c>
    </row>
    <row r="2041" spans="1:8" ht="15" customHeight="1">
      <c r="A2041" s="5">
        <v>2039</v>
      </c>
      <c r="B2041" s="8" t="str">
        <f>"陈晓玲"</f>
        <v>陈晓玲</v>
      </c>
      <c r="C2041" s="8" t="str">
        <f aca="true" t="shared" si="1088" ref="C2041:C2043">"女"</f>
        <v>女</v>
      </c>
      <c r="D2041" s="8" t="str">
        <f>"1998-09-06"</f>
        <v>1998-09-06</v>
      </c>
      <c r="E2041" s="8" t="str">
        <f t="shared" si="1084"/>
        <v>大学本科</v>
      </c>
      <c r="F2041" s="8" t="str">
        <f>"管理学学士"</f>
        <v>管理学学士</v>
      </c>
      <c r="G2041" s="8" t="str">
        <f>"旅游管理"</f>
        <v>旅游管理</v>
      </c>
      <c r="H2041" s="7" t="s">
        <v>10</v>
      </c>
    </row>
    <row r="2042" spans="1:8" ht="15" customHeight="1">
      <c r="A2042" s="5">
        <v>2040</v>
      </c>
      <c r="B2042" s="8" t="str">
        <f>"陈思焕"</f>
        <v>陈思焕</v>
      </c>
      <c r="C2042" s="8" t="str">
        <f t="shared" si="1088"/>
        <v>女</v>
      </c>
      <c r="D2042" s="8" t="str">
        <f>"2000-09-19"</f>
        <v>2000-09-19</v>
      </c>
      <c r="E2042" s="8" t="str">
        <f t="shared" si="1084"/>
        <v>大学本科</v>
      </c>
      <c r="F2042" s="8" t="str">
        <f>"学士学位"</f>
        <v>学士学位</v>
      </c>
      <c r="G2042" s="8" t="str">
        <f t="shared" si="1085"/>
        <v>电子商务</v>
      </c>
      <c r="H2042" s="7" t="s">
        <v>10</v>
      </c>
    </row>
    <row r="2043" spans="1:8" ht="15" customHeight="1">
      <c r="A2043" s="5">
        <v>2041</v>
      </c>
      <c r="B2043" s="8" t="str">
        <f>"周千惠"</f>
        <v>周千惠</v>
      </c>
      <c r="C2043" s="8" t="str">
        <f t="shared" si="1088"/>
        <v>女</v>
      </c>
      <c r="D2043" s="8" t="str">
        <f>"1997-06-21"</f>
        <v>1997-06-21</v>
      </c>
      <c r="E2043" s="8" t="str">
        <f t="shared" si="1087"/>
        <v>本科</v>
      </c>
      <c r="F2043" s="8" t="str">
        <f>"学士"</f>
        <v>学士</v>
      </c>
      <c r="G2043" s="8" t="str">
        <f>"会计学"</f>
        <v>会计学</v>
      </c>
      <c r="H2043" s="7" t="s">
        <v>10</v>
      </c>
    </row>
    <row r="2044" spans="1:8" ht="15" customHeight="1">
      <c r="A2044" s="5">
        <v>2042</v>
      </c>
      <c r="B2044" s="8" t="str">
        <f>"陈正亮"</f>
        <v>陈正亮</v>
      </c>
      <c r="C2044" s="8" t="str">
        <f>"男"</f>
        <v>男</v>
      </c>
      <c r="D2044" s="8" t="str">
        <f>"1998-05-14"</f>
        <v>1998-05-14</v>
      </c>
      <c r="E2044" s="8" t="str">
        <f t="shared" si="1087"/>
        <v>本科</v>
      </c>
      <c r="F2044" s="8" t="str">
        <f>"工学学士"</f>
        <v>工学学士</v>
      </c>
      <c r="G2044" s="8" t="str">
        <f>"信息管理与信息系统"</f>
        <v>信息管理与信息系统</v>
      </c>
      <c r="H2044" s="7" t="s">
        <v>10</v>
      </c>
    </row>
    <row r="2045" spans="1:8" ht="15" customHeight="1">
      <c r="A2045" s="5">
        <v>2043</v>
      </c>
      <c r="B2045" s="8" t="str">
        <f>"沈筱敏"</f>
        <v>沈筱敏</v>
      </c>
      <c r="C2045" s="8" t="str">
        <f aca="true" t="shared" si="1089" ref="C2045:C2049">"女"</f>
        <v>女</v>
      </c>
      <c r="D2045" s="8" t="str">
        <f>"1993-05-27"</f>
        <v>1993-05-27</v>
      </c>
      <c r="E2045" s="8" t="str">
        <f>"大学本科"</f>
        <v>大学本科</v>
      </c>
      <c r="F2045" s="8" t="str">
        <f>"管理学学士"</f>
        <v>管理学学士</v>
      </c>
      <c r="G2045" s="8" t="str">
        <f>"旅游管理与服务教育"</f>
        <v>旅游管理与服务教育</v>
      </c>
      <c r="H2045" s="7" t="s">
        <v>10</v>
      </c>
    </row>
    <row r="2046" spans="1:8" ht="15" customHeight="1">
      <c r="A2046" s="5">
        <v>2044</v>
      </c>
      <c r="B2046" s="8" t="str">
        <f>"黄承耀"</f>
        <v>黄承耀</v>
      </c>
      <c r="C2046" s="8" t="str">
        <f>"男"</f>
        <v>男</v>
      </c>
      <c r="D2046" s="8" t="str">
        <f>"1997-04-16"</f>
        <v>1997-04-16</v>
      </c>
      <c r="E2046" s="8" t="str">
        <f aca="true" t="shared" si="1090" ref="E2046:E2053">"本科"</f>
        <v>本科</v>
      </c>
      <c r="F2046" s="8" t="str">
        <f>"管理学学位"</f>
        <v>管理学学位</v>
      </c>
      <c r="G2046" s="8" t="str">
        <f>"市场营销"</f>
        <v>市场营销</v>
      </c>
      <c r="H2046" s="7" t="s">
        <v>10</v>
      </c>
    </row>
    <row r="2047" spans="1:8" ht="15" customHeight="1">
      <c r="A2047" s="5">
        <v>2045</v>
      </c>
      <c r="B2047" s="8" t="str">
        <f>"黄竹娓"</f>
        <v>黄竹娓</v>
      </c>
      <c r="C2047" s="8" t="str">
        <f t="shared" si="1089"/>
        <v>女</v>
      </c>
      <c r="D2047" s="8" t="str">
        <f>"1993-07-17"</f>
        <v>1993-07-17</v>
      </c>
      <c r="E2047" s="8" t="str">
        <f t="shared" si="1090"/>
        <v>本科</v>
      </c>
      <c r="F2047" s="8" t="str">
        <f>"经济学学士"</f>
        <v>经济学学士</v>
      </c>
      <c r="G2047" s="8" t="str">
        <f>"经济学"</f>
        <v>经济学</v>
      </c>
      <c r="H2047" s="7" t="s">
        <v>10</v>
      </c>
    </row>
    <row r="2048" spans="1:8" ht="15" customHeight="1">
      <c r="A2048" s="5">
        <v>2046</v>
      </c>
      <c r="B2048" s="8" t="str">
        <f>"符丽波"</f>
        <v>符丽波</v>
      </c>
      <c r="C2048" s="8" t="str">
        <f t="shared" si="1089"/>
        <v>女</v>
      </c>
      <c r="D2048" s="8" t="str">
        <f>"1999-06-27"</f>
        <v>1999-06-27</v>
      </c>
      <c r="E2048" s="8" t="str">
        <f t="shared" si="1090"/>
        <v>本科</v>
      </c>
      <c r="F2048" s="8" t="str">
        <f>"学士"</f>
        <v>学士</v>
      </c>
      <c r="G2048" s="8" t="str">
        <f>"旅游管理"</f>
        <v>旅游管理</v>
      </c>
      <c r="H2048" s="7" t="s">
        <v>10</v>
      </c>
    </row>
    <row r="2049" spans="1:8" ht="15" customHeight="1">
      <c r="A2049" s="5">
        <v>2047</v>
      </c>
      <c r="B2049" s="8" t="str">
        <f>"杨箫笛"</f>
        <v>杨箫笛</v>
      </c>
      <c r="C2049" s="8" t="str">
        <f t="shared" si="1089"/>
        <v>女</v>
      </c>
      <c r="D2049" s="8" t="str">
        <f>"1999-08-16"</f>
        <v>1999-08-16</v>
      </c>
      <c r="E2049" s="8" t="str">
        <f t="shared" si="1090"/>
        <v>本科</v>
      </c>
      <c r="F2049" s="8" t="str">
        <f>"管理学学士"</f>
        <v>管理学学士</v>
      </c>
      <c r="G2049" s="8" t="str">
        <f>"信息管理与信息系统专业"</f>
        <v>信息管理与信息系统专业</v>
      </c>
      <c r="H2049" s="7" t="s">
        <v>10</v>
      </c>
    </row>
    <row r="2050" spans="1:8" ht="15" customHeight="1">
      <c r="A2050" s="5">
        <v>2048</v>
      </c>
      <c r="B2050" s="8" t="str">
        <f>"张恒铭"</f>
        <v>张恒铭</v>
      </c>
      <c r="C2050" s="8" t="str">
        <f>"男"</f>
        <v>男</v>
      </c>
      <c r="D2050" s="8" t="str">
        <f>"1991-04-03"</f>
        <v>1991-04-03</v>
      </c>
      <c r="E2050" s="8" t="str">
        <f t="shared" si="1090"/>
        <v>本科</v>
      </c>
      <c r="F2050" s="8" t="str">
        <f>"无"</f>
        <v>无</v>
      </c>
      <c r="G2050" s="8" t="str">
        <f>"人力资源管理"</f>
        <v>人力资源管理</v>
      </c>
      <c r="H2050" s="7" t="s">
        <v>10</v>
      </c>
    </row>
    <row r="2051" spans="1:8" ht="15" customHeight="1">
      <c r="A2051" s="5">
        <v>2049</v>
      </c>
      <c r="B2051" s="8" t="str">
        <f>"何玮瑾"</f>
        <v>何玮瑾</v>
      </c>
      <c r="C2051" s="8" t="str">
        <f aca="true" t="shared" si="1091" ref="C2051:C2059">"女"</f>
        <v>女</v>
      </c>
      <c r="D2051" s="8" t="str">
        <f>"2000-09-10"</f>
        <v>2000-09-10</v>
      </c>
      <c r="E2051" s="8" t="str">
        <f t="shared" si="1090"/>
        <v>本科</v>
      </c>
      <c r="F2051" s="8" t="str">
        <f>"学士"</f>
        <v>学士</v>
      </c>
      <c r="G2051" s="8" t="str">
        <f>"经济统计学"</f>
        <v>经济统计学</v>
      </c>
      <c r="H2051" s="7" t="s">
        <v>10</v>
      </c>
    </row>
    <row r="2052" spans="1:8" ht="15" customHeight="1">
      <c r="A2052" s="5">
        <v>2050</v>
      </c>
      <c r="B2052" s="8" t="str">
        <f>"苏定胶"</f>
        <v>苏定胶</v>
      </c>
      <c r="C2052" s="8" t="str">
        <f>"男"</f>
        <v>男</v>
      </c>
      <c r="D2052" s="8" t="str">
        <f>"1993-06-02"</f>
        <v>1993-06-02</v>
      </c>
      <c r="E2052" s="8" t="str">
        <f t="shared" si="1090"/>
        <v>本科</v>
      </c>
      <c r="F2052" s="8" t="str">
        <f aca="true" t="shared" si="1092" ref="F2052:F2056">"管理学学士"</f>
        <v>管理学学士</v>
      </c>
      <c r="G2052" s="8" t="str">
        <f>"财务管理"</f>
        <v>财务管理</v>
      </c>
      <c r="H2052" s="7" t="s">
        <v>10</v>
      </c>
    </row>
    <row r="2053" spans="1:8" ht="15" customHeight="1">
      <c r="A2053" s="5">
        <v>2051</v>
      </c>
      <c r="B2053" s="8" t="str">
        <f>"刘玲"</f>
        <v>刘玲</v>
      </c>
      <c r="C2053" s="8" t="str">
        <f t="shared" si="1091"/>
        <v>女</v>
      </c>
      <c r="D2053" s="8" t="str">
        <f>"1999-09-12"</f>
        <v>1999-09-12</v>
      </c>
      <c r="E2053" s="8" t="str">
        <f t="shared" si="1090"/>
        <v>本科</v>
      </c>
      <c r="F2053" s="8" t="str">
        <f>"学士学位"</f>
        <v>学士学位</v>
      </c>
      <c r="G2053" s="8" t="str">
        <f>"酒店管理"</f>
        <v>酒店管理</v>
      </c>
      <c r="H2053" s="7" t="s">
        <v>10</v>
      </c>
    </row>
    <row r="2054" spans="1:8" ht="15" customHeight="1">
      <c r="A2054" s="5">
        <v>2052</v>
      </c>
      <c r="B2054" s="8" t="str">
        <f>"刘怡坤"</f>
        <v>刘怡坤</v>
      </c>
      <c r="C2054" s="8" t="str">
        <f t="shared" si="1091"/>
        <v>女</v>
      </c>
      <c r="D2054" s="8" t="str">
        <f>"1991-11-19"</f>
        <v>1991-11-19</v>
      </c>
      <c r="E2054" s="8" t="str">
        <f>"硕士研究生"</f>
        <v>硕士研究生</v>
      </c>
      <c r="F2054" s="8" t="str">
        <f>"教育学硕士"</f>
        <v>教育学硕士</v>
      </c>
      <c r="G2054" s="8" t="str">
        <f>"学前教育"</f>
        <v>学前教育</v>
      </c>
      <c r="H2054" s="7" t="s">
        <v>10</v>
      </c>
    </row>
    <row r="2055" spans="1:8" ht="15" customHeight="1">
      <c r="A2055" s="5">
        <v>2053</v>
      </c>
      <c r="B2055" s="8" t="str">
        <f>"陈忠丽"</f>
        <v>陈忠丽</v>
      </c>
      <c r="C2055" s="8" t="str">
        <f t="shared" si="1091"/>
        <v>女</v>
      </c>
      <c r="D2055" s="8" t="str">
        <f>"1994-08-03"</f>
        <v>1994-08-03</v>
      </c>
      <c r="E2055" s="8" t="str">
        <f aca="true" t="shared" si="1093" ref="E2055:E2058">"本科"</f>
        <v>本科</v>
      </c>
      <c r="F2055" s="8" t="str">
        <f t="shared" si="1092"/>
        <v>管理学学士</v>
      </c>
      <c r="G2055" s="8" t="str">
        <f>"会计学"</f>
        <v>会计学</v>
      </c>
      <c r="H2055" s="7" t="s">
        <v>10</v>
      </c>
    </row>
    <row r="2056" spans="1:8" ht="15" customHeight="1">
      <c r="A2056" s="5">
        <v>2054</v>
      </c>
      <c r="B2056" s="8" t="str">
        <f>"于文青"</f>
        <v>于文青</v>
      </c>
      <c r="C2056" s="8" t="str">
        <f t="shared" si="1091"/>
        <v>女</v>
      </c>
      <c r="D2056" s="8" t="str">
        <f>"2002-08-26"</f>
        <v>2002-08-26</v>
      </c>
      <c r="E2056" s="8" t="str">
        <f>"大学本科"</f>
        <v>大学本科</v>
      </c>
      <c r="F2056" s="8" t="str">
        <f t="shared" si="1092"/>
        <v>管理学学士</v>
      </c>
      <c r="G2056" s="8" t="str">
        <f>"体育经济与管理（冰雪产业和冬奥项目管理）"</f>
        <v>体育经济与管理（冰雪产业和冬奥项目管理）</v>
      </c>
      <c r="H2056" s="7" t="s">
        <v>10</v>
      </c>
    </row>
    <row r="2057" spans="1:8" ht="15" customHeight="1">
      <c r="A2057" s="5">
        <v>2055</v>
      </c>
      <c r="B2057" s="8" t="str">
        <f>"王仪"</f>
        <v>王仪</v>
      </c>
      <c r="C2057" s="8" t="str">
        <f t="shared" si="1091"/>
        <v>女</v>
      </c>
      <c r="D2057" s="8" t="str">
        <f>"2000-12-17"</f>
        <v>2000-12-17</v>
      </c>
      <c r="E2057" s="8" t="str">
        <f t="shared" si="1093"/>
        <v>本科</v>
      </c>
      <c r="F2057" s="8" t="str">
        <f>"工学学士"</f>
        <v>工学学士</v>
      </c>
      <c r="G2057" s="8" t="str">
        <f>"物流管理"</f>
        <v>物流管理</v>
      </c>
      <c r="H2057" s="7" t="s">
        <v>10</v>
      </c>
    </row>
    <row r="2058" spans="1:8" ht="15" customHeight="1">
      <c r="A2058" s="5">
        <v>2056</v>
      </c>
      <c r="B2058" s="8" t="str">
        <f>"陈玉宝"</f>
        <v>陈玉宝</v>
      </c>
      <c r="C2058" s="8" t="str">
        <f t="shared" si="1091"/>
        <v>女</v>
      </c>
      <c r="D2058" s="8" t="str">
        <f>"1999-12-02"</f>
        <v>1999-12-02</v>
      </c>
      <c r="E2058" s="8" t="str">
        <f t="shared" si="1093"/>
        <v>本科</v>
      </c>
      <c r="F2058" s="8" t="str">
        <f>"管理学学士"</f>
        <v>管理学学士</v>
      </c>
      <c r="G2058" s="8" t="str">
        <f>"会计学"</f>
        <v>会计学</v>
      </c>
      <c r="H2058" s="7" t="s">
        <v>10</v>
      </c>
    </row>
    <row r="2059" spans="1:8" ht="15" customHeight="1">
      <c r="A2059" s="5">
        <v>2057</v>
      </c>
      <c r="B2059" s="8" t="str">
        <f>"王海韵"</f>
        <v>王海韵</v>
      </c>
      <c r="C2059" s="8" t="str">
        <f t="shared" si="1091"/>
        <v>女</v>
      </c>
      <c r="D2059" s="8" t="str">
        <f>"1998-05-14"</f>
        <v>1998-05-14</v>
      </c>
      <c r="E2059" s="8" t="str">
        <f>"研究生"</f>
        <v>研究生</v>
      </c>
      <c r="F2059" s="8" t="str">
        <f>"农业硕士"</f>
        <v>农业硕士</v>
      </c>
      <c r="G2059" s="8" t="str">
        <f>"食品加工与安全"</f>
        <v>食品加工与安全</v>
      </c>
      <c r="H2059" s="7" t="s">
        <v>10</v>
      </c>
    </row>
    <row r="2060" spans="1:8" ht="15" customHeight="1">
      <c r="A2060" s="5">
        <v>2058</v>
      </c>
      <c r="B2060" s="8" t="str">
        <f>"王朝官"</f>
        <v>王朝官</v>
      </c>
      <c r="C2060" s="8" t="str">
        <f aca="true" t="shared" si="1094" ref="C2060:C2063">"男"</f>
        <v>男</v>
      </c>
      <c r="D2060" s="8" t="str">
        <f>"2000-01-16"</f>
        <v>2000-01-16</v>
      </c>
      <c r="E2060" s="8" t="str">
        <f aca="true" t="shared" si="1095" ref="E2060:E2064">"本科"</f>
        <v>本科</v>
      </c>
      <c r="F2060" s="8" t="str">
        <f>"学士"</f>
        <v>学士</v>
      </c>
      <c r="G2060" s="8" t="str">
        <f>"电子商务"</f>
        <v>电子商务</v>
      </c>
      <c r="H2060" s="7" t="s">
        <v>10</v>
      </c>
    </row>
    <row r="2061" spans="1:8" ht="15" customHeight="1">
      <c r="A2061" s="5">
        <v>2059</v>
      </c>
      <c r="B2061" s="8" t="str">
        <f>"曾扬先"</f>
        <v>曾扬先</v>
      </c>
      <c r="C2061" s="8" t="str">
        <f t="shared" si="1094"/>
        <v>男</v>
      </c>
      <c r="D2061" s="8" t="str">
        <f>"1998-07-13"</f>
        <v>1998-07-13</v>
      </c>
      <c r="E2061" s="8" t="str">
        <f>"大学"</f>
        <v>大学</v>
      </c>
      <c r="F2061" s="8" t="str">
        <f>"本科"</f>
        <v>本科</v>
      </c>
      <c r="G2061" s="8" t="str">
        <f>"国际商务"</f>
        <v>国际商务</v>
      </c>
      <c r="H2061" s="7" t="s">
        <v>10</v>
      </c>
    </row>
    <row r="2062" spans="1:8" ht="15" customHeight="1">
      <c r="A2062" s="5">
        <v>2060</v>
      </c>
      <c r="B2062" s="8" t="str">
        <f>"王之运"</f>
        <v>王之运</v>
      </c>
      <c r="C2062" s="8" t="str">
        <f t="shared" si="1094"/>
        <v>男</v>
      </c>
      <c r="D2062" s="8" t="str">
        <f>"2001-05-21"</f>
        <v>2001-05-21</v>
      </c>
      <c r="E2062" s="8" t="str">
        <f t="shared" si="1095"/>
        <v>本科</v>
      </c>
      <c r="F2062" s="8" t="str">
        <f>"经济学学士"</f>
        <v>经济学学士</v>
      </c>
      <c r="G2062" s="8" t="str">
        <f>"经济学"</f>
        <v>经济学</v>
      </c>
      <c r="H2062" s="7" t="s">
        <v>10</v>
      </c>
    </row>
    <row r="2063" spans="1:8" ht="15" customHeight="1">
      <c r="A2063" s="5">
        <v>2061</v>
      </c>
      <c r="B2063" s="8" t="str">
        <f>"李昌旺"</f>
        <v>李昌旺</v>
      </c>
      <c r="C2063" s="8" t="str">
        <f t="shared" si="1094"/>
        <v>男</v>
      </c>
      <c r="D2063" s="8" t="str">
        <f>"1996-07-28"</f>
        <v>1996-07-28</v>
      </c>
      <c r="E2063" s="8" t="str">
        <f t="shared" si="1095"/>
        <v>本科</v>
      </c>
      <c r="F2063" s="8" t="str">
        <f>"管理学士"</f>
        <v>管理学士</v>
      </c>
      <c r="G2063" s="8" t="str">
        <f>"旅游管理"</f>
        <v>旅游管理</v>
      </c>
      <c r="H2063" s="7" t="s">
        <v>10</v>
      </c>
    </row>
    <row r="2064" spans="1:8" ht="15" customHeight="1">
      <c r="A2064" s="5">
        <v>2062</v>
      </c>
      <c r="B2064" s="8" t="str">
        <f>"陈红燕"</f>
        <v>陈红燕</v>
      </c>
      <c r="C2064" s="8" t="str">
        <f aca="true" t="shared" si="1096" ref="C2064:C2070">"女"</f>
        <v>女</v>
      </c>
      <c r="D2064" s="8" t="str">
        <f>"2001-11-07"</f>
        <v>2001-11-07</v>
      </c>
      <c r="E2064" s="8" t="str">
        <f t="shared" si="1095"/>
        <v>本科</v>
      </c>
      <c r="F2064" s="8" t="str">
        <f>"经济学学士"</f>
        <v>经济学学士</v>
      </c>
      <c r="G2064" s="8" t="str">
        <f>"国际经济与贸易"</f>
        <v>国际经济与贸易</v>
      </c>
      <c r="H2064" s="7" t="s">
        <v>10</v>
      </c>
    </row>
    <row r="2065" spans="1:8" ht="15" customHeight="1">
      <c r="A2065" s="5">
        <v>2063</v>
      </c>
      <c r="B2065" s="8" t="str">
        <f>"王箫箫"</f>
        <v>王箫箫</v>
      </c>
      <c r="C2065" s="8" t="str">
        <f>"男"</f>
        <v>男</v>
      </c>
      <c r="D2065" s="8" t="str">
        <f>"1999-12-18"</f>
        <v>1999-12-18</v>
      </c>
      <c r="E2065" s="8" t="str">
        <f>"自考本科"</f>
        <v>自考本科</v>
      </c>
      <c r="F2065" s="8" t="str">
        <f>"无"</f>
        <v>无</v>
      </c>
      <c r="G2065" s="8" t="str">
        <f>"财务管理"</f>
        <v>财务管理</v>
      </c>
      <c r="H2065" s="7" t="s">
        <v>10</v>
      </c>
    </row>
    <row r="2066" spans="1:8" ht="15" customHeight="1">
      <c r="A2066" s="5">
        <v>2064</v>
      </c>
      <c r="B2066" s="8" t="str">
        <f>"王清霖"</f>
        <v>王清霖</v>
      </c>
      <c r="C2066" s="8" t="str">
        <f>"男"</f>
        <v>男</v>
      </c>
      <c r="D2066" s="8" t="str">
        <f>"1998-02-28"</f>
        <v>1998-02-28</v>
      </c>
      <c r="E2066" s="8" t="str">
        <f aca="true" t="shared" si="1097" ref="E2066:E2068">"本科"</f>
        <v>本科</v>
      </c>
      <c r="F2066" s="8" t="str">
        <f>"工学学士"</f>
        <v>工学学士</v>
      </c>
      <c r="G2066" s="8" t="str">
        <f>"工业工程"</f>
        <v>工业工程</v>
      </c>
      <c r="H2066" s="7" t="s">
        <v>10</v>
      </c>
    </row>
    <row r="2067" spans="1:8" ht="15" customHeight="1">
      <c r="A2067" s="5">
        <v>2065</v>
      </c>
      <c r="B2067" s="8" t="str">
        <f>"陈百龄"</f>
        <v>陈百龄</v>
      </c>
      <c r="C2067" s="8" t="str">
        <f t="shared" si="1096"/>
        <v>女</v>
      </c>
      <c r="D2067" s="8" t="str">
        <f>"1999-06-15"</f>
        <v>1999-06-15</v>
      </c>
      <c r="E2067" s="8" t="str">
        <f t="shared" si="1097"/>
        <v>本科</v>
      </c>
      <c r="F2067" s="8" t="str">
        <f>"管理学士"</f>
        <v>管理学士</v>
      </c>
      <c r="G2067" s="8" t="str">
        <f>"工商管理"</f>
        <v>工商管理</v>
      </c>
      <c r="H2067" s="7" t="s">
        <v>10</v>
      </c>
    </row>
    <row r="2068" spans="1:8" ht="15" customHeight="1">
      <c r="A2068" s="5">
        <v>2066</v>
      </c>
      <c r="B2068" s="8" t="str">
        <f>"宋晓凤"</f>
        <v>宋晓凤</v>
      </c>
      <c r="C2068" s="8" t="str">
        <f t="shared" si="1096"/>
        <v>女</v>
      </c>
      <c r="D2068" s="8" t="str">
        <f>"2000-11-03"</f>
        <v>2000-11-03</v>
      </c>
      <c r="E2068" s="8" t="str">
        <f t="shared" si="1097"/>
        <v>本科</v>
      </c>
      <c r="F2068" s="8" t="str">
        <f aca="true" t="shared" si="1098" ref="F2068:F2072">"管理学学士"</f>
        <v>管理学学士</v>
      </c>
      <c r="G2068" s="8" t="str">
        <f>"财务管理"</f>
        <v>财务管理</v>
      </c>
      <c r="H2068" s="7" t="s">
        <v>10</v>
      </c>
    </row>
    <row r="2069" spans="1:8" ht="15" customHeight="1">
      <c r="A2069" s="5">
        <v>2067</v>
      </c>
      <c r="B2069" s="8" t="str">
        <f>"蔡亦秋"</f>
        <v>蔡亦秋</v>
      </c>
      <c r="C2069" s="8" t="str">
        <f t="shared" si="1096"/>
        <v>女</v>
      </c>
      <c r="D2069" s="8" t="str">
        <f>"1995-12-11"</f>
        <v>1995-12-11</v>
      </c>
      <c r="E2069" s="8" t="str">
        <f aca="true" t="shared" si="1099" ref="E2069:E2073">"大学本科"</f>
        <v>大学本科</v>
      </c>
      <c r="F2069" s="8" t="str">
        <f t="shared" si="1098"/>
        <v>管理学学士</v>
      </c>
      <c r="G2069" s="8" t="str">
        <f>"行政管理（行政文秘方向）"</f>
        <v>行政管理（行政文秘方向）</v>
      </c>
      <c r="H2069" s="7" t="s">
        <v>10</v>
      </c>
    </row>
    <row r="2070" spans="1:8" ht="15" customHeight="1">
      <c r="A2070" s="5">
        <v>2068</v>
      </c>
      <c r="B2070" s="8" t="str">
        <f>"陈美玲"</f>
        <v>陈美玲</v>
      </c>
      <c r="C2070" s="8" t="str">
        <f t="shared" si="1096"/>
        <v>女</v>
      </c>
      <c r="D2070" s="8" t="str">
        <f>"1996-08-04"</f>
        <v>1996-08-04</v>
      </c>
      <c r="E2070" s="8" t="str">
        <f t="shared" si="1099"/>
        <v>大学本科</v>
      </c>
      <c r="F2070" s="8" t="str">
        <f>"管理学学士学位"</f>
        <v>管理学学士学位</v>
      </c>
      <c r="G2070" s="8" t="str">
        <f>"会计学"</f>
        <v>会计学</v>
      </c>
      <c r="H2070" s="7" t="s">
        <v>10</v>
      </c>
    </row>
    <row r="2071" spans="1:8" ht="15" customHeight="1">
      <c r="A2071" s="5">
        <v>2069</v>
      </c>
      <c r="B2071" s="8" t="str">
        <f>"张永健"</f>
        <v>张永健</v>
      </c>
      <c r="C2071" s="8" t="str">
        <f>"男"</f>
        <v>男</v>
      </c>
      <c r="D2071" s="8" t="str">
        <f>"1996-10-21"</f>
        <v>1996-10-21</v>
      </c>
      <c r="E2071" s="8" t="str">
        <f>"大学本科学历"</f>
        <v>大学本科学历</v>
      </c>
      <c r="F2071" s="8" t="str">
        <f t="shared" si="1098"/>
        <v>管理学学士</v>
      </c>
      <c r="G2071" s="8" t="str">
        <f>" 旅游管理"</f>
        <v> 旅游管理</v>
      </c>
      <c r="H2071" s="7" t="s">
        <v>10</v>
      </c>
    </row>
    <row r="2072" spans="1:8" ht="15" customHeight="1">
      <c r="A2072" s="5">
        <v>2070</v>
      </c>
      <c r="B2072" s="8" t="str">
        <f>"张舒媛"</f>
        <v>张舒媛</v>
      </c>
      <c r="C2072" s="8" t="str">
        <f aca="true" t="shared" si="1100" ref="C2072:C2077">"女"</f>
        <v>女</v>
      </c>
      <c r="D2072" s="8" t="str">
        <f>"1996-11-11"</f>
        <v>1996-11-11</v>
      </c>
      <c r="E2072" s="8" t="str">
        <f aca="true" t="shared" si="1101" ref="E2072:E2075">"本科"</f>
        <v>本科</v>
      </c>
      <c r="F2072" s="8" t="str">
        <f t="shared" si="1098"/>
        <v>管理学学士</v>
      </c>
      <c r="G2072" s="8" t="str">
        <f>"旅游管理"</f>
        <v>旅游管理</v>
      </c>
      <c r="H2072" s="7" t="s">
        <v>10</v>
      </c>
    </row>
    <row r="2073" spans="1:8" ht="15" customHeight="1">
      <c r="A2073" s="5">
        <v>2071</v>
      </c>
      <c r="B2073" s="8" t="str">
        <f>"吴雅琪"</f>
        <v>吴雅琪</v>
      </c>
      <c r="C2073" s="8" t="str">
        <f t="shared" si="1100"/>
        <v>女</v>
      </c>
      <c r="D2073" s="8" t="str">
        <f>"1996-10-11"</f>
        <v>1996-10-11</v>
      </c>
      <c r="E2073" s="8" t="str">
        <f t="shared" si="1099"/>
        <v>大学本科</v>
      </c>
      <c r="F2073" s="8" t="str">
        <f>"工学学士学位"</f>
        <v>工学学士学位</v>
      </c>
      <c r="G2073" s="8" t="str">
        <f>"电子商务"</f>
        <v>电子商务</v>
      </c>
      <c r="H2073" s="7" t="s">
        <v>10</v>
      </c>
    </row>
    <row r="2074" spans="1:8" ht="15" customHeight="1">
      <c r="A2074" s="5">
        <v>2072</v>
      </c>
      <c r="B2074" s="8" t="str">
        <f>"王长彤"</f>
        <v>王长彤</v>
      </c>
      <c r="C2074" s="8" t="str">
        <f t="shared" si="1100"/>
        <v>女</v>
      </c>
      <c r="D2074" s="8" t="str">
        <f>"1999-04-04"</f>
        <v>1999-04-04</v>
      </c>
      <c r="E2074" s="8" t="str">
        <f t="shared" si="1101"/>
        <v>本科</v>
      </c>
      <c r="F2074" s="8" t="str">
        <f aca="true" t="shared" si="1102" ref="F2074:F2077">"管理学学士"</f>
        <v>管理学学士</v>
      </c>
      <c r="G2074" s="8" t="str">
        <f>"会计学"</f>
        <v>会计学</v>
      </c>
      <c r="H2074" s="7" t="s">
        <v>10</v>
      </c>
    </row>
    <row r="2075" spans="1:8" ht="15" customHeight="1">
      <c r="A2075" s="5">
        <v>2073</v>
      </c>
      <c r="B2075" s="8" t="str">
        <f>"王梦羽"</f>
        <v>王梦羽</v>
      </c>
      <c r="C2075" s="8" t="str">
        <f t="shared" si="1100"/>
        <v>女</v>
      </c>
      <c r="D2075" s="8" t="str">
        <f>"1997-02-16"</f>
        <v>1997-02-16</v>
      </c>
      <c r="E2075" s="8" t="str">
        <f t="shared" si="1101"/>
        <v>本科</v>
      </c>
      <c r="F2075" s="8" t="str">
        <f t="shared" si="1102"/>
        <v>管理学学士</v>
      </c>
      <c r="G2075" s="8" t="str">
        <f>"工商管理"</f>
        <v>工商管理</v>
      </c>
      <c r="H2075" s="7" t="s">
        <v>10</v>
      </c>
    </row>
    <row r="2076" spans="1:8" ht="15" customHeight="1">
      <c r="A2076" s="5">
        <v>2074</v>
      </c>
      <c r="B2076" s="8" t="str">
        <f>"符师云"</f>
        <v>符师云</v>
      </c>
      <c r="C2076" s="8" t="str">
        <f t="shared" si="1100"/>
        <v>女</v>
      </c>
      <c r="D2076" s="8" t="str">
        <f>"1993-02-26"</f>
        <v>1993-02-26</v>
      </c>
      <c r="E2076" s="8" t="str">
        <f>"全日制本科"</f>
        <v>全日制本科</v>
      </c>
      <c r="F2076" s="8" t="str">
        <f>"旅游管理学士"</f>
        <v>旅游管理学士</v>
      </c>
      <c r="G2076" s="8" t="str">
        <f>"旅游管理"</f>
        <v>旅游管理</v>
      </c>
      <c r="H2076" s="7" t="s">
        <v>10</v>
      </c>
    </row>
    <row r="2077" spans="1:8" ht="15" customHeight="1">
      <c r="A2077" s="5">
        <v>2075</v>
      </c>
      <c r="B2077" s="8" t="str">
        <f>"林恒妃"</f>
        <v>林恒妃</v>
      </c>
      <c r="C2077" s="8" t="str">
        <f t="shared" si="1100"/>
        <v>女</v>
      </c>
      <c r="D2077" s="8" t="str">
        <f>"1995-08-11"</f>
        <v>1995-08-11</v>
      </c>
      <c r="E2077" s="8" t="str">
        <f aca="true" t="shared" si="1103" ref="E2077:E2081">"本科"</f>
        <v>本科</v>
      </c>
      <c r="F2077" s="8" t="str">
        <f t="shared" si="1102"/>
        <v>管理学学士</v>
      </c>
      <c r="G2077" s="8" t="str">
        <f>"电子商务"</f>
        <v>电子商务</v>
      </c>
      <c r="H2077" s="7" t="s">
        <v>10</v>
      </c>
    </row>
    <row r="2078" spans="1:8" ht="15" customHeight="1">
      <c r="A2078" s="5">
        <v>2076</v>
      </c>
      <c r="B2078" s="8" t="str">
        <f>"符传彬"</f>
        <v>符传彬</v>
      </c>
      <c r="C2078" s="8" t="str">
        <f aca="true" t="shared" si="1104" ref="C2078:C2082">"男"</f>
        <v>男</v>
      </c>
      <c r="D2078" s="8" t="str">
        <f>"1999-11-10"</f>
        <v>1999-11-10</v>
      </c>
      <c r="E2078" s="8" t="str">
        <f t="shared" si="1103"/>
        <v>本科</v>
      </c>
      <c r="F2078" s="8" t="str">
        <f>"学士"</f>
        <v>学士</v>
      </c>
      <c r="G2078" s="8" t="str">
        <f>"会计学"</f>
        <v>会计学</v>
      </c>
      <c r="H2078" s="7" t="s">
        <v>10</v>
      </c>
    </row>
    <row r="2079" spans="1:8" ht="15" customHeight="1">
      <c r="A2079" s="5">
        <v>2077</v>
      </c>
      <c r="B2079" s="8" t="str">
        <f>"郭俊宏"</f>
        <v>郭俊宏</v>
      </c>
      <c r="C2079" s="8" t="str">
        <f t="shared" si="1104"/>
        <v>男</v>
      </c>
      <c r="D2079" s="8" t="str">
        <f>"1993-07-27"</f>
        <v>1993-07-27</v>
      </c>
      <c r="E2079" s="8" t="str">
        <f t="shared" si="1103"/>
        <v>本科</v>
      </c>
      <c r="F2079" s="8" t="str">
        <f>"无"</f>
        <v>无</v>
      </c>
      <c r="G2079" s="8" t="str">
        <f>"会计学（注册会计师方向）"</f>
        <v>会计学（注册会计师方向）</v>
      </c>
      <c r="H2079" s="7" t="s">
        <v>10</v>
      </c>
    </row>
    <row r="2080" spans="1:8" ht="15" customHeight="1">
      <c r="A2080" s="5">
        <v>2078</v>
      </c>
      <c r="B2080" s="8" t="str">
        <f>"刘思琪"</f>
        <v>刘思琪</v>
      </c>
      <c r="C2080" s="8" t="str">
        <f aca="true" t="shared" si="1105" ref="C2080:C2086">"女"</f>
        <v>女</v>
      </c>
      <c r="D2080" s="8" t="str">
        <f>"2000-02-28"</f>
        <v>2000-02-28</v>
      </c>
      <c r="E2080" s="8" t="str">
        <f t="shared" si="1103"/>
        <v>本科</v>
      </c>
      <c r="F2080" s="8" t="str">
        <f>"会计学财务管理学士"</f>
        <v>会计学财务管理学士</v>
      </c>
      <c r="G2080" s="8" t="str">
        <f>"会计学财务管理"</f>
        <v>会计学财务管理</v>
      </c>
      <c r="H2080" s="7" t="s">
        <v>10</v>
      </c>
    </row>
    <row r="2081" spans="1:8" ht="15" customHeight="1">
      <c r="A2081" s="5">
        <v>2079</v>
      </c>
      <c r="B2081" s="8" t="str">
        <f>"冯苑"</f>
        <v>冯苑</v>
      </c>
      <c r="C2081" s="8" t="str">
        <f t="shared" si="1105"/>
        <v>女</v>
      </c>
      <c r="D2081" s="8" t="str">
        <f>"1999-08-01"</f>
        <v>1999-08-01</v>
      </c>
      <c r="E2081" s="8" t="str">
        <f t="shared" si="1103"/>
        <v>本科</v>
      </c>
      <c r="F2081" s="8" t="str">
        <f aca="true" t="shared" si="1106" ref="F2081:F2086">"管理学学士"</f>
        <v>管理学学士</v>
      </c>
      <c r="G2081" s="8" t="str">
        <f>"文化产业管理"</f>
        <v>文化产业管理</v>
      </c>
      <c r="H2081" s="7" t="s">
        <v>10</v>
      </c>
    </row>
    <row r="2082" spans="1:8" ht="15" customHeight="1">
      <c r="A2082" s="5">
        <v>2080</v>
      </c>
      <c r="B2082" s="8" t="str">
        <f>"李东"</f>
        <v>李东</v>
      </c>
      <c r="C2082" s="8" t="str">
        <f t="shared" si="1104"/>
        <v>男</v>
      </c>
      <c r="D2082" s="8" t="str">
        <f>"1997-08-12"</f>
        <v>1997-08-12</v>
      </c>
      <c r="E2082" s="8" t="str">
        <f>"全日制本科"</f>
        <v>全日制本科</v>
      </c>
      <c r="F2082" s="8" t="str">
        <f t="shared" si="1106"/>
        <v>管理学学士</v>
      </c>
      <c r="G2082" s="8" t="str">
        <f>"市场营销"</f>
        <v>市场营销</v>
      </c>
      <c r="H2082" s="7" t="s">
        <v>10</v>
      </c>
    </row>
    <row r="2083" spans="1:8" ht="15" customHeight="1">
      <c r="A2083" s="5">
        <v>2081</v>
      </c>
      <c r="B2083" s="8" t="str">
        <f>"陈云霞"</f>
        <v>陈云霞</v>
      </c>
      <c r="C2083" s="8" t="str">
        <f t="shared" si="1105"/>
        <v>女</v>
      </c>
      <c r="D2083" s="8" t="str">
        <f>"1997-10-24"</f>
        <v>1997-10-24</v>
      </c>
      <c r="E2083" s="8" t="str">
        <f aca="true" t="shared" si="1107" ref="E2083:E2089">"本科"</f>
        <v>本科</v>
      </c>
      <c r="F2083" s="8" t="str">
        <f>"管理学学士学位"</f>
        <v>管理学学士学位</v>
      </c>
      <c r="G2083" s="8" t="str">
        <f>"酒店管理"</f>
        <v>酒店管理</v>
      </c>
      <c r="H2083" s="7" t="s">
        <v>10</v>
      </c>
    </row>
    <row r="2084" spans="1:8" ht="15" customHeight="1">
      <c r="A2084" s="5">
        <v>2082</v>
      </c>
      <c r="B2084" s="8" t="str">
        <f>"符策珍"</f>
        <v>符策珍</v>
      </c>
      <c r="C2084" s="8" t="str">
        <f t="shared" si="1105"/>
        <v>女</v>
      </c>
      <c r="D2084" s="8" t="str">
        <f>"1992-09-04"</f>
        <v>1992-09-04</v>
      </c>
      <c r="E2084" s="8" t="str">
        <f>"大学本科"</f>
        <v>大学本科</v>
      </c>
      <c r="F2084" s="8" t="str">
        <f t="shared" si="1106"/>
        <v>管理学学士</v>
      </c>
      <c r="G2084" s="8" t="str">
        <f>"旅游管理"</f>
        <v>旅游管理</v>
      </c>
      <c r="H2084" s="7" t="s">
        <v>10</v>
      </c>
    </row>
    <row r="2085" spans="1:8" ht="15" customHeight="1">
      <c r="A2085" s="5">
        <v>2083</v>
      </c>
      <c r="B2085" s="8" t="str">
        <f>"廖莉萍"</f>
        <v>廖莉萍</v>
      </c>
      <c r="C2085" s="8" t="str">
        <f t="shared" si="1105"/>
        <v>女</v>
      </c>
      <c r="D2085" s="8" t="str">
        <f>"1989-05-29"</f>
        <v>1989-05-29</v>
      </c>
      <c r="E2085" s="8" t="str">
        <f>"大学本科"</f>
        <v>大学本科</v>
      </c>
      <c r="F2085" s="8" t="str">
        <f t="shared" si="1106"/>
        <v>管理学学士</v>
      </c>
      <c r="G2085" s="8" t="str">
        <f>"行政管理"</f>
        <v>行政管理</v>
      </c>
      <c r="H2085" s="7" t="s">
        <v>10</v>
      </c>
    </row>
    <row r="2086" spans="1:8" ht="15" customHeight="1">
      <c r="A2086" s="5">
        <v>2084</v>
      </c>
      <c r="B2086" s="8" t="str">
        <f>"陈菲"</f>
        <v>陈菲</v>
      </c>
      <c r="C2086" s="8" t="str">
        <f t="shared" si="1105"/>
        <v>女</v>
      </c>
      <c r="D2086" s="8" t="str">
        <f>"2001-06-22"</f>
        <v>2001-06-22</v>
      </c>
      <c r="E2086" s="8" t="str">
        <f t="shared" si="1107"/>
        <v>本科</v>
      </c>
      <c r="F2086" s="8" t="str">
        <f t="shared" si="1106"/>
        <v>管理学学士</v>
      </c>
      <c r="G2086" s="8" t="str">
        <f>"财务管理"</f>
        <v>财务管理</v>
      </c>
      <c r="H2086" s="7" t="s">
        <v>10</v>
      </c>
    </row>
    <row r="2087" spans="1:8" ht="15" customHeight="1">
      <c r="A2087" s="5">
        <v>2085</v>
      </c>
      <c r="B2087" s="8" t="str">
        <f>"骆信燊"</f>
        <v>骆信燊</v>
      </c>
      <c r="C2087" s="8" t="str">
        <f aca="true" t="shared" si="1108" ref="C2087:C2093">"男"</f>
        <v>男</v>
      </c>
      <c r="D2087" s="8" t="str">
        <f>"1992-07-08"</f>
        <v>1992-07-08</v>
      </c>
      <c r="E2087" s="8" t="str">
        <f t="shared" si="1107"/>
        <v>本科</v>
      </c>
      <c r="F2087" s="8" t="str">
        <f>"无"</f>
        <v>无</v>
      </c>
      <c r="G2087" s="8" t="str">
        <f>"人力资源管理"</f>
        <v>人力资源管理</v>
      </c>
      <c r="H2087" s="7" t="s">
        <v>10</v>
      </c>
    </row>
    <row r="2088" spans="1:8" ht="15" customHeight="1">
      <c r="A2088" s="5">
        <v>2086</v>
      </c>
      <c r="B2088" s="8" t="str">
        <f>"刘耕百"</f>
        <v>刘耕百</v>
      </c>
      <c r="C2088" s="8" t="str">
        <f t="shared" si="1108"/>
        <v>男</v>
      </c>
      <c r="D2088" s="8" t="str">
        <f>"2001-03-29"</f>
        <v>2001-03-29</v>
      </c>
      <c r="E2088" s="8" t="str">
        <f t="shared" si="1107"/>
        <v>本科</v>
      </c>
      <c r="F2088" s="8" t="str">
        <f>"管理学士"</f>
        <v>管理学士</v>
      </c>
      <c r="G2088" s="8" t="str">
        <f>"公共事业管理"</f>
        <v>公共事业管理</v>
      </c>
      <c r="H2088" s="7" t="s">
        <v>10</v>
      </c>
    </row>
    <row r="2089" spans="1:8" ht="15" customHeight="1">
      <c r="A2089" s="5">
        <v>2087</v>
      </c>
      <c r="B2089" s="8" t="str">
        <f>"苏鸿泽"</f>
        <v>苏鸿泽</v>
      </c>
      <c r="C2089" s="8" t="str">
        <f t="shared" si="1108"/>
        <v>男</v>
      </c>
      <c r="D2089" s="8" t="str">
        <f>"1990-10-23"</f>
        <v>1990-10-23</v>
      </c>
      <c r="E2089" s="8" t="str">
        <f t="shared" si="1107"/>
        <v>本科</v>
      </c>
      <c r="F2089" s="8" t="str">
        <f>"管理学学士"</f>
        <v>管理学学士</v>
      </c>
      <c r="G2089" s="8" t="str">
        <f>"劳动与社会保障"</f>
        <v>劳动与社会保障</v>
      </c>
      <c r="H2089" s="7" t="s">
        <v>10</v>
      </c>
    </row>
    <row r="2090" spans="1:8" ht="15" customHeight="1">
      <c r="A2090" s="5">
        <v>2088</v>
      </c>
      <c r="B2090" s="8" t="str">
        <f>"曹杰"</f>
        <v>曹杰</v>
      </c>
      <c r="C2090" s="8" t="str">
        <f t="shared" si="1108"/>
        <v>男</v>
      </c>
      <c r="D2090" s="8" t="str">
        <f>"2001-05-23"</f>
        <v>2001-05-23</v>
      </c>
      <c r="E2090" s="8" t="str">
        <f>"大学"</f>
        <v>大学</v>
      </c>
      <c r="F2090" s="8" t="str">
        <f>"学士学位"</f>
        <v>学士学位</v>
      </c>
      <c r="G2090" s="8" t="str">
        <f>"审计学"</f>
        <v>审计学</v>
      </c>
      <c r="H2090" s="7" t="s">
        <v>10</v>
      </c>
    </row>
    <row r="2091" spans="1:8" ht="15" customHeight="1">
      <c r="A2091" s="5">
        <v>2089</v>
      </c>
      <c r="B2091" s="8" t="str">
        <f>"王仁杆"</f>
        <v>王仁杆</v>
      </c>
      <c r="C2091" s="8" t="str">
        <f t="shared" si="1108"/>
        <v>男</v>
      </c>
      <c r="D2091" s="8" t="str">
        <f>"1999-04-18"</f>
        <v>1999-04-18</v>
      </c>
      <c r="E2091" s="8" t="str">
        <f aca="true" t="shared" si="1109" ref="E2091:E2094">"本科"</f>
        <v>本科</v>
      </c>
      <c r="F2091" s="8" t="str">
        <f>"管理学学士学位"</f>
        <v>管理学学士学位</v>
      </c>
      <c r="G2091" s="8" t="str">
        <f>"旅游管理"</f>
        <v>旅游管理</v>
      </c>
      <c r="H2091" s="7" t="s">
        <v>10</v>
      </c>
    </row>
    <row r="2092" spans="1:8" ht="15" customHeight="1">
      <c r="A2092" s="5">
        <v>2090</v>
      </c>
      <c r="B2092" s="8" t="str">
        <f>"黄伟杰"</f>
        <v>黄伟杰</v>
      </c>
      <c r="C2092" s="8" t="str">
        <f t="shared" si="1108"/>
        <v>男</v>
      </c>
      <c r="D2092" s="8" t="str">
        <f>"1996-07-08"</f>
        <v>1996-07-08</v>
      </c>
      <c r="E2092" s="8" t="str">
        <f t="shared" si="1109"/>
        <v>本科</v>
      </c>
      <c r="F2092" s="8" t="str">
        <f>"无"</f>
        <v>无</v>
      </c>
      <c r="G2092" s="8" t="str">
        <f aca="true" t="shared" si="1110" ref="G2092:G2096">"工商管理"</f>
        <v>工商管理</v>
      </c>
      <c r="H2092" s="7" t="s">
        <v>10</v>
      </c>
    </row>
    <row r="2093" spans="1:8" ht="15" customHeight="1">
      <c r="A2093" s="5">
        <v>2091</v>
      </c>
      <c r="B2093" s="8" t="str">
        <f>"苏建群"</f>
        <v>苏建群</v>
      </c>
      <c r="C2093" s="8" t="str">
        <f t="shared" si="1108"/>
        <v>男</v>
      </c>
      <c r="D2093" s="8" t="str">
        <f>"1998-10-12"</f>
        <v>1998-10-12</v>
      </c>
      <c r="E2093" s="8" t="str">
        <f t="shared" si="1109"/>
        <v>本科</v>
      </c>
      <c r="F2093" s="8" t="str">
        <f>"学士"</f>
        <v>学士</v>
      </c>
      <c r="G2093" s="8" t="str">
        <f t="shared" si="1110"/>
        <v>工商管理</v>
      </c>
      <c r="H2093" s="7" t="s">
        <v>10</v>
      </c>
    </row>
    <row r="2094" spans="1:8" ht="15" customHeight="1">
      <c r="A2094" s="5">
        <v>2092</v>
      </c>
      <c r="B2094" s="8" t="str">
        <f>"陈丽蓉"</f>
        <v>陈丽蓉</v>
      </c>
      <c r="C2094" s="8" t="str">
        <f aca="true" t="shared" si="1111" ref="C2094:C2096">"女"</f>
        <v>女</v>
      </c>
      <c r="D2094" s="8" t="str">
        <f>"1997-01-23"</f>
        <v>1997-01-23</v>
      </c>
      <c r="E2094" s="8" t="str">
        <f t="shared" si="1109"/>
        <v>本科</v>
      </c>
      <c r="F2094" s="8" t="str">
        <f>"学士"</f>
        <v>学士</v>
      </c>
      <c r="G2094" s="8" t="str">
        <f>"电子商务"</f>
        <v>电子商务</v>
      </c>
      <c r="H2094" s="7" t="s">
        <v>10</v>
      </c>
    </row>
    <row r="2095" spans="1:8" ht="15" customHeight="1">
      <c r="A2095" s="5">
        <v>2093</v>
      </c>
      <c r="B2095" s="8" t="str">
        <f>"周颖"</f>
        <v>周颖</v>
      </c>
      <c r="C2095" s="8" t="str">
        <f t="shared" si="1111"/>
        <v>女</v>
      </c>
      <c r="D2095" s="8" t="str">
        <f>"1992-09-23"</f>
        <v>1992-09-23</v>
      </c>
      <c r="E2095" s="8" t="str">
        <f>"大学本科"</f>
        <v>大学本科</v>
      </c>
      <c r="F2095" s="8" t="str">
        <f>"管理学学士"</f>
        <v>管理学学士</v>
      </c>
      <c r="G2095" s="8" t="str">
        <f>"旅游管理"</f>
        <v>旅游管理</v>
      </c>
      <c r="H2095" s="7" t="s">
        <v>10</v>
      </c>
    </row>
    <row r="2096" spans="1:8" ht="15" customHeight="1">
      <c r="A2096" s="5">
        <v>2094</v>
      </c>
      <c r="B2096" s="8" t="str">
        <f>"陈莹婧"</f>
        <v>陈莹婧</v>
      </c>
      <c r="C2096" s="8" t="str">
        <f t="shared" si="1111"/>
        <v>女</v>
      </c>
      <c r="D2096" s="8" t="str">
        <f>"2000-08-25"</f>
        <v>2000-08-25</v>
      </c>
      <c r="E2096" s="8" t="str">
        <f aca="true" t="shared" si="1112" ref="E2096:E2100">"本科"</f>
        <v>本科</v>
      </c>
      <c r="F2096" s="8" t="str">
        <f>"管理学学士学位"</f>
        <v>管理学学士学位</v>
      </c>
      <c r="G2096" s="8" t="str">
        <f t="shared" si="1110"/>
        <v>工商管理</v>
      </c>
      <c r="H2096" s="7" t="s">
        <v>10</v>
      </c>
    </row>
    <row r="2097" spans="1:8" ht="15" customHeight="1">
      <c r="A2097" s="5">
        <v>2095</v>
      </c>
      <c r="B2097" s="8" t="str">
        <f>"陈涛"</f>
        <v>陈涛</v>
      </c>
      <c r="C2097" s="8" t="str">
        <f>"男"</f>
        <v>男</v>
      </c>
      <c r="D2097" s="8" t="str">
        <f>"2000-07-16"</f>
        <v>2000-07-16</v>
      </c>
      <c r="E2097" s="8" t="str">
        <f>"大学本科"</f>
        <v>大学本科</v>
      </c>
      <c r="F2097" s="8" t="str">
        <f>"学士学位"</f>
        <v>学士学位</v>
      </c>
      <c r="G2097" s="8" t="str">
        <f>"信息管理与信息系统"</f>
        <v>信息管理与信息系统</v>
      </c>
      <c r="H2097" s="7" t="s">
        <v>10</v>
      </c>
    </row>
    <row r="2098" spans="1:8" ht="15" customHeight="1">
      <c r="A2098" s="5">
        <v>2096</v>
      </c>
      <c r="B2098" s="8" t="str">
        <f>"李婷"</f>
        <v>李婷</v>
      </c>
      <c r="C2098" s="8" t="str">
        <f aca="true" t="shared" si="1113" ref="C2098:C2104">"女"</f>
        <v>女</v>
      </c>
      <c r="D2098" s="8" t="str">
        <f>"1997-01-02"</f>
        <v>1997-01-02</v>
      </c>
      <c r="E2098" s="8" t="str">
        <f t="shared" si="1112"/>
        <v>本科</v>
      </c>
      <c r="F2098" s="8" t="str">
        <f aca="true" t="shared" si="1114" ref="F2098:F2103">"管理学学士"</f>
        <v>管理学学士</v>
      </c>
      <c r="G2098" s="8" t="str">
        <f aca="true" t="shared" si="1115" ref="G2098:G2101">"财务管理"</f>
        <v>财务管理</v>
      </c>
      <c r="H2098" s="7" t="s">
        <v>10</v>
      </c>
    </row>
    <row r="2099" spans="1:8" ht="15" customHeight="1">
      <c r="A2099" s="5">
        <v>2097</v>
      </c>
      <c r="B2099" s="8" t="str">
        <f>"张取南"</f>
        <v>张取南</v>
      </c>
      <c r="C2099" s="8" t="str">
        <f t="shared" si="1113"/>
        <v>女</v>
      </c>
      <c r="D2099" s="8" t="str">
        <f>"2000-02-28"</f>
        <v>2000-02-28</v>
      </c>
      <c r="E2099" s="8" t="str">
        <f t="shared" si="1112"/>
        <v>本科</v>
      </c>
      <c r="F2099" s="8" t="str">
        <f>"学士学位"</f>
        <v>学士学位</v>
      </c>
      <c r="G2099" s="8" t="str">
        <f>"旅游管理"</f>
        <v>旅游管理</v>
      </c>
      <c r="H2099" s="7" t="s">
        <v>10</v>
      </c>
    </row>
    <row r="2100" spans="1:8" ht="15" customHeight="1">
      <c r="A2100" s="5">
        <v>2098</v>
      </c>
      <c r="B2100" s="8" t="str">
        <f>"吴有亮"</f>
        <v>吴有亮</v>
      </c>
      <c r="C2100" s="8" t="str">
        <f>"男"</f>
        <v>男</v>
      </c>
      <c r="D2100" s="8" t="str">
        <f>"1999-11-05"</f>
        <v>1999-11-05</v>
      </c>
      <c r="E2100" s="8" t="str">
        <f t="shared" si="1112"/>
        <v>本科</v>
      </c>
      <c r="F2100" s="8" t="str">
        <f>"学士"</f>
        <v>学士</v>
      </c>
      <c r="G2100" s="8" t="str">
        <f t="shared" si="1115"/>
        <v>财务管理</v>
      </c>
      <c r="H2100" s="7" t="s">
        <v>10</v>
      </c>
    </row>
    <row r="2101" spans="1:8" ht="15" customHeight="1">
      <c r="A2101" s="5">
        <v>2099</v>
      </c>
      <c r="B2101" s="8" t="str">
        <f>"王静"</f>
        <v>王静</v>
      </c>
      <c r="C2101" s="8" t="str">
        <f t="shared" si="1113"/>
        <v>女</v>
      </c>
      <c r="D2101" s="8" t="str">
        <f>"1989-08-01"</f>
        <v>1989-08-01</v>
      </c>
      <c r="E2101" s="8" t="str">
        <f>"大学本科学历"</f>
        <v>大学本科学历</v>
      </c>
      <c r="F2101" s="8" t="str">
        <f t="shared" si="1114"/>
        <v>管理学学士</v>
      </c>
      <c r="G2101" s="8" t="str">
        <f t="shared" si="1115"/>
        <v>财务管理</v>
      </c>
      <c r="H2101" s="7" t="s">
        <v>10</v>
      </c>
    </row>
    <row r="2102" spans="1:8" ht="15" customHeight="1">
      <c r="A2102" s="5">
        <v>2100</v>
      </c>
      <c r="B2102" s="8" t="str">
        <f>"韩萱昊"</f>
        <v>韩萱昊</v>
      </c>
      <c r="C2102" s="8" t="str">
        <f t="shared" si="1113"/>
        <v>女</v>
      </c>
      <c r="D2102" s="8" t="str">
        <f>"2000-01-20"</f>
        <v>2000-01-20</v>
      </c>
      <c r="E2102" s="8" t="str">
        <f aca="true" t="shared" si="1116" ref="E2102:E2107">"本科"</f>
        <v>本科</v>
      </c>
      <c r="F2102" s="8" t="str">
        <f>"学士"</f>
        <v>学士</v>
      </c>
      <c r="G2102" s="8" t="str">
        <f>"酒店管理"</f>
        <v>酒店管理</v>
      </c>
      <c r="H2102" s="7" t="s">
        <v>10</v>
      </c>
    </row>
    <row r="2103" spans="1:8" ht="15" customHeight="1">
      <c r="A2103" s="5">
        <v>2101</v>
      </c>
      <c r="B2103" s="8" t="str">
        <f>"黄莹莹"</f>
        <v>黄莹莹</v>
      </c>
      <c r="C2103" s="8" t="str">
        <f t="shared" si="1113"/>
        <v>女</v>
      </c>
      <c r="D2103" s="8" t="str">
        <f>"1995-08-08"</f>
        <v>1995-08-08</v>
      </c>
      <c r="E2103" s="8" t="str">
        <f>"大学本科"</f>
        <v>大学本科</v>
      </c>
      <c r="F2103" s="8" t="str">
        <f t="shared" si="1114"/>
        <v>管理学学士</v>
      </c>
      <c r="G2103" s="8" t="str">
        <f>"行政管理"</f>
        <v>行政管理</v>
      </c>
      <c r="H2103" s="7" t="s">
        <v>10</v>
      </c>
    </row>
    <row r="2104" spans="1:8" ht="15" customHeight="1">
      <c r="A2104" s="5">
        <v>2102</v>
      </c>
      <c r="B2104" s="8" t="str">
        <f>"林爱菁"</f>
        <v>林爱菁</v>
      </c>
      <c r="C2104" s="8" t="str">
        <f t="shared" si="1113"/>
        <v>女</v>
      </c>
      <c r="D2104" s="8" t="str">
        <f>"1998-11-12"</f>
        <v>1998-11-12</v>
      </c>
      <c r="E2104" s="8" t="str">
        <f t="shared" si="1116"/>
        <v>本科</v>
      </c>
      <c r="F2104" s="8" t="str">
        <f>"学士学位"</f>
        <v>学士学位</v>
      </c>
      <c r="G2104" s="8" t="str">
        <f>"人力资源管理"</f>
        <v>人力资源管理</v>
      </c>
      <c r="H2104" s="7" t="s">
        <v>10</v>
      </c>
    </row>
    <row r="2105" spans="1:8" ht="15" customHeight="1">
      <c r="A2105" s="5">
        <v>2103</v>
      </c>
      <c r="B2105" s="8" t="str">
        <f>"庄礼程"</f>
        <v>庄礼程</v>
      </c>
      <c r="C2105" s="8" t="str">
        <f>"男"</f>
        <v>男</v>
      </c>
      <c r="D2105" s="8" t="str">
        <f>"1998-10-27"</f>
        <v>1998-10-27</v>
      </c>
      <c r="E2105" s="8" t="str">
        <f>"大学本科学历"</f>
        <v>大学本科学历</v>
      </c>
      <c r="F2105" s="8" t="str">
        <f>"管理学学士"</f>
        <v>管理学学士</v>
      </c>
      <c r="G2105" s="8" t="str">
        <f>"旅游管理"</f>
        <v>旅游管理</v>
      </c>
      <c r="H2105" s="7" t="s">
        <v>10</v>
      </c>
    </row>
    <row r="2106" spans="1:8" ht="15" customHeight="1">
      <c r="A2106" s="5">
        <v>2104</v>
      </c>
      <c r="B2106" s="8" t="str">
        <f>"王晓静"</f>
        <v>王晓静</v>
      </c>
      <c r="C2106" s="8" t="str">
        <f aca="true" t="shared" si="1117" ref="C2106:C2110">"女"</f>
        <v>女</v>
      </c>
      <c r="D2106" s="8" t="str">
        <f>"1999-08-06"</f>
        <v>1999-08-06</v>
      </c>
      <c r="E2106" s="8" t="str">
        <f t="shared" si="1116"/>
        <v>本科</v>
      </c>
      <c r="F2106" s="8" t="str">
        <f>"法学学士"</f>
        <v>法学学士</v>
      </c>
      <c r="G2106" s="8" t="str">
        <f>"法学"</f>
        <v>法学</v>
      </c>
      <c r="H2106" s="7" t="s">
        <v>10</v>
      </c>
    </row>
    <row r="2107" spans="1:8" ht="15" customHeight="1">
      <c r="A2107" s="5">
        <v>2105</v>
      </c>
      <c r="B2107" s="8" t="str">
        <f>"何丹花"</f>
        <v>何丹花</v>
      </c>
      <c r="C2107" s="8" t="str">
        <f t="shared" si="1117"/>
        <v>女</v>
      </c>
      <c r="D2107" s="8" t="str">
        <f>"1994-06-24"</f>
        <v>1994-06-24</v>
      </c>
      <c r="E2107" s="8" t="str">
        <f t="shared" si="1116"/>
        <v>本科</v>
      </c>
      <c r="F2107" s="8" t="str">
        <f>"学士"</f>
        <v>学士</v>
      </c>
      <c r="G2107" s="8" t="str">
        <f>"国际经济与贸易"</f>
        <v>国际经济与贸易</v>
      </c>
      <c r="H2107" s="7" t="s">
        <v>10</v>
      </c>
    </row>
    <row r="2108" spans="1:8" ht="15" customHeight="1">
      <c r="A2108" s="5">
        <v>2106</v>
      </c>
      <c r="B2108" s="8" t="str">
        <f>"王艾"</f>
        <v>王艾</v>
      </c>
      <c r="C2108" s="8" t="str">
        <f t="shared" si="1117"/>
        <v>女</v>
      </c>
      <c r="D2108" s="8" t="str">
        <f>"2001-11-26"</f>
        <v>2001-11-26</v>
      </c>
      <c r="E2108" s="8" t="str">
        <f>"大学本科"</f>
        <v>大学本科</v>
      </c>
      <c r="F2108" s="8" t="str">
        <f>"经济学学士"</f>
        <v>经济学学士</v>
      </c>
      <c r="G2108" s="8" t="str">
        <f>"经济学"</f>
        <v>经济学</v>
      </c>
      <c r="H2108" s="7" t="s">
        <v>10</v>
      </c>
    </row>
    <row r="2109" spans="1:8" ht="15" customHeight="1">
      <c r="A2109" s="5">
        <v>2107</v>
      </c>
      <c r="B2109" s="8" t="str">
        <f>"杜春燕"</f>
        <v>杜春燕</v>
      </c>
      <c r="C2109" s="8" t="str">
        <f t="shared" si="1117"/>
        <v>女</v>
      </c>
      <c r="D2109" s="8" t="str">
        <f>"1990-02-10"</f>
        <v>1990-02-10</v>
      </c>
      <c r="E2109" s="8" t="str">
        <f>"大专"</f>
        <v>大专</v>
      </c>
      <c r="F2109" s="8" t="str">
        <f>"无"</f>
        <v>无</v>
      </c>
      <c r="G2109" s="8" t="str">
        <f>"经济管理"</f>
        <v>经济管理</v>
      </c>
      <c r="H2109" s="7" t="s">
        <v>10</v>
      </c>
    </row>
    <row r="2110" spans="1:8" ht="15" customHeight="1">
      <c r="A2110" s="5">
        <v>2108</v>
      </c>
      <c r="B2110" s="8" t="str">
        <f>"黄川萍"</f>
        <v>黄川萍</v>
      </c>
      <c r="C2110" s="8" t="str">
        <f t="shared" si="1117"/>
        <v>女</v>
      </c>
      <c r="D2110" s="8" t="str">
        <f>"1993-01-08"</f>
        <v>1993-01-08</v>
      </c>
      <c r="E2110" s="8" t="str">
        <f aca="true" t="shared" si="1118" ref="E2110:E2112">"本科"</f>
        <v>本科</v>
      </c>
      <c r="F2110" s="8" t="str">
        <f aca="true" t="shared" si="1119" ref="F2110:F2112">"管理学学士"</f>
        <v>管理学学士</v>
      </c>
      <c r="G2110" s="8" t="str">
        <f>"工商管理"</f>
        <v>工商管理</v>
      </c>
      <c r="H2110" s="7" t="s">
        <v>10</v>
      </c>
    </row>
    <row r="2111" spans="1:8" ht="15" customHeight="1">
      <c r="A2111" s="5">
        <v>2109</v>
      </c>
      <c r="B2111" s="8" t="str">
        <f>"黄前立"</f>
        <v>黄前立</v>
      </c>
      <c r="C2111" s="8" t="str">
        <f>"男"</f>
        <v>男</v>
      </c>
      <c r="D2111" s="8" t="str">
        <f>"1998-01-18"</f>
        <v>1998-01-18</v>
      </c>
      <c r="E2111" s="8" t="str">
        <f t="shared" si="1118"/>
        <v>本科</v>
      </c>
      <c r="F2111" s="8" t="str">
        <f t="shared" si="1119"/>
        <v>管理学学士</v>
      </c>
      <c r="G2111" s="8" t="str">
        <f>"旅游管理"</f>
        <v>旅游管理</v>
      </c>
      <c r="H2111" s="7" t="s">
        <v>10</v>
      </c>
    </row>
    <row r="2112" spans="1:8" ht="15" customHeight="1">
      <c r="A2112" s="5">
        <v>2110</v>
      </c>
      <c r="B2112" s="8" t="str">
        <f>"全芸芸"</f>
        <v>全芸芸</v>
      </c>
      <c r="C2112" s="8" t="str">
        <f aca="true" t="shared" si="1120" ref="C2112:C2116">"女"</f>
        <v>女</v>
      </c>
      <c r="D2112" s="8" t="str">
        <f>"1995-11-20"</f>
        <v>1995-11-20</v>
      </c>
      <c r="E2112" s="8" t="str">
        <f t="shared" si="1118"/>
        <v>本科</v>
      </c>
      <c r="F2112" s="8" t="str">
        <f t="shared" si="1119"/>
        <v>管理学学士</v>
      </c>
      <c r="G2112" s="8" t="str">
        <f>"会计学"</f>
        <v>会计学</v>
      </c>
      <c r="H2112" s="7" t="s">
        <v>10</v>
      </c>
    </row>
    <row r="2113" spans="1:8" ht="15" customHeight="1">
      <c r="A2113" s="5">
        <v>2111</v>
      </c>
      <c r="B2113" s="8" t="str">
        <f>"符莹莹"</f>
        <v>符莹莹</v>
      </c>
      <c r="C2113" s="8" t="str">
        <f t="shared" si="1120"/>
        <v>女</v>
      </c>
      <c r="D2113" s="8" t="str">
        <f>"1997-03-12"</f>
        <v>1997-03-12</v>
      </c>
      <c r="E2113" s="8" t="str">
        <f>"大学本科"</f>
        <v>大学本科</v>
      </c>
      <c r="F2113" s="8" t="str">
        <f>"学士学位"</f>
        <v>学士学位</v>
      </c>
      <c r="G2113" s="8" t="str">
        <f>"会计学（审计师方向）"</f>
        <v>会计学（审计师方向）</v>
      </c>
      <c r="H2113" s="7" t="s">
        <v>10</v>
      </c>
    </row>
    <row r="2114" spans="1:8" ht="15" customHeight="1">
      <c r="A2114" s="5">
        <v>2112</v>
      </c>
      <c r="B2114" s="8" t="str">
        <f>"王森"</f>
        <v>王森</v>
      </c>
      <c r="C2114" s="8" t="str">
        <f>"男"</f>
        <v>男</v>
      </c>
      <c r="D2114" s="8" t="str">
        <f>"1995-04-18"</f>
        <v>1995-04-18</v>
      </c>
      <c r="E2114" s="8" t="str">
        <f>"大学本科"</f>
        <v>大学本科</v>
      </c>
      <c r="F2114" s="8" t="str">
        <f aca="true" t="shared" si="1121" ref="F2114:F2117">"管理学学士"</f>
        <v>管理学学士</v>
      </c>
      <c r="G2114" s="8" t="str">
        <f>"文化产业管理专业"</f>
        <v>文化产业管理专业</v>
      </c>
      <c r="H2114" s="7" t="s">
        <v>10</v>
      </c>
    </row>
    <row r="2115" spans="1:8" ht="15" customHeight="1">
      <c r="A2115" s="5">
        <v>2113</v>
      </c>
      <c r="B2115" s="8" t="str">
        <f>"陈苗欣"</f>
        <v>陈苗欣</v>
      </c>
      <c r="C2115" s="8" t="str">
        <f t="shared" si="1120"/>
        <v>女</v>
      </c>
      <c r="D2115" s="8" t="str">
        <f>"1999-08-25"</f>
        <v>1999-08-25</v>
      </c>
      <c r="E2115" s="8" t="str">
        <f>"全日制本科"</f>
        <v>全日制本科</v>
      </c>
      <c r="F2115" s="8" t="str">
        <f>"经济学学士"</f>
        <v>经济学学士</v>
      </c>
      <c r="G2115" s="8" t="str">
        <f>"投资学"</f>
        <v>投资学</v>
      </c>
      <c r="H2115" s="7" t="s">
        <v>10</v>
      </c>
    </row>
    <row r="2116" spans="1:8" ht="15" customHeight="1">
      <c r="A2116" s="5">
        <v>2114</v>
      </c>
      <c r="B2116" s="8" t="str">
        <f>"周佳"</f>
        <v>周佳</v>
      </c>
      <c r="C2116" s="8" t="str">
        <f t="shared" si="1120"/>
        <v>女</v>
      </c>
      <c r="D2116" s="8" t="str">
        <f>"1999-07-25"</f>
        <v>1999-07-25</v>
      </c>
      <c r="E2116" s="8" t="str">
        <f aca="true" t="shared" si="1122" ref="E2116:E2121">"本科"</f>
        <v>本科</v>
      </c>
      <c r="F2116" s="8" t="str">
        <f t="shared" si="1121"/>
        <v>管理学学士</v>
      </c>
      <c r="G2116" s="8" t="str">
        <f>"信息管理与信息系统"</f>
        <v>信息管理与信息系统</v>
      </c>
      <c r="H2116" s="7" t="s">
        <v>10</v>
      </c>
    </row>
    <row r="2117" spans="1:8" ht="15" customHeight="1">
      <c r="A2117" s="5">
        <v>2115</v>
      </c>
      <c r="B2117" s="8" t="str">
        <f>"张年俊"</f>
        <v>张年俊</v>
      </c>
      <c r="C2117" s="8" t="str">
        <f>"男"</f>
        <v>男</v>
      </c>
      <c r="D2117" s="8" t="str">
        <f>"1999-11-20"</f>
        <v>1999-11-20</v>
      </c>
      <c r="E2117" s="8" t="str">
        <f>"大学本科学历"</f>
        <v>大学本科学历</v>
      </c>
      <c r="F2117" s="8" t="str">
        <f t="shared" si="1121"/>
        <v>管理学学士</v>
      </c>
      <c r="G2117" s="8" t="str">
        <f aca="true" t="shared" si="1123" ref="G2117:G2122">"会计学"</f>
        <v>会计学</v>
      </c>
      <c r="H2117" s="7" t="s">
        <v>10</v>
      </c>
    </row>
    <row r="2118" spans="1:8" ht="15" customHeight="1">
      <c r="A2118" s="5">
        <v>2116</v>
      </c>
      <c r="B2118" s="8" t="str">
        <f>"陈钰"</f>
        <v>陈钰</v>
      </c>
      <c r="C2118" s="8" t="str">
        <f aca="true" t="shared" si="1124" ref="C2118:C2128">"女"</f>
        <v>女</v>
      </c>
      <c r="D2118" s="8" t="str">
        <f>"1999-05-28"</f>
        <v>1999-05-28</v>
      </c>
      <c r="E2118" s="8" t="str">
        <f t="shared" si="1122"/>
        <v>本科</v>
      </c>
      <c r="F2118" s="8" t="str">
        <f>"学士"</f>
        <v>学士</v>
      </c>
      <c r="G2118" s="8" t="str">
        <f>"财务管理"</f>
        <v>财务管理</v>
      </c>
      <c r="H2118" s="7" t="s">
        <v>10</v>
      </c>
    </row>
    <row r="2119" spans="1:8" ht="15" customHeight="1">
      <c r="A2119" s="5">
        <v>2117</v>
      </c>
      <c r="B2119" s="8" t="str">
        <f>"谢尚洁"</f>
        <v>谢尚洁</v>
      </c>
      <c r="C2119" s="8" t="str">
        <f t="shared" si="1124"/>
        <v>女</v>
      </c>
      <c r="D2119" s="8" t="str">
        <f>"1998-04-01"</f>
        <v>1998-04-01</v>
      </c>
      <c r="E2119" s="8" t="str">
        <f t="shared" si="1122"/>
        <v>本科</v>
      </c>
      <c r="F2119" s="8" t="str">
        <f aca="true" t="shared" si="1125" ref="F2119:F2124">"管理学学士"</f>
        <v>管理学学士</v>
      </c>
      <c r="G2119" s="8" t="str">
        <f t="shared" si="1123"/>
        <v>会计学</v>
      </c>
      <c r="H2119" s="7" t="s">
        <v>10</v>
      </c>
    </row>
    <row r="2120" spans="1:8" ht="15" customHeight="1">
      <c r="A2120" s="5">
        <v>2118</v>
      </c>
      <c r="B2120" s="8" t="str">
        <f>"王嘉欣"</f>
        <v>王嘉欣</v>
      </c>
      <c r="C2120" s="8" t="str">
        <f t="shared" si="1124"/>
        <v>女</v>
      </c>
      <c r="D2120" s="8" t="str">
        <f>"1995-10-01"</f>
        <v>1995-10-01</v>
      </c>
      <c r="E2120" s="8" t="str">
        <f t="shared" si="1122"/>
        <v>本科</v>
      </c>
      <c r="F2120" s="8" t="str">
        <f>"学士学位"</f>
        <v>学士学位</v>
      </c>
      <c r="G2120" s="8" t="str">
        <f>"公共事业管理"</f>
        <v>公共事业管理</v>
      </c>
      <c r="H2120" s="7" t="s">
        <v>10</v>
      </c>
    </row>
    <row r="2121" spans="1:8" ht="15" customHeight="1">
      <c r="A2121" s="5">
        <v>2119</v>
      </c>
      <c r="B2121" s="8" t="str">
        <f>"符红咪"</f>
        <v>符红咪</v>
      </c>
      <c r="C2121" s="8" t="str">
        <f t="shared" si="1124"/>
        <v>女</v>
      </c>
      <c r="D2121" s="8" t="str">
        <f>"1994-10-20"</f>
        <v>1994-10-20</v>
      </c>
      <c r="E2121" s="8" t="str">
        <f t="shared" si="1122"/>
        <v>本科</v>
      </c>
      <c r="F2121" s="8" t="str">
        <f>"管理学位"</f>
        <v>管理学位</v>
      </c>
      <c r="G2121" s="8" t="str">
        <f>"国际旅游管理"</f>
        <v>国际旅游管理</v>
      </c>
      <c r="H2121" s="7" t="s">
        <v>10</v>
      </c>
    </row>
    <row r="2122" spans="1:8" ht="15" customHeight="1">
      <c r="A2122" s="5">
        <v>2120</v>
      </c>
      <c r="B2122" s="8" t="str">
        <f>"曾艺婕"</f>
        <v>曾艺婕</v>
      </c>
      <c r="C2122" s="8" t="str">
        <f t="shared" si="1124"/>
        <v>女</v>
      </c>
      <c r="D2122" s="8" t="str">
        <f>"1997-08-08"</f>
        <v>1997-08-08</v>
      </c>
      <c r="E2122" s="8" t="str">
        <f>"大学本科"</f>
        <v>大学本科</v>
      </c>
      <c r="F2122" s="8" t="str">
        <f t="shared" si="1125"/>
        <v>管理学学士</v>
      </c>
      <c r="G2122" s="8" t="str">
        <f t="shared" si="1123"/>
        <v>会计学</v>
      </c>
      <c r="H2122" s="7" t="s">
        <v>10</v>
      </c>
    </row>
    <row r="2123" spans="1:8" ht="15" customHeight="1">
      <c r="A2123" s="5">
        <v>2121</v>
      </c>
      <c r="B2123" s="8" t="str">
        <f>"古美琴"</f>
        <v>古美琴</v>
      </c>
      <c r="C2123" s="8" t="str">
        <f t="shared" si="1124"/>
        <v>女</v>
      </c>
      <c r="D2123" s="8" t="str">
        <f>"2000-01-12"</f>
        <v>2000-01-12</v>
      </c>
      <c r="E2123" s="8" t="str">
        <f aca="true" t="shared" si="1126" ref="E2123:E2125">"本科"</f>
        <v>本科</v>
      </c>
      <c r="F2123" s="8" t="str">
        <f>"经济学学士"</f>
        <v>经济学学士</v>
      </c>
      <c r="G2123" s="8" t="str">
        <f>"金融学"</f>
        <v>金融学</v>
      </c>
      <c r="H2123" s="7" t="s">
        <v>10</v>
      </c>
    </row>
    <row r="2124" spans="1:8" ht="15" customHeight="1">
      <c r="A2124" s="5">
        <v>2122</v>
      </c>
      <c r="B2124" s="8" t="str">
        <f>"李佳琳"</f>
        <v>李佳琳</v>
      </c>
      <c r="C2124" s="8" t="str">
        <f t="shared" si="1124"/>
        <v>女</v>
      </c>
      <c r="D2124" s="8" t="str">
        <f>"1999-08-26"</f>
        <v>1999-08-26</v>
      </c>
      <c r="E2124" s="8" t="str">
        <f t="shared" si="1126"/>
        <v>本科</v>
      </c>
      <c r="F2124" s="8" t="str">
        <f t="shared" si="1125"/>
        <v>管理学学士</v>
      </c>
      <c r="G2124" s="8" t="str">
        <f>"旅游管理专业"</f>
        <v>旅游管理专业</v>
      </c>
      <c r="H2124" s="7" t="s">
        <v>10</v>
      </c>
    </row>
    <row r="2125" spans="1:8" ht="15" customHeight="1">
      <c r="A2125" s="5">
        <v>2123</v>
      </c>
      <c r="B2125" s="8" t="str">
        <f>"曾石桃"</f>
        <v>曾石桃</v>
      </c>
      <c r="C2125" s="8" t="str">
        <f t="shared" si="1124"/>
        <v>女</v>
      </c>
      <c r="D2125" s="8" t="str">
        <f>"1991-01-12"</f>
        <v>1991-01-12</v>
      </c>
      <c r="E2125" s="8" t="str">
        <f t="shared" si="1126"/>
        <v>本科</v>
      </c>
      <c r="F2125" s="8" t="str">
        <f>"学士"</f>
        <v>学士</v>
      </c>
      <c r="G2125" s="8" t="str">
        <f>"会计学"</f>
        <v>会计学</v>
      </c>
      <c r="H2125" s="7" t="s">
        <v>10</v>
      </c>
    </row>
    <row r="2126" spans="1:8" ht="15" customHeight="1">
      <c r="A2126" s="5">
        <v>2124</v>
      </c>
      <c r="B2126" s="8" t="str">
        <f>"林子琪"</f>
        <v>林子琪</v>
      </c>
      <c r="C2126" s="8" t="str">
        <f t="shared" si="1124"/>
        <v>女</v>
      </c>
      <c r="D2126" s="8" t="str">
        <f>"2000-03-15"</f>
        <v>2000-03-15</v>
      </c>
      <c r="E2126" s="8" t="str">
        <f>"大学本科教育"</f>
        <v>大学本科教育</v>
      </c>
      <c r="F2126" s="8" t="str">
        <f>"经济学学士"</f>
        <v>经济学学士</v>
      </c>
      <c r="G2126" s="8" t="str">
        <f>"金融工程"</f>
        <v>金融工程</v>
      </c>
      <c r="H2126" s="7" t="s">
        <v>10</v>
      </c>
    </row>
    <row r="2127" spans="1:8" ht="15" customHeight="1">
      <c r="A2127" s="5">
        <v>2125</v>
      </c>
      <c r="B2127" s="8" t="str">
        <f>"董贵平"</f>
        <v>董贵平</v>
      </c>
      <c r="C2127" s="8" t="str">
        <f t="shared" si="1124"/>
        <v>女</v>
      </c>
      <c r="D2127" s="8" t="str">
        <f>"1999-03-23"</f>
        <v>1999-03-23</v>
      </c>
      <c r="E2127" s="8" t="str">
        <f aca="true" t="shared" si="1127" ref="E2127:E2130">"本科"</f>
        <v>本科</v>
      </c>
      <c r="F2127" s="8" t="str">
        <f aca="true" t="shared" si="1128" ref="F2127:F2135">"管理学学士"</f>
        <v>管理学学士</v>
      </c>
      <c r="G2127" s="8" t="str">
        <f>"旅游管理"</f>
        <v>旅游管理</v>
      </c>
      <c r="H2127" s="7" t="s">
        <v>10</v>
      </c>
    </row>
    <row r="2128" spans="1:8" ht="15" customHeight="1">
      <c r="A2128" s="5">
        <v>2126</v>
      </c>
      <c r="B2128" s="8" t="str">
        <f>"申昕鹭"</f>
        <v>申昕鹭</v>
      </c>
      <c r="C2128" s="8" t="str">
        <f t="shared" si="1124"/>
        <v>女</v>
      </c>
      <c r="D2128" s="8" t="str">
        <f>"1997-04-26"</f>
        <v>1997-04-26</v>
      </c>
      <c r="E2128" s="8" t="str">
        <f>"研究生"</f>
        <v>研究生</v>
      </c>
      <c r="F2128" s="8" t="str">
        <f>"管理学硕士"</f>
        <v>管理学硕士</v>
      </c>
      <c r="G2128" s="8" t="str">
        <f>"管理学"</f>
        <v>管理学</v>
      </c>
      <c r="H2128" s="7" t="s">
        <v>10</v>
      </c>
    </row>
    <row r="2129" spans="1:8" ht="15" customHeight="1">
      <c r="A2129" s="5">
        <v>2127</v>
      </c>
      <c r="B2129" s="8" t="str">
        <f>"罗丁龙"</f>
        <v>罗丁龙</v>
      </c>
      <c r="C2129" s="8" t="str">
        <f aca="true" t="shared" si="1129" ref="C2129:C2134">"男"</f>
        <v>男</v>
      </c>
      <c r="D2129" s="8" t="str">
        <f>"1999-10-03"</f>
        <v>1999-10-03</v>
      </c>
      <c r="E2129" s="8" t="str">
        <f t="shared" si="1127"/>
        <v>本科</v>
      </c>
      <c r="F2129" s="8" t="str">
        <f t="shared" si="1128"/>
        <v>管理学学士</v>
      </c>
      <c r="G2129" s="8" t="str">
        <f>"旅游管理"</f>
        <v>旅游管理</v>
      </c>
      <c r="H2129" s="7" t="s">
        <v>10</v>
      </c>
    </row>
    <row r="2130" spans="1:8" ht="15" customHeight="1">
      <c r="A2130" s="5">
        <v>2128</v>
      </c>
      <c r="B2130" s="8" t="str">
        <f>"李文珍"</f>
        <v>李文珍</v>
      </c>
      <c r="C2130" s="8" t="str">
        <f aca="true" t="shared" si="1130" ref="C2130:C2133">"女"</f>
        <v>女</v>
      </c>
      <c r="D2130" s="8" t="str">
        <f>"1999-10-29"</f>
        <v>1999-10-29</v>
      </c>
      <c r="E2130" s="8" t="str">
        <f t="shared" si="1127"/>
        <v>本科</v>
      </c>
      <c r="F2130" s="8" t="str">
        <f>"学士"</f>
        <v>学士</v>
      </c>
      <c r="G2130" s="8" t="str">
        <f>"金融"</f>
        <v>金融</v>
      </c>
      <c r="H2130" s="7" t="s">
        <v>10</v>
      </c>
    </row>
    <row r="2131" spans="1:8" ht="15" customHeight="1">
      <c r="A2131" s="5">
        <v>2129</v>
      </c>
      <c r="B2131" s="8" t="str">
        <f>"符科登"</f>
        <v>符科登</v>
      </c>
      <c r="C2131" s="8" t="str">
        <f t="shared" si="1129"/>
        <v>男</v>
      </c>
      <c r="D2131" s="8" t="str">
        <f>"1998-07-12"</f>
        <v>1998-07-12</v>
      </c>
      <c r="E2131" s="8" t="str">
        <f>"大学本科学历"</f>
        <v>大学本科学历</v>
      </c>
      <c r="F2131" s="8" t="str">
        <f t="shared" si="1128"/>
        <v>管理学学士</v>
      </c>
      <c r="G2131" s="8" t="str">
        <f>"工商管理"</f>
        <v>工商管理</v>
      </c>
      <c r="H2131" s="7" t="s">
        <v>10</v>
      </c>
    </row>
    <row r="2132" spans="1:8" ht="15" customHeight="1">
      <c r="A2132" s="5">
        <v>2130</v>
      </c>
      <c r="B2132" s="8" t="str">
        <f>"林玉婷"</f>
        <v>林玉婷</v>
      </c>
      <c r="C2132" s="8" t="str">
        <f t="shared" si="1130"/>
        <v>女</v>
      </c>
      <c r="D2132" s="8" t="str">
        <f>"1996-06-16"</f>
        <v>1996-06-16</v>
      </c>
      <c r="E2132" s="8" t="str">
        <f aca="true" t="shared" si="1131" ref="E2132:E2137">"本科"</f>
        <v>本科</v>
      </c>
      <c r="F2132" s="8" t="str">
        <f t="shared" si="1128"/>
        <v>管理学学士</v>
      </c>
      <c r="G2132" s="8" t="str">
        <f>"信息管理与信息系统"</f>
        <v>信息管理与信息系统</v>
      </c>
      <c r="H2132" s="7" t="s">
        <v>10</v>
      </c>
    </row>
    <row r="2133" spans="1:8" ht="15" customHeight="1">
      <c r="A2133" s="5">
        <v>2131</v>
      </c>
      <c r="B2133" s="8" t="str">
        <f>"杜小春"</f>
        <v>杜小春</v>
      </c>
      <c r="C2133" s="8" t="str">
        <f t="shared" si="1130"/>
        <v>女</v>
      </c>
      <c r="D2133" s="8" t="str">
        <f>"1999-06-25"</f>
        <v>1999-06-25</v>
      </c>
      <c r="E2133" s="8" t="str">
        <f>"全日制大学本科"</f>
        <v>全日制大学本科</v>
      </c>
      <c r="F2133" s="8" t="str">
        <f t="shared" si="1128"/>
        <v>管理学学士</v>
      </c>
      <c r="G2133" s="8" t="str">
        <f>"电子商务"</f>
        <v>电子商务</v>
      </c>
      <c r="H2133" s="7" t="s">
        <v>10</v>
      </c>
    </row>
    <row r="2134" spans="1:8" ht="15" customHeight="1">
      <c r="A2134" s="5">
        <v>2132</v>
      </c>
      <c r="B2134" s="8" t="str">
        <f>"吴俊"</f>
        <v>吴俊</v>
      </c>
      <c r="C2134" s="8" t="str">
        <f t="shared" si="1129"/>
        <v>男</v>
      </c>
      <c r="D2134" s="8" t="str">
        <f>"1997-09-27"</f>
        <v>1997-09-27</v>
      </c>
      <c r="E2134" s="8" t="str">
        <f t="shared" si="1131"/>
        <v>本科</v>
      </c>
      <c r="F2134" s="8" t="str">
        <f t="shared" si="1128"/>
        <v>管理学学士</v>
      </c>
      <c r="G2134" s="8" t="str">
        <f>"信息管理与信息系统"</f>
        <v>信息管理与信息系统</v>
      </c>
      <c r="H2134" s="7" t="s">
        <v>10</v>
      </c>
    </row>
    <row r="2135" spans="1:8" ht="15" customHeight="1">
      <c r="A2135" s="5">
        <v>2133</v>
      </c>
      <c r="B2135" s="8" t="str">
        <f>"郑宇颖"</f>
        <v>郑宇颖</v>
      </c>
      <c r="C2135" s="8" t="str">
        <f aca="true" t="shared" si="1132" ref="C2135:C2143">"女"</f>
        <v>女</v>
      </c>
      <c r="D2135" s="8" t="str">
        <f>"2001-05-16"</f>
        <v>2001-05-16</v>
      </c>
      <c r="E2135" s="8" t="str">
        <f t="shared" si="1131"/>
        <v>本科</v>
      </c>
      <c r="F2135" s="8" t="str">
        <f t="shared" si="1128"/>
        <v>管理学学士</v>
      </c>
      <c r="G2135" s="8" t="str">
        <f>"旅游管理"</f>
        <v>旅游管理</v>
      </c>
      <c r="H2135" s="7" t="s">
        <v>10</v>
      </c>
    </row>
    <row r="2136" spans="1:8" ht="15" customHeight="1">
      <c r="A2136" s="5">
        <v>2134</v>
      </c>
      <c r="B2136" s="8" t="str">
        <f>"方"</f>
        <v>方</v>
      </c>
      <c r="C2136" s="8" t="str">
        <f t="shared" si="1132"/>
        <v>女</v>
      </c>
      <c r="D2136" s="8" t="str">
        <f>"1997-09-15"</f>
        <v>1997-09-15</v>
      </c>
      <c r="E2136" s="8" t="str">
        <f t="shared" si="1131"/>
        <v>本科</v>
      </c>
      <c r="F2136" s="8" t="str">
        <f>"学士"</f>
        <v>学士</v>
      </c>
      <c r="G2136" s="8" t="str">
        <f>"人力资源管理"</f>
        <v>人力资源管理</v>
      </c>
      <c r="H2136" s="7" t="s">
        <v>10</v>
      </c>
    </row>
    <row r="2137" spans="1:8" ht="15" customHeight="1">
      <c r="A2137" s="5">
        <v>2135</v>
      </c>
      <c r="B2137" s="8" t="str">
        <f>"王朝"</f>
        <v>王朝</v>
      </c>
      <c r="C2137" s="8" t="str">
        <f t="shared" si="1132"/>
        <v>女</v>
      </c>
      <c r="D2137" s="8" t="str">
        <f>"1999-02-07"</f>
        <v>1999-02-07</v>
      </c>
      <c r="E2137" s="8" t="str">
        <f t="shared" si="1131"/>
        <v>本科</v>
      </c>
      <c r="F2137" s="8" t="str">
        <f aca="true" t="shared" si="1133" ref="F2137:F2143">"管理学学士"</f>
        <v>管理学学士</v>
      </c>
      <c r="G2137" s="8" t="str">
        <f>"会计学"</f>
        <v>会计学</v>
      </c>
      <c r="H2137" s="7" t="s">
        <v>10</v>
      </c>
    </row>
    <row r="2138" spans="1:8" ht="15" customHeight="1">
      <c r="A2138" s="5">
        <v>2136</v>
      </c>
      <c r="B2138" s="8" t="str">
        <f>"杨元蕾"</f>
        <v>杨元蕾</v>
      </c>
      <c r="C2138" s="8" t="str">
        <f t="shared" si="1132"/>
        <v>女</v>
      </c>
      <c r="D2138" s="8" t="str">
        <f>"2001-12-16"</f>
        <v>2001-12-16</v>
      </c>
      <c r="E2138" s="8" t="str">
        <f>"本科（23届应届生）"</f>
        <v>本科（23届应届生）</v>
      </c>
      <c r="F2138" s="8" t="str">
        <f>"管理学学士（23届应届生）"</f>
        <v>管理学学士（23届应届生）</v>
      </c>
      <c r="G2138" s="8" t="str">
        <f>"会计学"</f>
        <v>会计学</v>
      </c>
      <c r="H2138" s="7" t="s">
        <v>10</v>
      </c>
    </row>
    <row r="2139" spans="1:8" ht="15" customHeight="1">
      <c r="A2139" s="5">
        <v>2137</v>
      </c>
      <c r="B2139" s="8" t="str">
        <f>"罗晨霞"</f>
        <v>罗晨霞</v>
      </c>
      <c r="C2139" s="8" t="str">
        <f t="shared" si="1132"/>
        <v>女</v>
      </c>
      <c r="D2139" s="8" t="str">
        <f>"2000-11-08"</f>
        <v>2000-11-08</v>
      </c>
      <c r="E2139" s="8" t="str">
        <f>"大学本科学历"</f>
        <v>大学本科学历</v>
      </c>
      <c r="F2139" s="8" t="str">
        <f t="shared" si="1133"/>
        <v>管理学学士</v>
      </c>
      <c r="G2139" s="8" t="str">
        <f>"物流管理"</f>
        <v>物流管理</v>
      </c>
      <c r="H2139" s="7" t="s">
        <v>10</v>
      </c>
    </row>
    <row r="2140" spans="1:8" ht="15" customHeight="1">
      <c r="A2140" s="5">
        <v>2138</v>
      </c>
      <c r="B2140" s="8" t="str">
        <f>"陈章慧"</f>
        <v>陈章慧</v>
      </c>
      <c r="C2140" s="8" t="str">
        <f t="shared" si="1132"/>
        <v>女</v>
      </c>
      <c r="D2140" s="8" t="str">
        <f>"1996-02-23"</f>
        <v>1996-02-23</v>
      </c>
      <c r="E2140" s="8" t="str">
        <f aca="true" t="shared" si="1134" ref="E2140:E2142">"本科"</f>
        <v>本科</v>
      </c>
      <c r="F2140" s="8" t="str">
        <f>"学士学位"</f>
        <v>学士学位</v>
      </c>
      <c r="G2140" s="8" t="str">
        <f>"财务管理"</f>
        <v>财务管理</v>
      </c>
      <c r="H2140" s="7" t="s">
        <v>10</v>
      </c>
    </row>
    <row r="2141" spans="1:8" ht="15" customHeight="1">
      <c r="A2141" s="5">
        <v>2139</v>
      </c>
      <c r="B2141" s="8" t="str">
        <f>"杨欣怡"</f>
        <v>杨欣怡</v>
      </c>
      <c r="C2141" s="8" t="str">
        <f t="shared" si="1132"/>
        <v>女</v>
      </c>
      <c r="D2141" s="8" t="str">
        <f>"1997-03-26"</f>
        <v>1997-03-26</v>
      </c>
      <c r="E2141" s="8" t="str">
        <f t="shared" si="1134"/>
        <v>本科</v>
      </c>
      <c r="F2141" s="8" t="str">
        <f t="shared" si="1133"/>
        <v>管理学学士</v>
      </c>
      <c r="G2141" s="8" t="str">
        <f>"财务管理"</f>
        <v>财务管理</v>
      </c>
      <c r="H2141" s="7" t="s">
        <v>10</v>
      </c>
    </row>
    <row r="2142" spans="1:8" ht="15" customHeight="1">
      <c r="A2142" s="5">
        <v>2140</v>
      </c>
      <c r="B2142" s="8" t="str">
        <f>"胡妙玲"</f>
        <v>胡妙玲</v>
      </c>
      <c r="C2142" s="8" t="str">
        <f t="shared" si="1132"/>
        <v>女</v>
      </c>
      <c r="D2142" s="8" t="str">
        <f>"1999-04-26"</f>
        <v>1999-04-26</v>
      </c>
      <c r="E2142" s="8" t="str">
        <f t="shared" si="1134"/>
        <v>本科</v>
      </c>
      <c r="F2142" s="8" t="str">
        <f t="shared" si="1133"/>
        <v>管理学学士</v>
      </c>
      <c r="G2142" s="8" t="str">
        <f>"城市管理"</f>
        <v>城市管理</v>
      </c>
      <c r="H2142" s="7" t="s">
        <v>10</v>
      </c>
    </row>
    <row r="2143" spans="1:8" ht="15" customHeight="1">
      <c r="A2143" s="5">
        <v>2141</v>
      </c>
      <c r="B2143" s="8" t="str">
        <f>"许敏"</f>
        <v>许敏</v>
      </c>
      <c r="C2143" s="8" t="str">
        <f t="shared" si="1132"/>
        <v>女</v>
      </c>
      <c r="D2143" s="8" t="str">
        <f>"1998-04-17"</f>
        <v>1998-04-17</v>
      </c>
      <c r="E2143" s="8" t="str">
        <f>"大学本科学历"</f>
        <v>大学本科学历</v>
      </c>
      <c r="F2143" s="8" t="str">
        <f t="shared" si="1133"/>
        <v>管理学学士</v>
      </c>
      <c r="G2143" s="8" t="str">
        <f>"会计学"</f>
        <v>会计学</v>
      </c>
      <c r="H2143" s="7" t="s">
        <v>10</v>
      </c>
    </row>
    <row r="2144" spans="1:8" ht="15" customHeight="1">
      <c r="A2144" s="5">
        <v>2142</v>
      </c>
      <c r="B2144" s="8" t="str">
        <f>"黄炫"</f>
        <v>黄炫</v>
      </c>
      <c r="C2144" s="8" t="str">
        <f>"男"</f>
        <v>男</v>
      </c>
      <c r="D2144" s="8" t="str">
        <f>"1997-07-08"</f>
        <v>1997-07-08</v>
      </c>
      <c r="E2144" s="8" t="str">
        <f aca="true" t="shared" si="1135" ref="E2144:E2148">"本科"</f>
        <v>本科</v>
      </c>
      <c r="F2144" s="8" t="str">
        <f>"理学学士学位"</f>
        <v>理学学士学位</v>
      </c>
      <c r="G2144" s="8" t="str">
        <f>"信息与计算科学"</f>
        <v>信息与计算科学</v>
      </c>
      <c r="H2144" s="7" t="s">
        <v>10</v>
      </c>
    </row>
    <row r="2145" spans="1:8" ht="15" customHeight="1">
      <c r="A2145" s="5">
        <v>2143</v>
      </c>
      <c r="B2145" s="8" t="str">
        <f>"张代凯"</f>
        <v>张代凯</v>
      </c>
      <c r="C2145" s="8" t="str">
        <f>"男"</f>
        <v>男</v>
      </c>
      <c r="D2145" s="8" t="str">
        <f>"1992-07-27"</f>
        <v>1992-07-27</v>
      </c>
      <c r="E2145" s="8" t="str">
        <f t="shared" si="1135"/>
        <v>本科</v>
      </c>
      <c r="F2145" s="8" t="str">
        <f aca="true" t="shared" si="1136" ref="F2145:F2150">"管理学学士"</f>
        <v>管理学学士</v>
      </c>
      <c r="G2145" s="8" t="str">
        <f>"行政管理"</f>
        <v>行政管理</v>
      </c>
      <c r="H2145" s="7" t="s">
        <v>10</v>
      </c>
    </row>
    <row r="2146" spans="1:8" ht="15" customHeight="1">
      <c r="A2146" s="5">
        <v>2144</v>
      </c>
      <c r="B2146" s="8" t="str">
        <f>"董国棠"</f>
        <v>董国棠</v>
      </c>
      <c r="C2146" s="8" t="str">
        <f aca="true" t="shared" si="1137" ref="C2146:C2150">"女"</f>
        <v>女</v>
      </c>
      <c r="D2146" s="8" t="str">
        <f>"1998-09-05"</f>
        <v>1998-09-05</v>
      </c>
      <c r="E2146" s="8" t="str">
        <f t="shared" si="1135"/>
        <v>本科</v>
      </c>
      <c r="F2146" s="8" t="str">
        <f>"学士"</f>
        <v>学士</v>
      </c>
      <c r="G2146" s="8" t="str">
        <f>"旅游管理"</f>
        <v>旅游管理</v>
      </c>
      <c r="H2146" s="7" t="s">
        <v>10</v>
      </c>
    </row>
    <row r="2147" spans="1:8" ht="15" customHeight="1">
      <c r="A2147" s="5">
        <v>2145</v>
      </c>
      <c r="B2147" s="8" t="str">
        <f>"万嘉馨"</f>
        <v>万嘉馨</v>
      </c>
      <c r="C2147" s="8" t="str">
        <f t="shared" si="1137"/>
        <v>女</v>
      </c>
      <c r="D2147" s="8" t="str">
        <f>"2000-11-01"</f>
        <v>2000-11-01</v>
      </c>
      <c r="E2147" s="8" t="str">
        <f t="shared" si="1135"/>
        <v>本科</v>
      </c>
      <c r="F2147" s="8" t="str">
        <f t="shared" si="1136"/>
        <v>管理学学士</v>
      </c>
      <c r="G2147" s="8" t="str">
        <f>"财务管理"</f>
        <v>财务管理</v>
      </c>
      <c r="H2147" s="7" t="s">
        <v>10</v>
      </c>
    </row>
    <row r="2148" spans="1:8" ht="15" customHeight="1">
      <c r="A2148" s="5">
        <v>2146</v>
      </c>
      <c r="B2148" s="8" t="str">
        <f>"马琪"</f>
        <v>马琪</v>
      </c>
      <c r="C2148" s="8" t="str">
        <f t="shared" si="1137"/>
        <v>女</v>
      </c>
      <c r="D2148" s="8" t="str">
        <f>"2000-04-09"</f>
        <v>2000-04-09</v>
      </c>
      <c r="E2148" s="8" t="str">
        <f t="shared" si="1135"/>
        <v>本科</v>
      </c>
      <c r="F2148" s="8" t="str">
        <f>"公共管理学学士"</f>
        <v>公共管理学学士</v>
      </c>
      <c r="G2148" s="8" t="str">
        <f>"公共事业管理"</f>
        <v>公共事业管理</v>
      </c>
      <c r="H2148" s="7" t="s">
        <v>10</v>
      </c>
    </row>
    <row r="2149" spans="1:8" ht="15" customHeight="1">
      <c r="A2149" s="5">
        <v>2147</v>
      </c>
      <c r="B2149" s="8" t="str">
        <f>"韦子寒"</f>
        <v>韦子寒</v>
      </c>
      <c r="C2149" s="8" t="str">
        <f t="shared" si="1137"/>
        <v>女</v>
      </c>
      <c r="D2149" s="8" t="str">
        <f>"1998-02-02"</f>
        <v>1998-02-02</v>
      </c>
      <c r="E2149" s="8" t="str">
        <f aca="true" t="shared" si="1138" ref="E2149:E2153">"大学本科"</f>
        <v>大学本科</v>
      </c>
      <c r="F2149" s="8" t="str">
        <f>"农学学士"</f>
        <v>农学学士</v>
      </c>
      <c r="G2149" s="8" t="str">
        <f>"动物医学"</f>
        <v>动物医学</v>
      </c>
      <c r="H2149" s="7" t="s">
        <v>10</v>
      </c>
    </row>
    <row r="2150" spans="1:8" ht="15" customHeight="1">
      <c r="A2150" s="5">
        <v>2148</v>
      </c>
      <c r="B2150" s="8" t="str">
        <f>"陈泽凤"</f>
        <v>陈泽凤</v>
      </c>
      <c r="C2150" s="8" t="str">
        <f t="shared" si="1137"/>
        <v>女</v>
      </c>
      <c r="D2150" s="8" t="str">
        <f>"1999-09-15"</f>
        <v>1999-09-15</v>
      </c>
      <c r="E2150" s="8" t="str">
        <f t="shared" si="1138"/>
        <v>大学本科</v>
      </c>
      <c r="F2150" s="8" t="str">
        <f t="shared" si="1136"/>
        <v>管理学学士</v>
      </c>
      <c r="G2150" s="8" t="str">
        <f aca="true" t="shared" si="1139" ref="G2150:G2152">"行政管理"</f>
        <v>行政管理</v>
      </c>
      <c r="H2150" s="7" t="s">
        <v>10</v>
      </c>
    </row>
    <row r="2151" spans="1:8" ht="15" customHeight="1">
      <c r="A2151" s="5">
        <v>2149</v>
      </c>
      <c r="B2151" s="8" t="str">
        <f>"邹阿强"</f>
        <v>邹阿强</v>
      </c>
      <c r="C2151" s="8" t="str">
        <f>"男"</f>
        <v>男</v>
      </c>
      <c r="D2151" s="8" t="str">
        <f>"1990-07-04"</f>
        <v>1990-07-04</v>
      </c>
      <c r="E2151" s="8" t="str">
        <f aca="true" t="shared" si="1140" ref="E2151:E2154">"本科"</f>
        <v>本科</v>
      </c>
      <c r="F2151" s="8" t="str">
        <f>"管理学士"</f>
        <v>管理学士</v>
      </c>
      <c r="G2151" s="8" t="str">
        <f t="shared" si="1139"/>
        <v>行政管理</v>
      </c>
      <c r="H2151" s="7" t="s">
        <v>10</v>
      </c>
    </row>
    <row r="2152" spans="1:8" ht="15" customHeight="1">
      <c r="A2152" s="5">
        <v>2150</v>
      </c>
      <c r="B2152" s="8" t="str">
        <f>"朱树华"</f>
        <v>朱树华</v>
      </c>
      <c r="C2152" s="8" t="str">
        <f>"男"</f>
        <v>男</v>
      </c>
      <c r="D2152" s="8" t="str">
        <f>"1992-12-25"</f>
        <v>1992-12-25</v>
      </c>
      <c r="E2152" s="8" t="str">
        <f t="shared" si="1140"/>
        <v>本科</v>
      </c>
      <c r="F2152" s="8" t="str">
        <f>"管理学学位"</f>
        <v>管理学学位</v>
      </c>
      <c r="G2152" s="8" t="str">
        <f t="shared" si="1139"/>
        <v>行政管理</v>
      </c>
      <c r="H2152" s="7" t="s">
        <v>10</v>
      </c>
    </row>
    <row r="2153" spans="1:8" ht="15" customHeight="1">
      <c r="A2153" s="5">
        <v>2151</v>
      </c>
      <c r="B2153" s="8" t="str">
        <f>"代井丽"</f>
        <v>代井丽</v>
      </c>
      <c r="C2153" s="8" t="str">
        <f aca="true" t="shared" si="1141" ref="C2153:C2156">"女"</f>
        <v>女</v>
      </c>
      <c r="D2153" s="8" t="str">
        <f>"1995-04-08"</f>
        <v>1995-04-08</v>
      </c>
      <c r="E2153" s="8" t="str">
        <f t="shared" si="1138"/>
        <v>大学本科</v>
      </c>
      <c r="F2153" s="8" t="str">
        <f aca="true" t="shared" si="1142" ref="F2153:F2157">"管理学学士"</f>
        <v>管理学学士</v>
      </c>
      <c r="G2153" s="8" t="str">
        <f>"会计学"</f>
        <v>会计学</v>
      </c>
      <c r="H2153" s="7" t="s">
        <v>10</v>
      </c>
    </row>
    <row r="2154" spans="1:8" ht="15" customHeight="1">
      <c r="A2154" s="5">
        <v>2152</v>
      </c>
      <c r="B2154" s="8" t="str">
        <f>"陈丽虹"</f>
        <v>陈丽虹</v>
      </c>
      <c r="C2154" s="8" t="str">
        <f t="shared" si="1141"/>
        <v>女</v>
      </c>
      <c r="D2154" s="8" t="str">
        <f>"1997-08-22"</f>
        <v>1997-08-22</v>
      </c>
      <c r="E2154" s="8" t="str">
        <f t="shared" si="1140"/>
        <v>本科</v>
      </c>
      <c r="F2154" s="8" t="str">
        <f>"经济学学士"</f>
        <v>经济学学士</v>
      </c>
      <c r="G2154" s="8" t="str">
        <f>"金融学"</f>
        <v>金融学</v>
      </c>
      <c r="H2154" s="7" t="s">
        <v>10</v>
      </c>
    </row>
    <row r="2155" spans="1:8" ht="15" customHeight="1">
      <c r="A2155" s="5">
        <v>2153</v>
      </c>
      <c r="B2155" s="8" t="str">
        <f>"文晓"</f>
        <v>文晓</v>
      </c>
      <c r="C2155" s="8" t="str">
        <f t="shared" si="1141"/>
        <v>女</v>
      </c>
      <c r="D2155" s="8" t="str">
        <f>"1995-04-06"</f>
        <v>1995-04-06</v>
      </c>
      <c r="E2155" s="8" t="str">
        <f>"大学本科学历"</f>
        <v>大学本科学历</v>
      </c>
      <c r="F2155" s="8" t="str">
        <f t="shared" si="1142"/>
        <v>管理学学士</v>
      </c>
      <c r="G2155" s="8" t="str">
        <f>"劳动与社会保障"</f>
        <v>劳动与社会保障</v>
      </c>
      <c r="H2155" s="7" t="s">
        <v>10</v>
      </c>
    </row>
    <row r="2156" spans="1:8" ht="15" customHeight="1">
      <c r="A2156" s="5">
        <v>2154</v>
      </c>
      <c r="B2156" s="8" t="str">
        <f>"陈玲玲"</f>
        <v>陈玲玲</v>
      </c>
      <c r="C2156" s="8" t="str">
        <f t="shared" si="1141"/>
        <v>女</v>
      </c>
      <c r="D2156" s="8" t="str">
        <f>"1998-09-13"</f>
        <v>1998-09-13</v>
      </c>
      <c r="E2156" s="8" t="str">
        <f aca="true" t="shared" si="1143" ref="E2156:E2165">"本科"</f>
        <v>本科</v>
      </c>
      <c r="F2156" s="8" t="str">
        <f t="shared" si="1142"/>
        <v>管理学学士</v>
      </c>
      <c r="G2156" s="8" t="str">
        <f>"信息管理与信息系统"</f>
        <v>信息管理与信息系统</v>
      </c>
      <c r="H2156" s="7" t="s">
        <v>10</v>
      </c>
    </row>
    <row r="2157" spans="1:8" ht="15" customHeight="1">
      <c r="A2157" s="5">
        <v>2155</v>
      </c>
      <c r="B2157" s="8" t="str">
        <f>"李瑄"</f>
        <v>李瑄</v>
      </c>
      <c r="C2157" s="8" t="str">
        <f aca="true" t="shared" si="1144" ref="C2157:C2160">"男"</f>
        <v>男</v>
      </c>
      <c r="D2157" s="8" t="str">
        <f>"1994-07-06"</f>
        <v>1994-07-06</v>
      </c>
      <c r="E2157" s="8" t="str">
        <f>"大学本科"</f>
        <v>大学本科</v>
      </c>
      <c r="F2157" s="8" t="str">
        <f t="shared" si="1142"/>
        <v>管理学学士</v>
      </c>
      <c r="G2157" s="8" t="str">
        <f>"旅游管理"</f>
        <v>旅游管理</v>
      </c>
      <c r="H2157" s="7" t="s">
        <v>10</v>
      </c>
    </row>
    <row r="2158" spans="1:8" ht="15" customHeight="1">
      <c r="A2158" s="5">
        <v>2156</v>
      </c>
      <c r="B2158" s="8" t="str">
        <f>"裴珏"</f>
        <v>裴珏</v>
      </c>
      <c r="C2158" s="8" t="str">
        <f>"女"</f>
        <v>女</v>
      </c>
      <c r="D2158" s="8" t="str">
        <f>"1990-01-27"</f>
        <v>1990-01-27</v>
      </c>
      <c r="E2158" s="8" t="str">
        <f t="shared" si="1143"/>
        <v>本科</v>
      </c>
      <c r="F2158" s="8" t="str">
        <f>"学士"</f>
        <v>学士</v>
      </c>
      <c r="G2158" s="8" t="str">
        <f>"公共事业管理"</f>
        <v>公共事业管理</v>
      </c>
      <c r="H2158" s="7" t="s">
        <v>10</v>
      </c>
    </row>
    <row r="2159" spans="1:8" ht="15" customHeight="1">
      <c r="A2159" s="5">
        <v>2157</v>
      </c>
      <c r="B2159" s="8" t="str">
        <f>"吴奇泓"</f>
        <v>吴奇泓</v>
      </c>
      <c r="C2159" s="8" t="str">
        <f t="shared" si="1144"/>
        <v>男</v>
      </c>
      <c r="D2159" s="8" t="str">
        <f>"2001-05-15"</f>
        <v>2001-05-15</v>
      </c>
      <c r="E2159" s="8" t="str">
        <f>"大学本科"</f>
        <v>大学本科</v>
      </c>
      <c r="F2159" s="8" t="str">
        <f aca="true" t="shared" si="1145" ref="F2159:F2162">"管理学学士"</f>
        <v>管理学学士</v>
      </c>
      <c r="G2159" s="8" t="str">
        <f>"旅游管理（中奥合办）"</f>
        <v>旅游管理（中奥合办）</v>
      </c>
      <c r="H2159" s="7" t="s">
        <v>10</v>
      </c>
    </row>
    <row r="2160" spans="1:8" ht="15" customHeight="1">
      <c r="A2160" s="5">
        <v>2158</v>
      </c>
      <c r="B2160" s="8" t="str">
        <f>"邓介"</f>
        <v>邓介</v>
      </c>
      <c r="C2160" s="8" t="str">
        <f t="shared" si="1144"/>
        <v>男</v>
      </c>
      <c r="D2160" s="8" t="str">
        <f>"2000-05-27"</f>
        <v>2000-05-27</v>
      </c>
      <c r="E2160" s="8" t="str">
        <f>"大学本科学历"</f>
        <v>大学本科学历</v>
      </c>
      <c r="F2160" s="8" t="str">
        <f>"工学学士、管理学学士"</f>
        <v>工学学士、管理学学士</v>
      </c>
      <c r="G2160" s="8" t="str">
        <f>"机械设计制造及其自动化/财务管理双学位"</f>
        <v>机械设计制造及其自动化/财务管理双学位</v>
      </c>
      <c r="H2160" s="7" t="s">
        <v>10</v>
      </c>
    </row>
    <row r="2161" spans="1:8" ht="15" customHeight="1">
      <c r="A2161" s="5">
        <v>2159</v>
      </c>
      <c r="B2161" s="8" t="str">
        <f>"王小妹"</f>
        <v>王小妹</v>
      </c>
      <c r="C2161" s="8" t="str">
        <f aca="true" t="shared" si="1146" ref="C2161:C2169">"女"</f>
        <v>女</v>
      </c>
      <c r="D2161" s="8" t="str">
        <f>"1998-08-20"</f>
        <v>1998-08-20</v>
      </c>
      <c r="E2161" s="8" t="str">
        <f t="shared" si="1143"/>
        <v>本科</v>
      </c>
      <c r="F2161" s="8" t="str">
        <f t="shared" si="1145"/>
        <v>管理学学士</v>
      </c>
      <c r="G2161" s="8" t="str">
        <f>"会计学"</f>
        <v>会计学</v>
      </c>
      <c r="H2161" s="7" t="s">
        <v>10</v>
      </c>
    </row>
    <row r="2162" spans="1:8" ht="15" customHeight="1">
      <c r="A2162" s="5">
        <v>2160</v>
      </c>
      <c r="B2162" s="8" t="str">
        <f>"陈焕炽"</f>
        <v>陈焕炽</v>
      </c>
      <c r="C2162" s="8" t="str">
        <f aca="true" t="shared" si="1147" ref="C2162:C2165">"男"</f>
        <v>男</v>
      </c>
      <c r="D2162" s="8" t="str">
        <f>"1992-09-08"</f>
        <v>1992-09-08</v>
      </c>
      <c r="E2162" s="8" t="str">
        <f t="shared" si="1143"/>
        <v>本科</v>
      </c>
      <c r="F2162" s="8" t="str">
        <f t="shared" si="1145"/>
        <v>管理学学士</v>
      </c>
      <c r="G2162" s="8" t="str">
        <f>"旅游管理"</f>
        <v>旅游管理</v>
      </c>
      <c r="H2162" s="7" t="s">
        <v>10</v>
      </c>
    </row>
    <row r="2163" spans="1:8" ht="15" customHeight="1">
      <c r="A2163" s="5">
        <v>2161</v>
      </c>
      <c r="B2163" s="8" t="str">
        <f>"吴相龙"</f>
        <v>吴相龙</v>
      </c>
      <c r="C2163" s="8" t="str">
        <f t="shared" si="1147"/>
        <v>男</v>
      </c>
      <c r="D2163" s="8" t="str">
        <f>"2001-06-21"</f>
        <v>2001-06-21</v>
      </c>
      <c r="E2163" s="8" t="str">
        <f t="shared" si="1143"/>
        <v>本科</v>
      </c>
      <c r="F2163" s="8" t="str">
        <f>"经济学学士"</f>
        <v>经济学学士</v>
      </c>
      <c r="G2163" s="8" t="str">
        <f>"国际经济与贸易"</f>
        <v>国际经济与贸易</v>
      </c>
      <c r="H2163" s="7" t="s">
        <v>10</v>
      </c>
    </row>
    <row r="2164" spans="1:8" ht="15" customHeight="1">
      <c r="A2164" s="5">
        <v>2162</v>
      </c>
      <c r="B2164" s="8" t="str">
        <f>"叶欣欣"</f>
        <v>叶欣欣</v>
      </c>
      <c r="C2164" s="8" t="str">
        <f t="shared" si="1146"/>
        <v>女</v>
      </c>
      <c r="D2164" s="8" t="str">
        <f>"1999-08-15"</f>
        <v>1999-08-15</v>
      </c>
      <c r="E2164" s="8" t="str">
        <f t="shared" si="1143"/>
        <v>本科</v>
      </c>
      <c r="F2164" s="8" t="str">
        <f aca="true" t="shared" si="1148" ref="F2164:F2166">"管理学学士"</f>
        <v>管理学学士</v>
      </c>
      <c r="G2164" s="8" t="str">
        <f>"人力资源管理"</f>
        <v>人力资源管理</v>
      </c>
      <c r="H2164" s="7" t="s">
        <v>10</v>
      </c>
    </row>
    <row r="2165" spans="1:8" ht="15" customHeight="1">
      <c r="A2165" s="5">
        <v>2163</v>
      </c>
      <c r="B2165" s="8" t="str">
        <f>"吴祥龙"</f>
        <v>吴祥龙</v>
      </c>
      <c r="C2165" s="8" t="str">
        <f t="shared" si="1147"/>
        <v>男</v>
      </c>
      <c r="D2165" s="8" t="str">
        <f>"1993-09-11"</f>
        <v>1993-09-11</v>
      </c>
      <c r="E2165" s="8" t="str">
        <f t="shared" si="1143"/>
        <v>本科</v>
      </c>
      <c r="F2165" s="8" t="str">
        <f t="shared" si="1148"/>
        <v>管理学学士</v>
      </c>
      <c r="G2165" s="8" t="str">
        <f>"市场营销"</f>
        <v>市场营销</v>
      </c>
      <c r="H2165" s="7" t="s">
        <v>10</v>
      </c>
    </row>
    <row r="2166" spans="1:8" ht="15" customHeight="1">
      <c r="A2166" s="5">
        <v>2164</v>
      </c>
      <c r="B2166" s="8" t="str">
        <f>"韦冰"</f>
        <v>韦冰</v>
      </c>
      <c r="C2166" s="8" t="str">
        <f t="shared" si="1146"/>
        <v>女</v>
      </c>
      <c r="D2166" s="8" t="str">
        <f>"1992-08-12"</f>
        <v>1992-08-12</v>
      </c>
      <c r="E2166" s="8" t="str">
        <f>"全日制本科"</f>
        <v>全日制本科</v>
      </c>
      <c r="F2166" s="8" t="str">
        <f t="shared" si="1148"/>
        <v>管理学学士</v>
      </c>
      <c r="G2166" s="8" t="str">
        <f>"工商管理"</f>
        <v>工商管理</v>
      </c>
      <c r="H2166" s="7" t="s">
        <v>10</v>
      </c>
    </row>
    <row r="2167" spans="1:8" ht="15" customHeight="1">
      <c r="A2167" s="5">
        <v>2165</v>
      </c>
      <c r="B2167" s="8" t="str">
        <f>"彭梦姣"</f>
        <v>彭梦姣</v>
      </c>
      <c r="C2167" s="8" t="str">
        <f t="shared" si="1146"/>
        <v>女</v>
      </c>
      <c r="D2167" s="8" t="str">
        <f>"1997-12-21"</f>
        <v>1997-12-21</v>
      </c>
      <c r="E2167" s="8" t="str">
        <f aca="true" t="shared" si="1149" ref="E2167:E2174">"本科"</f>
        <v>本科</v>
      </c>
      <c r="F2167" s="8" t="str">
        <f>"财政学学士"</f>
        <v>财政学学士</v>
      </c>
      <c r="G2167" s="8" t="str">
        <f>"财政学"</f>
        <v>财政学</v>
      </c>
      <c r="H2167" s="7" t="s">
        <v>10</v>
      </c>
    </row>
    <row r="2168" spans="1:8" ht="15" customHeight="1">
      <c r="A2168" s="5">
        <v>2166</v>
      </c>
      <c r="B2168" s="8" t="str">
        <f>"王婷婷"</f>
        <v>王婷婷</v>
      </c>
      <c r="C2168" s="8" t="str">
        <f t="shared" si="1146"/>
        <v>女</v>
      </c>
      <c r="D2168" s="8" t="str">
        <f>"2000-11-08"</f>
        <v>2000-11-08</v>
      </c>
      <c r="E2168" s="8" t="str">
        <f t="shared" si="1149"/>
        <v>本科</v>
      </c>
      <c r="F2168" s="8" t="str">
        <f>"学士"</f>
        <v>学士</v>
      </c>
      <c r="G2168" s="8" t="str">
        <f>"行政管理"</f>
        <v>行政管理</v>
      </c>
      <c r="H2168" s="7" t="s">
        <v>10</v>
      </c>
    </row>
    <row r="2169" spans="1:8" ht="15" customHeight="1">
      <c r="A2169" s="5">
        <v>2167</v>
      </c>
      <c r="B2169" s="8" t="str">
        <f>"朱亚婷"</f>
        <v>朱亚婷</v>
      </c>
      <c r="C2169" s="8" t="str">
        <f t="shared" si="1146"/>
        <v>女</v>
      </c>
      <c r="D2169" s="8" t="str">
        <f>"1998-04-02"</f>
        <v>1998-04-02</v>
      </c>
      <c r="E2169" s="8" t="str">
        <f t="shared" si="1149"/>
        <v>本科</v>
      </c>
      <c r="F2169" s="8" t="str">
        <f aca="true" t="shared" si="1150" ref="F2169:F2173">"管理学学士"</f>
        <v>管理学学士</v>
      </c>
      <c r="G2169" s="8" t="str">
        <f>"旅游管理"</f>
        <v>旅游管理</v>
      </c>
      <c r="H2169" s="7" t="s">
        <v>10</v>
      </c>
    </row>
    <row r="2170" spans="1:8" ht="15" customHeight="1">
      <c r="A2170" s="5">
        <v>2168</v>
      </c>
      <c r="B2170" s="8" t="str">
        <f>"韩炽叶"</f>
        <v>韩炽叶</v>
      </c>
      <c r="C2170" s="8" t="str">
        <f aca="true" t="shared" si="1151" ref="C2170:C2172">"男"</f>
        <v>男</v>
      </c>
      <c r="D2170" s="8" t="str">
        <f>"2000-11-07"</f>
        <v>2000-11-07</v>
      </c>
      <c r="E2170" s="8" t="str">
        <f t="shared" si="1149"/>
        <v>本科</v>
      </c>
      <c r="F2170" s="8" t="str">
        <f>"管理学学士学位"</f>
        <v>管理学学士学位</v>
      </c>
      <c r="G2170" s="8" t="str">
        <f>"房地产开发与管理"</f>
        <v>房地产开发与管理</v>
      </c>
      <c r="H2170" s="7" t="s">
        <v>10</v>
      </c>
    </row>
    <row r="2171" spans="1:8" ht="15" customHeight="1">
      <c r="A2171" s="5">
        <v>2169</v>
      </c>
      <c r="B2171" s="8" t="str">
        <f>"46013200001203317"</f>
        <v>46013200001203317</v>
      </c>
      <c r="C2171" s="8" t="str">
        <f t="shared" si="1151"/>
        <v>男</v>
      </c>
      <c r="D2171" s="8" t="str">
        <f>"2000-01-20"</f>
        <v>2000-01-20</v>
      </c>
      <c r="E2171" s="8" t="str">
        <f t="shared" si="1149"/>
        <v>本科</v>
      </c>
      <c r="F2171" s="8" t="str">
        <f t="shared" si="1150"/>
        <v>管理学学士</v>
      </c>
      <c r="G2171" s="8" t="str">
        <f>"酒店管理"</f>
        <v>酒店管理</v>
      </c>
      <c r="H2171" s="7" t="s">
        <v>10</v>
      </c>
    </row>
    <row r="2172" spans="1:8" ht="15" customHeight="1">
      <c r="A2172" s="5">
        <v>2170</v>
      </c>
      <c r="B2172" s="8" t="str">
        <f>"韩峻衍"</f>
        <v>韩峻衍</v>
      </c>
      <c r="C2172" s="8" t="str">
        <f t="shared" si="1151"/>
        <v>男</v>
      </c>
      <c r="D2172" s="8" t="str">
        <f>"1998-10-01"</f>
        <v>1998-10-01</v>
      </c>
      <c r="E2172" s="8" t="str">
        <f t="shared" si="1149"/>
        <v>本科</v>
      </c>
      <c r="F2172" s="8" t="str">
        <f>"经济学学士"</f>
        <v>经济学学士</v>
      </c>
      <c r="G2172" s="8" t="str">
        <f>"金融学"</f>
        <v>金融学</v>
      </c>
      <c r="H2172" s="7" t="s">
        <v>10</v>
      </c>
    </row>
    <row r="2173" spans="1:8" ht="15" customHeight="1">
      <c r="A2173" s="5">
        <v>2171</v>
      </c>
      <c r="B2173" s="8" t="str">
        <f>"羊娟娟"</f>
        <v>羊娟娟</v>
      </c>
      <c r="C2173" s="8" t="str">
        <f aca="true" t="shared" si="1152" ref="C2173:C2178">"女"</f>
        <v>女</v>
      </c>
      <c r="D2173" s="8" t="str">
        <f>"1991-05-04"</f>
        <v>1991-05-04</v>
      </c>
      <c r="E2173" s="8" t="str">
        <f t="shared" si="1149"/>
        <v>本科</v>
      </c>
      <c r="F2173" s="8" t="str">
        <f t="shared" si="1150"/>
        <v>管理学学士</v>
      </c>
      <c r="G2173" s="8" t="str">
        <f>"旅游管理(酒店管理)"</f>
        <v>旅游管理(酒店管理)</v>
      </c>
      <c r="H2173" s="7" t="s">
        <v>10</v>
      </c>
    </row>
    <row r="2174" spans="1:8" ht="15" customHeight="1">
      <c r="A2174" s="5">
        <v>2172</v>
      </c>
      <c r="B2174" s="8" t="str">
        <f>"黄书静"</f>
        <v>黄书静</v>
      </c>
      <c r="C2174" s="8" t="str">
        <f t="shared" si="1152"/>
        <v>女</v>
      </c>
      <c r="D2174" s="8" t="str">
        <f>"1993-10-10"</f>
        <v>1993-10-10</v>
      </c>
      <c r="E2174" s="8" t="str">
        <f t="shared" si="1149"/>
        <v>本科</v>
      </c>
      <c r="F2174" s="8" t="str">
        <f>"学士"</f>
        <v>学士</v>
      </c>
      <c r="G2174" s="8" t="str">
        <f>"市场营销"</f>
        <v>市场营销</v>
      </c>
      <c r="H2174" s="7" t="s">
        <v>10</v>
      </c>
    </row>
    <row r="2175" spans="1:8" ht="15" customHeight="1">
      <c r="A2175" s="5">
        <v>2173</v>
      </c>
      <c r="B2175" s="8" t="str">
        <f>"林明将"</f>
        <v>林明将</v>
      </c>
      <c r="C2175" s="8" t="str">
        <f aca="true" t="shared" si="1153" ref="C2175:C2180">"男"</f>
        <v>男</v>
      </c>
      <c r="D2175" s="8" t="str">
        <f>"1998-03-22"</f>
        <v>1998-03-22</v>
      </c>
      <c r="E2175" s="8" t="str">
        <f aca="true" t="shared" si="1154" ref="E2175:E2179">"大学本科"</f>
        <v>大学本科</v>
      </c>
      <c r="F2175" s="8" t="str">
        <f aca="true" t="shared" si="1155" ref="F2175:F2181">"管理学学士"</f>
        <v>管理学学士</v>
      </c>
      <c r="G2175" s="8" t="str">
        <f>"工商管理"</f>
        <v>工商管理</v>
      </c>
      <c r="H2175" s="7" t="s">
        <v>10</v>
      </c>
    </row>
    <row r="2176" spans="1:8" ht="15" customHeight="1">
      <c r="A2176" s="5">
        <v>2174</v>
      </c>
      <c r="B2176" s="8" t="str">
        <f>"陶璇"</f>
        <v>陶璇</v>
      </c>
      <c r="C2176" s="8" t="str">
        <f t="shared" si="1152"/>
        <v>女</v>
      </c>
      <c r="D2176" s="8" t="str">
        <f>"2001-08-19"</f>
        <v>2001-08-19</v>
      </c>
      <c r="E2176" s="8" t="str">
        <f aca="true" t="shared" si="1156" ref="E2176:E2182">"本科"</f>
        <v>本科</v>
      </c>
      <c r="F2176" s="8" t="str">
        <f t="shared" si="1155"/>
        <v>管理学学士</v>
      </c>
      <c r="G2176" s="8" t="str">
        <f>"会计学"</f>
        <v>会计学</v>
      </c>
      <c r="H2176" s="7" t="s">
        <v>10</v>
      </c>
    </row>
    <row r="2177" spans="1:8" ht="15" customHeight="1">
      <c r="A2177" s="5">
        <v>2175</v>
      </c>
      <c r="B2177" s="8" t="str">
        <f>"黄小阳"</f>
        <v>黄小阳</v>
      </c>
      <c r="C2177" s="8" t="str">
        <f t="shared" si="1152"/>
        <v>女</v>
      </c>
      <c r="D2177" s="8" t="str">
        <f>"1995-05-29"</f>
        <v>1995-05-29</v>
      </c>
      <c r="E2177" s="8" t="str">
        <f t="shared" si="1154"/>
        <v>大学本科</v>
      </c>
      <c r="F2177" s="8" t="str">
        <f>"经济学学士"</f>
        <v>经济学学士</v>
      </c>
      <c r="G2177" s="8" t="str">
        <f>"财政学（注册税务师）"</f>
        <v>财政学（注册税务师）</v>
      </c>
      <c r="H2177" s="7" t="s">
        <v>10</v>
      </c>
    </row>
    <row r="2178" spans="1:8" ht="15" customHeight="1">
      <c r="A2178" s="5">
        <v>2176</v>
      </c>
      <c r="B2178" s="8" t="str">
        <f>"田晓雪"</f>
        <v>田晓雪</v>
      </c>
      <c r="C2178" s="8" t="str">
        <f t="shared" si="1152"/>
        <v>女</v>
      </c>
      <c r="D2178" s="8" t="str">
        <f>"1995-01-17"</f>
        <v>1995-01-17</v>
      </c>
      <c r="E2178" s="8" t="str">
        <f t="shared" si="1156"/>
        <v>本科</v>
      </c>
      <c r="F2178" s="8" t="str">
        <f>"管理学学位"</f>
        <v>管理学学位</v>
      </c>
      <c r="G2178" s="8" t="str">
        <f>"文化产业管理"</f>
        <v>文化产业管理</v>
      </c>
      <c r="H2178" s="7" t="s">
        <v>10</v>
      </c>
    </row>
    <row r="2179" spans="1:8" ht="15" customHeight="1">
      <c r="A2179" s="5">
        <v>2177</v>
      </c>
      <c r="B2179" s="8" t="str">
        <f>"彭传倬"</f>
        <v>彭传倬</v>
      </c>
      <c r="C2179" s="8" t="str">
        <f t="shared" si="1153"/>
        <v>男</v>
      </c>
      <c r="D2179" s="8" t="str">
        <f>"1996-06-05"</f>
        <v>1996-06-05</v>
      </c>
      <c r="E2179" s="8" t="str">
        <f t="shared" si="1154"/>
        <v>大学本科</v>
      </c>
      <c r="F2179" s="8" t="str">
        <f>"管理学学士学"</f>
        <v>管理学学士学</v>
      </c>
      <c r="G2179" s="8" t="str">
        <f aca="true" t="shared" si="1157" ref="G2179:G2184">"财务管理"</f>
        <v>财务管理</v>
      </c>
      <c r="H2179" s="7" t="s">
        <v>10</v>
      </c>
    </row>
    <row r="2180" spans="1:8" ht="15" customHeight="1">
      <c r="A2180" s="5">
        <v>2178</v>
      </c>
      <c r="B2180" s="8" t="str">
        <f>"林道伟"</f>
        <v>林道伟</v>
      </c>
      <c r="C2180" s="8" t="str">
        <f t="shared" si="1153"/>
        <v>男</v>
      </c>
      <c r="D2180" s="8" t="str">
        <f>"1998-07-27"</f>
        <v>1998-07-27</v>
      </c>
      <c r="E2180" s="8" t="str">
        <f t="shared" si="1156"/>
        <v>本科</v>
      </c>
      <c r="F2180" s="8" t="str">
        <f t="shared" si="1155"/>
        <v>管理学学士</v>
      </c>
      <c r="G2180" s="8" t="str">
        <f>"工程造价"</f>
        <v>工程造价</v>
      </c>
      <c r="H2180" s="7" t="s">
        <v>10</v>
      </c>
    </row>
    <row r="2181" spans="1:8" ht="15" customHeight="1">
      <c r="A2181" s="5">
        <v>2179</v>
      </c>
      <c r="B2181" s="8" t="str">
        <f>"龙玉兰"</f>
        <v>龙玉兰</v>
      </c>
      <c r="C2181" s="8" t="str">
        <f aca="true" t="shared" si="1158" ref="C2181:C2184">"女"</f>
        <v>女</v>
      </c>
      <c r="D2181" s="8" t="str">
        <f>"1997-02-07"</f>
        <v>1997-02-07</v>
      </c>
      <c r="E2181" s="8" t="str">
        <f t="shared" si="1156"/>
        <v>本科</v>
      </c>
      <c r="F2181" s="8" t="str">
        <f t="shared" si="1155"/>
        <v>管理学学士</v>
      </c>
      <c r="G2181" s="8" t="str">
        <f>"旅游管理（高尔夫经营管理方向）"</f>
        <v>旅游管理（高尔夫经营管理方向）</v>
      </c>
      <c r="H2181" s="7" t="s">
        <v>10</v>
      </c>
    </row>
    <row r="2182" spans="1:8" ht="15" customHeight="1">
      <c r="A2182" s="5">
        <v>2180</v>
      </c>
      <c r="B2182" s="8" t="str">
        <f>"张蓝元"</f>
        <v>张蓝元</v>
      </c>
      <c r="C2182" s="8" t="str">
        <f t="shared" si="1158"/>
        <v>女</v>
      </c>
      <c r="D2182" s="8" t="str">
        <f>"1990-07-19"</f>
        <v>1990-07-19</v>
      </c>
      <c r="E2182" s="8" t="str">
        <f t="shared" si="1156"/>
        <v>本科</v>
      </c>
      <c r="F2182" s="8" t="str">
        <f>"管理学学士学位"</f>
        <v>管理学学士学位</v>
      </c>
      <c r="G2182" s="8" t="str">
        <f>"市场营销"</f>
        <v>市场营销</v>
      </c>
      <c r="H2182" s="7" t="s">
        <v>10</v>
      </c>
    </row>
    <row r="2183" spans="1:8" ht="15" customHeight="1">
      <c r="A2183" s="5">
        <v>2181</v>
      </c>
      <c r="B2183" s="8" t="str">
        <f>"李业霜"</f>
        <v>李业霜</v>
      </c>
      <c r="C2183" s="8" t="str">
        <f t="shared" si="1158"/>
        <v>女</v>
      </c>
      <c r="D2183" s="8" t="str">
        <f>"2002-02-21"</f>
        <v>2002-02-21</v>
      </c>
      <c r="E2183" s="8" t="str">
        <f>"大学本科学历"</f>
        <v>大学本科学历</v>
      </c>
      <c r="F2183" s="8" t="str">
        <f aca="true" t="shared" si="1159" ref="F2183:F2190">"管理学学士"</f>
        <v>管理学学士</v>
      </c>
      <c r="G2183" s="8" t="str">
        <f t="shared" si="1157"/>
        <v>财务管理</v>
      </c>
      <c r="H2183" s="7" t="s">
        <v>10</v>
      </c>
    </row>
    <row r="2184" spans="1:8" ht="15" customHeight="1">
      <c r="A2184" s="5">
        <v>2182</v>
      </c>
      <c r="B2184" s="8" t="str">
        <f>"陈秋岚"</f>
        <v>陈秋岚</v>
      </c>
      <c r="C2184" s="8" t="str">
        <f t="shared" si="1158"/>
        <v>女</v>
      </c>
      <c r="D2184" s="8" t="str">
        <f>"1998-09-08"</f>
        <v>1998-09-08</v>
      </c>
      <c r="E2184" s="8" t="str">
        <f>"大学本科"</f>
        <v>大学本科</v>
      </c>
      <c r="F2184" s="8" t="str">
        <f>"管理学学士学位"</f>
        <v>管理学学士学位</v>
      </c>
      <c r="G2184" s="8" t="str">
        <f t="shared" si="1157"/>
        <v>财务管理</v>
      </c>
      <c r="H2184" s="7" t="s">
        <v>10</v>
      </c>
    </row>
    <row r="2185" spans="1:8" ht="15" customHeight="1">
      <c r="A2185" s="5">
        <v>2183</v>
      </c>
      <c r="B2185" s="8" t="str">
        <f>"林鑫"</f>
        <v>林鑫</v>
      </c>
      <c r="C2185" s="8" t="str">
        <f aca="true" t="shared" si="1160" ref="C2185:C2189">"男"</f>
        <v>男</v>
      </c>
      <c r="D2185" s="8" t="str">
        <f>"1992-10-06"</f>
        <v>1992-10-06</v>
      </c>
      <c r="E2185" s="8" t="str">
        <f>"研究生学历"</f>
        <v>研究生学历</v>
      </c>
      <c r="F2185" s="8" t="str">
        <f>"公共管理硕士"</f>
        <v>公共管理硕士</v>
      </c>
      <c r="G2185" s="8" t="str">
        <f>"公共管理"</f>
        <v>公共管理</v>
      </c>
      <c r="H2185" s="7" t="s">
        <v>10</v>
      </c>
    </row>
    <row r="2186" spans="1:8" ht="15" customHeight="1">
      <c r="A2186" s="5">
        <v>2184</v>
      </c>
      <c r="B2186" s="8" t="str">
        <f>"李秦兴"</f>
        <v>李秦兴</v>
      </c>
      <c r="C2186" s="8" t="str">
        <f t="shared" si="1160"/>
        <v>男</v>
      </c>
      <c r="D2186" s="8" t="str">
        <f>"1998-02-09"</f>
        <v>1998-02-09</v>
      </c>
      <c r="E2186" s="8" t="str">
        <f>"大学本科学历"</f>
        <v>大学本科学历</v>
      </c>
      <c r="F2186" s="8" t="str">
        <f t="shared" si="1159"/>
        <v>管理学学士</v>
      </c>
      <c r="G2186" s="8" t="str">
        <f>"会计学（金融会计）"</f>
        <v>会计学（金融会计）</v>
      </c>
      <c r="H2186" s="7" t="s">
        <v>10</v>
      </c>
    </row>
    <row r="2187" spans="1:8" ht="15" customHeight="1">
      <c r="A2187" s="5">
        <v>2185</v>
      </c>
      <c r="B2187" s="8" t="str">
        <f>"王云"</f>
        <v>王云</v>
      </c>
      <c r="C2187" s="8" t="str">
        <f aca="true" t="shared" si="1161" ref="C2187:C2190">"女"</f>
        <v>女</v>
      </c>
      <c r="D2187" s="8" t="str">
        <f>"2000-01-21"</f>
        <v>2000-01-21</v>
      </c>
      <c r="E2187" s="8" t="str">
        <f aca="true" t="shared" si="1162" ref="E2187:E2193">"本科"</f>
        <v>本科</v>
      </c>
      <c r="F2187" s="8" t="str">
        <f t="shared" si="1159"/>
        <v>管理学学士</v>
      </c>
      <c r="G2187" s="8" t="str">
        <f>"酒店管理"</f>
        <v>酒店管理</v>
      </c>
      <c r="H2187" s="7" t="s">
        <v>10</v>
      </c>
    </row>
    <row r="2188" spans="1:8" ht="15" customHeight="1">
      <c r="A2188" s="5">
        <v>2186</v>
      </c>
      <c r="B2188" s="8" t="str">
        <f>"李欣欣"</f>
        <v>李欣欣</v>
      </c>
      <c r="C2188" s="8" t="str">
        <f t="shared" si="1161"/>
        <v>女</v>
      </c>
      <c r="D2188" s="8" t="str">
        <f>"1999-09-06"</f>
        <v>1999-09-06</v>
      </c>
      <c r="E2188" s="8" t="str">
        <f t="shared" si="1162"/>
        <v>本科</v>
      </c>
      <c r="F2188" s="8" t="str">
        <f t="shared" si="1159"/>
        <v>管理学学士</v>
      </c>
      <c r="G2188" s="8" t="str">
        <f>"旅游管理"</f>
        <v>旅游管理</v>
      </c>
      <c r="H2188" s="7" t="s">
        <v>10</v>
      </c>
    </row>
    <row r="2189" spans="1:8" ht="15" customHeight="1">
      <c r="A2189" s="5">
        <v>2187</v>
      </c>
      <c r="B2189" s="8" t="str">
        <f>"符宝艺"</f>
        <v>符宝艺</v>
      </c>
      <c r="C2189" s="8" t="str">
        <f t="shared" si="1160"/>
        <v>男</v>
      </c>
      <c r="D2189" s="8" t="str">
        <f>"1998-05-05"</f>
        <v>1998-05-05</v>
      </c>
      <c r="E2189" s="8" t="str">
        <f t="shared" si="1162"/>
        <v>本科</v>
      </c>
      <c r="F2189" s="8" t="str">
        <f t="shared" si="1159"/>
        <v>管理学学士</v>
      </c>
      <c r="G2189" s="8" t="str">
        <f>"财务管理"</f>
        <v>财务管理</v>
      </c>
      <c r="H2189" s="7" t="s">
        <v>10</v>
      </c>
    </row>
    <row r="2190" spans="1:8" ht="15" customHeight="1">
      <c r="A2190" s="5">
        <v>2188</v>
      </c>
      <c r="B2190" s="8" t="str">
        <f>"韩雅意"</f>
        <v>韩雅意</v>
      </c>
      <c r="C2190" s="8" t="str">
        <f t="shared" si="1161"/>
        <v>女</v>
      </c>
      <c r="D2190" s="8" t="str">
        <f>"2000-04-10"</f>
        <v>2000-04-10</v>
      </c>
      <c r="E2190" s="8" t="str">
        <f t="shared" si="1162"/>
        <v>本科</v>
      </c>
      <c r="F2190" s="8" t="str">
        <f t="shared" si="1159"/>
        <v>管理学学士</v>
      </c>
      <c r="G2190" s="8" t="str">
        <f>"会计学"</f>
        <v>会计学</v>
      </c>
      <c r="H2190" s="7" t="s">
        <v>10</v>
      </c>
    </row>
    <row r="2191" spans="1:8" ht="15" customHeight="1">
      <c r="A2191" s="5">
        <v>2189</v>
      </c>
      <c r="B2191" s="8" t="str">
        <f>"劳金威"</f>
        <v>劳金威</v>
      </c>
      <c r="C2191" s="8" t="str">
        <f aca="true" t="shared" si="1163" ref="C2191:C2195">"男"</f>
        <v>男</v>
      </c>
      <c r="D2191" s="8" t="str">
        <f>"1997-09-08"</f>
        <v>1997-09-08</v>
      </c>
      <c r="E2191" s="8" t="str">
        <f t="shared" si="1162"/>
        <v>本科</v>
      </c>
      <c r="F2191" s="8" t="str">
        <f>"经济学学士"</f>
        <v>经济学学士</v>
      </c>
      <c r="G2191" s="8" t="str">
        <f>"金融工程"</f>
        <v>金融工程</v>
      </c>
      <c r="H2191" s="7" t="s">
        <v>10</v>
      </c>
    </row>
    <row r="2192" spans="1:8" ht="15" customHeight="1">
      <c r="A2192" s="5">
        <v>2190</v>
      </c>
      <c r="B2192" s="8" t="str">
        <f>"吴帆"</f>
        <v>吴帆</v>
      </c>
      <c r="C2192" s="8" t="str">
        <f t="shared" si="1163"/>
        <v>男</v>
      </c>
      <c r="D2192" s="8" t="str">
        <f>"1999-04-07"</f>
        <v>1999-04-07</v>
      </c>
      <c r="E2192" s="8" t="str">
        <f t="shared" si="1162"/>
        <v>本科</v>
      </c>
      <c r="F2192" s="8" t="str">
        <f aca="true" t="shared" si="1164" ref="F2192:F2195">"管理学学士"</f>
        <v>管理学学士</v>
      </c>
      <c r="G2192" s="8" t="str">
        <f>"农林经济管理"</f>
        <v>农林经济管理</v>
      </c>
      <c r="H2192" s="7" t="s">
        <v>10</v>
      </c>
    </row>
    <row r="2193" spans="1:8" ht="15" customHeight="1">
      <c r="A2193" s="5">
        <v>2191</v>
      </c>
      <c r="B2193" s="8" t="str">
        <f>"贺桂湘"</f>
        <v>贺桂湘</v>
      </c>
      <c r="C2193" s="8" t="str">
        <f aca="true" t="shared" si="1165" ref="C2193:C2198">"女"</f>
        <v>女</v>
      </c>
      <c r="D2193" s="8" t="str">
        <f>"2001-01-08"</f>
        <v>2001-01-08</v>
      </c>
      <c r="E2193" s="8" t="str">
        <f t="shared" si="1162"/>
        <v>本科</v>
      </c>
      <c r="F2193" s="8" t="str">
        <f t="shared" si="1164"/>
        <v>管理学学士</v>
      </c>
      <c r="G2193" s="8" t="str">
        <f>"工商管理"</f>
        <v>工商管理</v>
      </c>
      <c r="H2193" s="7" t="s">
        <v>10</v>
      </c>
    </row>
    <row r="2194" spans="1:8" ht="15" customHeight="1">
      <c r="A2194" s="5">
        <v>2192</v>
      </c>
      <c r="B2194" s="8" t="str">
        <f>"周恺成"</f>
        <v>周恺成</v>
      </c>
      <c r="C2194" s="8" t="str">
        <f t="shared" si="1163"/>
        <v>男</v>
      </c>
      <c r="D2194" s="8" t="str">
        <f>"1998-01-16"</f>
        <v>1998-01-16</v>
      </c>
      <c r="E2194" s="8" t="str">
        <f>"硕士"</f>
        <v>硕士</v>
      </c>
      <c r="F2194" s="8" t="str">
        <f>"理学硕士学位"</f>
        <v>理学硕士学位</v>
      </c>
      <c r="G2194" s="8" t="str">
        <f>"工程商务管理"</f>
        <v>工程商务管理</v>
      </c>
      <c r="H2194" s="7" t="s">
        <v>10</v>
      </c>
    </row>
    <row r="2195" spans="1:8" ht="15" customHeight="1">
      <c r="A2195" s="5">
        <v>2193</v>
      </c>
      <c r="B2195" s="8" t="str">
        <f>"黄飞"</f>
        <v>黄飞</v>
      </c>
      <c r="C2195" s="8" t="str">
        <f t="shared" si="1163"/>
        <v>男</v>
      </c>
      <c r="D2195" s="8" t="str">
        <f>"1995-05-15"</f>
        <v>1995-05-15</v>
      </c>
      <c r="E2195" s="8" t="str">
        <f>"本科"</f>
        <v>本科</v>
      </c>
      <c r="F2195" s="8" t="str">
        <f t="shared" si="1164"/>
        <v>管理学学士</v>
      </c>
      <c r="G2195" s="8" t="str">
        <f>"行政管理"</f>
        <v>行政管理</v>
      </c>
      <c r="H2195" s="7" t="s">
        <v>10</v>
      </c>
    </row>
    <row r="2196" spans="1:8" ht="15" customHeight="1">
      <c r="A2196" s="5">
        <v>2194</v>
      </c>
      <c r="B2196" s="8" t="str">
        <f>"蔡丹红"</f>
        <v>蔡丹红</v>
      </c>
      <c r="C2196" s="8" t="str">
        <f t="shared" si="1165"/>
        <v>女</v>
      </c>
      <c r="D2196" s="8" t="str">
        <f>"2001-04-26"</f>
        <v>2001-04-26</v>
      </c>
      <c r="E2196" s="8" t="str">
        <f>"本科应届毕业生"</f>
        <v>本科应届毕业生</v>
      </c>
      <c r="F2196" s="8" t="str">
        <f>"无"</f>
        <v>无</v>
      </c>
      <c r="G2196" s="8" t="str">
        <f>"金融学"</f>
        <v>金融学</v>
      </c>
      <c r="H2196" s="7" t="s">
        <v>10</v>
      </c>
    </row>
    <row r="2197" spans="1:8" ht="15" customHeight="1">
      <c r="A2197" s="5">
        <v>2195</v>
      </c>
      <c r="B2197" s="8" t="str">
        <f>"朱敏"</f>
        <v>朱敏</v>
      </c>
      <c r="C2197" s="8" t="str">
        <f t="shared" si="1165"/>
        <v>女</v>
      </c>
      <c r="D2197" s="8" t="str">
        <f>"1996-11-13"</f>
        <v>1996-11-13</v>
      </c>
      <c r="E2197" s="8" t="str">
        <f>"本科"</f>
        <v>本科</v>
      </c>
      <c r="F2197" s="8" t="str">
        <f>"经济学学士"</f>
        <v>经济学学士</v>
      </c>
      <c r="G2197" s="8" t="str">
        <f>"金融学"</f>
        <v>金融学</v>
      </c>
      <c r="H2197" s="7" t="s">
        <v>10</v>
      </c>
    </row>
    <row r="2198" spans="1:8" ht="15" customHeight="1">
      <c r="A2198" s="5">
        <v>2196</v>
      </c>
      <c r="B2198" s="8" t="str">
        <f>"余一帆"</f>
        <v>余一帆</v>
      </c>
      <c r="C2198" s="8" t="str">
        <f t="shared" si="1165"/>
        <v>女</v>
      </c>
      <c r="D2198" s="8" t="str">
        <f>"2001-04-04"</f>
        <v>2001-04-04</v>
      </c>
      <c r="E2198" s="8" t="str">
        <f>"大学"</f>
        <v>大学</v>
      </c>
      <c r="F2198" s="8" t="str">
        <f>"经济学学士"</f>
        <v>经济学学士</v>
      </c>
      <c r="G2198" s="8" t="str">
        <f>"税收学"</f>
        <v>税收学</v>
      </c>
      <c r="H2198" s="7" t="s">
        <v>10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2021-08-09T01:16:04Z</dcterms:created>
  <dcterms:modified xsi:type="dcterms:W3CDTF">2023-06-01T08:12:36Z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6A67E7F472DC4119AE664C20F6271B3F</vt:lpwstr>
  </property>
</Properties>
</file>