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进入笔试人员名单" sheetId="1" r:id="rId1"/>
  </sheets>
  <definedNames/>
  <calcPr fullCalcOnLoad="1"/>
</workbook>
</file>

<file path=xl/sharedStrings.xml><?xml version="1.0" encoding="utf-8"?>
<sst xmlns="http://schemas.openxmlformats.org/spreadsheetml/2006/main" count="3271" uniqueCount="17">
  <si>
    <t>附件：海口市水务局2023年公开招聘事业单位工作人员通过资格初审合格进入笔试人员名单</t>
  </si>
  <si>
    <t>序号</t>
  </si>
  <si>
    <t>报考号</t>
  </si>
  <si>
    <t>报考岗位</t>
  </si>
  <si>
    <t>姓名</t>
  </si>
  <si>
    <t>0101_事业管理岗01</t>
  </si>
  <si>
    <t>0102_事业管理岗02</t>
  </si>
  <si>
    <t>0103_事业管理岗03</t>
  </si>
  <si>
    <t>0104_事业管理岗04</t>
  </si>
  <si>
    <t>0105_专业技术岗01</t>
  </si>
  <si>
    <t>0106_专业技术岗02</t>
  </si>
  <si>
    <t>0201_事业管理岗05</t>
  </si>
  <si>
    <t>0202_事业管理岗06</t>
  </si>
  <si>
    <t>0203_专业技术岗03</t>
  </si>
  <si>
    <t>0301_事业管理岗07</t>
  </si>
  <si>
    <t>0302_事业管理岗08</t>
  </si>
  <si>
    <t>0401_专业技术岗04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</si>
</sst>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68"/>
  <sheetViews>
    <sheetView tabSelected="1" workbookViewId="0" topLeftCell="A42">
      <selection activeCell="C12" sqref="C12"/>
    </sheetView>
  </sheetViews>
  <sheetFormatPr defaultColWidth="9.00390625" defaultRowHeight="30" customHeight="1"/>
  <cols>
    <col min="1" max="1" width="9.00390625" style="2" customWidth="1"/>
    <col min="2" max="2" width="34.00390625" style="2" customWidth="1"/>
    <col min="3" max="3" width="25.7109375" style="2" customWidth="1"/>
    <col min="4" max="4" width="19.140625" style="2" customWidth="1"/>
    <col min="5" max="16384" width="9.00390625" style="2" customWidth="1"/>
  </cols>
  <sheetData>
    <row r="1" spans="1:4" ht="61.5" customHeight="1">
      <c r="A1" s="3" t="s">
        <v>0</v>
      </c>
      <c r="B1" s="4"/>
      <c r="C1" s="4"/>
      <c r="D1" s="4"/>
    </row>
    <row r="2" spans="1:4" s="1" customFormat="1" ht="30" customHeight="1">
      <c r="A2" s="5" t="s">
        <v>1</v>
      </c>
      <c r="B2" s="5" t="s">
        <v>2</v>
      </c>
      <c r="C2" s="5" t="s">
        <v>3</v>
      </c>
      <c r="D2" s="5" t="s">
        <v>4</v>
      </c>
    </row>
    <row r="3" spans="1:4" ht="30" customHeight="1">
      <c r="A3" s="6">
        <v>1</v>
      </c>
      <c r="B3" s="6" t="str">
        <f>"508120230421091735138146"</f>
        <v>508120230421091735138146</v>
      </c>
      <c r="C3" s="6" t="s">
        <v>5</v>
      </c>
      <c r="D3" s="6" t="str">
        <f>"陈枫艳"</f>
        <v>陈枫艳</v>
      </c>
    </row>
    <row r="4" spans="1:4" ht="30" customHeight="1">
      <c r="A4" s="6">
        <v>2</v>
      </c>
      <c r="B4" s="6" t="str">
        <f>"508120230421090125138084"</f>
        <v>508120230421090125138084</v>
      </c>
      <c r="C4" s="6" t="s">
        <v>5</v>
      </c>
      <c r="D4" s="6" t="str">
        <f>"寇长春"</f>
        <v>寇长春</v>
      </c>
    </row>
    <row r="5" spans="1:4" ht="30" customHeight="1">
      <c r="A5" s="6">
        <v>3</v>
      </c>
      <c r="B5" s="6" t="str">
        <f>"508120230421090819138111"</f>
        <v>508120230421090819138111</v>
      </c>
      <c r="C5" s="6" t="s">
        <v>5</v>
      </c>
      <c r="D5" s="6" t="str">
        <f>"王闵乙"</f>
        <v>王闵乙</v>
      </c>
    </row>
    <row r="6" spans="1:4" ht="30" customHeight="1">
      <c r="A6" s="6">
        <v>4</v>
      </c>
      <c r="B6" s="6" t="str">
        <f>"508120230421093830138202"</f>
        <v>508120230421093830138202</v>
      </c>
      <c r="C6" s="6" t="s">
        <v>5</v>
      </c>
      <c r="D6" s="6" t="str">
        <f>"李少强"</f>
        <v>李少强</v>
      </c>
    </row>
    <row r="7" spans="1:4" ht="30" customHeight="1">
      <c r="A7" s="6">
        <v>5</v>
      </c>
      <c r="B7" s="6" t="str">
        <f>"508120230421091655138143"</f>
        <v>508120230421091655138143</v>
      </c>
      <c r="C7" s="6" t="s">
        <v>5</v>
      </c>
      <c r="D7" s="6" t="str">
        <f>"杜振威"</f>
        <v>杜振威</v>
      </c>
    </row>
    <row r="8" spans="1:4" ht="30" customHeight="1">
      <c r="A8" s="6">
        <v>6</v>
      </c>
      <c r="B8" s="6" t="str">
        <f>"508120230421091255138130"</f>
        <v>508120230421091255138130</v>
      </c>
      <c r="C8" s="6" t="s">
        <v>5</v>
      </c>
      <c r="D8" s="6" t="str">
        <f>"羊贤德"</f>
        <v>羊贤德</v>
      </c>
    </row>
    <row r="9" spans="1:4" ht="30" customHeight="1">
      <c r="A9" s="6">
        <v>7</v>
      </c>
      <c r="B9" s="6" t="str">
        <f>"508120230421091113138124"</f>
        <v>508120230421091113138124</v>
      </c>
      <c r="C9" s="6" t="s">
        <v>5</v>
      </c>
      <c r="D9" s="6" t="str">
        <f>"刘锦涛"</f>
        <v>刘锦涛</v>
      </c>
    </row>
    <row r="10" spans="1:4" ht="30" customHeight="1">
      <c r="A10" s="6">
        <v>8</v>
      </c>
      <c r="B10" s="6" t="str">
        <f>"508120230421091904138152"</f>
        <v>508120230421091904138152</v>
      </c>
      <c r="C10" s="6" t="s">
        <v>5</v>
      </c>
      <c r="D10" s="6" t="str">
        <f>"李超"</f>
        <v>李超</v>
      </c>
    </row>
    <row r="11" spans="1:4" ht="30" customHeight="1">
      <c r="A11" s="6">
        <v>9</v>
      </c>
      <c r="B11" s="6" t="str">
        <f>"508120230421095051138244"</f>
        <v>508120230421095051138244</v>
      </c>
      <c r="C11" s="6" t="s">
        <v>5</v>
      </c>
      <c r="D11" s="6" t="str">
        <f>"林沛然"</f>
        <v>林沛然</v>
      </c>
    </row>
    <row r="12" spans="1:4" ht="30" customHeight="1">
      <c r="A12" s="6">
        <v>10</v>
      </c>
      <c r="B12" s="6" t="str">
        <f>"508120230421100505138283"</f>
        <v>508120230421100505138283</v>
      </c>
      <c r="C12" s="6" t="s">
        <v>5</v>
      </c>
      <c r="D12" s="6" t="str">
        <f>"罗燕"</f>
        <v>罗燕</v>
      </c>
    </row>
    <row r="13" spans="1:4" ht="30" customHeight="1">
      <c r="A13" s="6">
        <v>11</v>
      </c>
      <c r="B13" s="6" t="str">
        <f>"508120230421094958138240"</f>
        <v>508120230421094958138240</v>
      </c>
      <c r="C13" s="6" t="s">
        <v>5</v>
      </c>
      <c r="D13" s="6" t="str">
        <f>"马博"</f>
        <v>马博</v>
      </c>
    </row>
    <row r="14" spans="1:4" ht="30" customHeight="1">
      <c r="A14" s="6">
        <v>12</v>
      </c>
      <c r="B14" s="6" t="str">
        <f>"508120230421092244138160"</f>
        <v>508120230421092244138160</v>
      </c>
      <c r="C14" s="6" t="s">
        <v>5</v>
      </c>
      <c r="D14" s="6" t="str">
        <f>"王祚大"</f>
        <v>王祚大</v>
      </c>
    </row>
    <row r="15" spans="1:4" ht="30" customHeight="1">
      <c r="A15" s="6">
        <v>13</v>
      </c>
      <c r="B15" s="6" t="str">
        <f>"508120230421101038138296"</f>
        <v>508120230421101038138296</v>
      </c>
      <c r="C15" s="6" t="s">
        <v>5</v>
      </c>
      <c r="D15" s="6" t="str">
        <f>"李献东"</f>
        <v>李献东</v>
      </c>
    </row>
    <row r="16" spans="1:4" ht="30" customHeight="1">
      <c r="A16" s="6">
        <v>14</v>
      </c>
      <c r="B16" s="6" t="str">
        <f>"508120230421091901138151"</f>
        <v>508120230421091901138151</v>
      </c>
      <c r="C16" s="6" t="s">
        <v>5</v>
      </c>
      <c r="D16" s="6" t="str">
        <f>"许威"</f>
        <v>许威</v>
      </c>
    </row>
    <row r="17" spans="1:4" ht="30" customHeight="1">
      <c r="A17" s="6">
        <v>15</v>
      </c>
      <c r="B17" s="6" t="str">
        <f>"508120230421092538138170"</f>
        <v>508120230421092538138170</v>
      </c>
      <c r="C17" s="6" t="s">
        <v>5</v>
      </c>
      <c r="D17" s="6" t="str">
        <f>"吴光灵"</f>
        <v>吴光灵</v>
      </c>
    </row>
    <row r="18" spans="1:4" ht="30" customHeight="1">
      <c r="A18" s="6">
        <v>16</v>
      </c>
      <c r="B18" s="6" t="str">
        <f>"508120230421102227138324"</f>
        <v>508120230421102227138324</v>
      </c>
      <c r="C18" s="6" t="s">
        <v>5</v>
      </c>
      <c r="D18" s="6" t="str">
        <f>"苏鸿康"</f>
        <v>苏鸿康</v>
      </c>
    </row>
    <row r="19" spans="1:4" ht="30" customHeight="1">
      <c r="A19" s="6">
        <v>17</v>
      </c>
      <c r="B19" s="6" t="str">
        <f>"508120230421100846138292"</f>
        <v>508120230421100846138292</v>
      </c>
      <c r="C19" s="6" t="s">
        <v>5</v>
      </c>
      <c r="D19" s="6" t="str">
        <f>"符亚平"</f>
        <v>符亚平</v>
      </c>
    </row>
    <row r="20" spans="1:4" ht="30" customHeight="1">
      <c r="A20" s="6">
        <v>18</v>
      </c>
      <c r="B20" s="6" t="str">
        <f>"508120230421093832138203"</f>
        <v>508120230421093832138203</v>
      </c>
      <c r="C20" s="6" t="s">
        <v>5</v>
      </c>
      <c r="D20" s="6" t="str">
        <f>"符广任"</f>
        <v>符广任</v>
      </c>
    </row>
    <row r="21" spans="1:4" ht="30" customHeight="1">
      <c r="A21" s="6">
        <v>19</v>
      </c>
      <c r="B21" s="6" t="str">
        <f>"508120230421104705138390"</f>
        <v>508120230421104705138390</v>
      </c>
      <c r="C21" s="6" t="s">
        <v>5</v>
      </c>
      <c r="D21" s="6" t="str">
        <f>"司琼燕"</f>
        <v>司琼燕</v>
      </c>
    </row>
    <row r="22" spans="1:4" ht="30" customHeight="1">
      <c r="A22" s="6">
        <v>20</v>
      </c>
      <c r="B22" s="6" t="str">
        <f>"508120230421102209138323"</f>
        <v>508120230421102209138323</v>
      </c>
      <c r="C22" s="6" t="s">
        <v>5</v>
      </c>
      <c r="D22" s="6" t="str">
        <f>"朱正本"</f>
        <v>朱正本</v>
      </c>
    </row>
    <row r="23" spans="1:4" ht="30" customHeight="1">
      <c r="A23" s="6">
        <v>21</v>
      </c>
      <c r="B23" s="6" t="str">
        <f>"508120230421105605138407"</f>
        <v>508120230421105605138407</v>
      </c>
      <c r="C23" s="6" t="s">
        <v>5</v>
      </c>
      <c r="D23" s="6" t="str">
        <f>"何俏"</f>
        <v>何俏</v>
      </c>
    </row>
    <row r="24" spans="1:4" ht="30" customHeight="1">
      <c r="A24" s="6">
        <v>22</v>
      </c>
      <c r="B24" s="6" t="str">
        <f>"508120230421105119138400"</f>
        <v>508120230421105119138400</v>
      </c>
      <c r="C24" s="6" t="s">
        <v>5</v>
      </c>
      <c r="D24" s="6" t="str">
        <f>"钟圣晶"</f>
        <v>钟圣晶</v>
      </c>
    </row>
    <row r="25" spans="1:4" ht="30" customHeight="1">
      <c r="A25" s="6">
        <v>23</v>
      </c>
      <c r="B25" s="6" t="str">
        <f>"508120230421103026138349"</f>
        <v>508120230421103026138349</v>
      </c>
      <c r="C25" s="6" t="s">
        <v>5</v>
      </c>
      <c r="D25" s="6" t="str">
        <f>"张捷"</f>
        <v>张捷</v>
      </c>
    </row>
    <row r="26" spans="1:4" ht="30" customHeight="1">
      <c r="A26" s="6">
        <v>24</v>
      </c>
      <c r="B26" s="6" t="str">
        <f>"508120230421105526138406"</f>
        <v>508120230421105526138406</v>
      </c>
      <c r="C26" s="6" t="s">
        <v>5</v>
      </c>
      <c r="D26" s="6" t="str">
        <f>"王颖"</f>
        <v>王颖</v>
      </c>
    </row>
    <row r="27" spans="1:4" ht="30" customHeight="1">
      <c r="A27" s="6">
        <v>25</v>
      </c>
      <c r="B27" s="6" t="str">
        <f>"508120230421102149138319"</f>
        <v>508120230421102149138319</v>
      </c>
      <c r="C27" s="6" t="s">
        <v>5</v>
      </c>
      <c r="D27" s="6" t="str">
        <f>"云永福"</f>
        <v>云永福</v>
      </c>
    </row>
    <row r="28" spans="1:4" ht="30" customHeight="1">
      <c r="A28" s="6">
        <v>26</v>
      </c>
      <c r="B28" s="6" t="str">
        <f>"508120230421111031138439"</f>
        <v>508120230421111031138439</v>
      </c>
      <c r="C28" s="6" t="s">
        <v>5</v>
      </c>
      <c r="D28" s="6" t="str">
        <f>"王丽婷"</f>
        <v>王丽婷</v>
      </c>
    </row>
    <row r="29" spans="1:4" ht="30" customHeight="1">
      <c r="A29" s="6">
        <v>27</v>
      </c>
      <c r="B29" s="6" t="str">
        <f>"508120230421110026138416"</f>
        <v>508120230421110026138416</v>
      </c>
      <c r="C29" s="6" t="s">
        <v>5</v>
      </c>
      <c r="D29" s="6" t="str">
        <f>"陈梦怡"</f>
        <v>陈梦怡</v>
      </c>
    </row>
    <row r="30" spans="1:4" ht="30" customHeight="1">
      <c r="A30" s="6">
        <v>28</v>
      </c>
      <c r="B30" s="6" t="str">
        <f>"508120230421102335138327"</f>
        <v>508120230421102335138327</v>
      </c>
      <c r="C30" s="6" t="s">
        <v>5</v>
      </c>
      <c r="D30" s="6" t="str">
        <f>"曾阳"</f>
        <v>曾阳</v>
      </c>
    </row>
    <row r="31" spans="1:4" ht="30" customHeight="1">
      <c r="A31" s="6">
        <v>29</v>
      </c>
      <c r="B31" s="6" t="str">
        <f>"508120230421093539138195"</f>
        <v>508120230421093539138195</v>
      </c>
      <c r="C31" s="6" t="s">
        <v>5</v>
      </c>
      <c r="D31" s="6" t="str">
        <f>"李璧好"</f>
        <v>李璧好</v>
      </c>
    </row>
    <row r="32" spans="1:4" ht="30" customHeight="1">
      <c r="A32" s="6">
        <v>30</v>
      </c>
      <c r="B32" s="6" t="str">
        <f>"508120230421095931138267"</f>
        <v>508120230421095931138267</v>
      </c>
      <c r="C32" s="6" t="s">
        <v>5</v>
      </c>
      <c r="D32" s="6" t="str">
        <f>"卓先俊"</f>
        <v>卓先俊</v>
      </c>
    </row>
    <row r="33" spans="1:4" ht="30" customHeight="1">
      <c r="A33" s="6">
        <v>31</v>
      </c>
      <c r="B33" s="6" t="str">
        <f>"508120230421114810138507"</f>
        <v>508120230421114810138507</v>
      </c>
      <c r="C33" s="6" t="s">
        <v>5</v>
      </c>
      <c r="D33" s="6" t="str">
        <f>"林应鸿"</f>
        <v>林应鸿</v>
      </c>
    </row>
    <row r="34" spans="1:4" ht="30" customHeight="1">
      <c r="A34" s="6">
        <v>32</v>
      </c>
      <c r="B34" s="6" t="str">
        <f>"508120230421094920138238"</f>
        <v>508120230421094920138238</v>
      </c>
      <c r="C34" s="6" t="s">
        <v>5</v>
      </c>
      <c r="D34" s="6" t="str">
        <f>"李波"</f>
        <v>李波</v>
      </c>
    </row>
    <row r="35" spans="1:4" ht="30" customHeight="1">
      <c r="A35" s="6">
        <v>33</v>
      </c>
      <c r="B35" s="6" t="str">
        <f>"508120230421111834138451"</f>
        <v>508120230421111834138451</v>
      </c>
      <c r="C35" s="6" t="s">
        <v>5</v>
      </c>
      <c r="D35" s="6" t="str">
        <f>"林志平"</f>
        <v>林志平</v>
      </c>
    </row>
    <row r="36" spans="1:4" ht="30" customHeight="1">
      <c r="A36" s="6">
        <v>34</v>
      </c>
      <c r="B36" s="6" t="str">
        <f>"508120230421104823138392"</f>
        <v>508120230421104823138392</v>
      </c>
      <c r="C36" s="6" t="s">
        <v>5</v>
      </c>
      <c r="D36" s="6" t="str">
        <f>"李宏斌"</f>
        <v>李宏斌</v>
      </c>
    </row>
    <row r="37" spans="1:4" ht="30" customHeight="1">
      <c r="A37" s="6">
        <v>35</v>
      </c>
      <c r="B37" s="6" t="str">
        <f>"508120230421121833138551"</f>
        <v>508120230421121833138551</v>
      </c>
      <c r="C37" s="6" t="s">
        <v>5</v>
      </c>
      <c r="D37" s="6" t="str">
        <f>"杜青雨"</f>
        <v>杜青雨</v>
      </c>
    </row>
    <row r="38" spans="1:4" ht="30" customHeight="1">
      <c r="A38" s="6">
        <v>36</v>
      </c>
      <c r="B38" s="6" t="str">
        <f>"508120230421110850138434"</f>
        <v>508120230421110850138434</v>
      </c>
      <c r="C38" s="6" t="s">
        <v>5</v>
      </c>
      <c r="D38" s="6" t="str">
        <f>"任旭旭"</f>
        <v>任旭旭</v>
      </c>
    </row>
    <row r="39" spans="1:4" ht="30" customHeight="1">
      <c r="A39" s="6">
        <v>37</v>
      </c>
      <c r="B39" s="6" t="str">
        <f>"508120230421122301138558"</f>
        <v>508120230421122301138558</v>
      </c>
      <c r="C39" s="6" t="s">
        <v>5</v>
      </c>
      <c r="D39" s="6" t="str">
        <f>"谢谦"</f>
        <v>谢谦</v>
      </c>
    </row>
    <row r="40" spans="1:4" ht="30" customHeight="1">
      <c r="A40" s="6">
        <v>38</v>
      </c>
      <c r="B40" s="6" t="str">
        <f>"508120230421115908138524"</f>
        <v>508120230421115908138524</v>
      </c>
      <c r="C40" s="6" t="s">
        <v>5</v>
      </c>
      <c r="D40" s="6" t="str">
        <f>"孟开将"</f>
        <v>孟开将</v>
      </c>
    </row>
    <row r="41" spans="1:4" ht="30" customHeight="1">
      <c r="A41" s="6">
        <v>39</v>
      </c>
      <c r="B41" s="6" t="str">
        <f>"508120230421123257138570"</f>
        <v>508120230421123257138570</v>
      </c>
      <c r="C41" s="6" t="s">
        <v>5</v>
      </c>
      <c r="D41" s="6" t="str">
        <f>"卓怀刚"</f>
        <v>卓怀刚</v>
      </c>
    </row>
    <row r="42" spans="1:4" ht="30" customHeight="1">
      <c r="A42" s="6">
        <v>40</v>
      </c>
      <c r="B42" s="6" t="str">
        <f>"508120230421122208138555"</f>
        <v>508120230421122208138555</v>
      </c>
      <c r="C42" s="6" t="s">
        <v>5</v>
      </c>
      <c r="D42" s="6" t="str">
        <f>"郭金善"</f>
        <v>郭金善</v>
      </c>
    </row>
    <row r="43" spans="1:4" ht="30" customHeight="1">
      <c r="A43" s="6">
        <v>41</v>
      </c>
      <c r="B43" s="6" t="str">
        <f>"508120230421130609138597"</f>
        <v>508120230421130609138597</v>
      </c>
      <c r="C43" s="6" t="s">
        <v>5</v>
      </c>
      <c r="D43" s="6" t="str">
        <f>"黎石王"</f>
        <v>黎石王</v>
      </c>
    </row>
    <row r="44" spans="1:4" ht="30" customHeight="1">
      <c r="A44" s="6">
        <v>42</v>
      </c>
      <c r="B44" s="6" t="str">
        <f>"508120230421131904138603"</f>
        <v>508120230421131904138603</v>
      </c>
      <c r="C44" s="6" t="s">
        <v>5</v>
      </c>
      <c r="D44" s="6" t="str">
        <f>"陈长胜"</f>
        <v>陈长胜</v>
      </c>
    </row>
    <row r="45" spans="1:4" ht="30" customHeight="1">
      <c r="A45" s="6">
        <v>43</v>
      </c>
      <c r="B45" s="6" t="str">
        <f>"508120230421135454138632"</f>
        <v>508120230421135454138632</v>
      </c>
      <c r="C45" s="6" t="s">
        <v>5</v>
      </c>
      <c r="D45" s="6" t="str">
        <f>"林龙"</f>
        <v>林龙</v>
      </c>
    </row>
    <row r="46" spans="1:4" ht="30" customHeight="1">
      <c r="A46" s="6">
        <v>44</v>
      </c>
      <c r="B46" s="6" t="str">
        <f>"508120230421140931138642"</f>
        <v>508120230421140931138642</v>
      </c>
      <c r="C46" s="6" t="s">
        <v>5</v>
      </c>
      <c r="D46" s="6" t="str">
        <f>"仲伟彬"</f>
        <v>仲伟彬</v>
      </c>
    </row>
    <row r="47" spans="1:4" ht="30" customHeight="1">
      <c r="A47" s="6">
        <v>45</v>
      </c>
      <c r="B47" s="6" t="str">
        <f>"508120230421091538138138"</f>
        <v>508120230421091538138138</v>
      </c>
      <c r="C47" s="6" t="s">
        <v>5</v>
      </c>
      <c r="D47" s="6" t="str">
        <f>"麦名斌"</f>
        <v>麦名斌</v>
      </c>
    </row>
    <row r="48" spans="1:4" ht="30" customHeight="1">
      <c r="A48" s="6">
        <v>46</v>
      </c>
      <c r="B48" s="6" t="str">
        <f>"508120230421105314138403"</f>
        <v>508120230421105314138403</v>
      </c>
      <c r="C48" s="6" t="s">
        <v>5</v>
      </c>
      <c r="D48" s="6" t="str">
        <f>"彭崇参"</f>
        <v>彭崇参</v>
      </c>
    </row>
    <row r="49" spans="1:4" ht="30" customHeight="1">
      <c r="A49" s="6">
        <v>47</v>
      </c>
      <c r="B49" s="6" t="str">
        <f>"508120230421144731138685"</f>
        <v>508120230421144731138685</v>
      </c>
      <c r="C49" s="6" t="s">
        <v>5</v>
      </c>
      <c r="D49" s="6" t="str">
        <f>"王颖"</f>
        <v>王颖</v>
      </c>
    </row>
    <row r="50" spans="1:4" ht="30" customHeight="1">
      <c r="A50" s="6">
        <v>48</v>
      </c>
      <c r="B50" s="6" t="str">
        <f>"508120230421134844138625"</f>
        <v>508120230421134844138625</v>
      </c>
      <c r="C50" s="6" t="s">
        <v>5</v>
      </c>
      <c r="D50" s="6" t="str">
        <f>"陈歆然"</f>
        <v>陈歆然</v>
      </c>
    </row>
    <row r="51" spans="1:4" ht="30" customHeight="1">
      <c r="A51" s="6">
        <v>49</v>
      </c>
      <c r="B51" s="6" t="str">
        <f>"508120230421145723138699"</f>
        <v>508120230421145723138699</v>
      </c>
      <c r="C51" s="6" t="s">
        <v>5</v>
      </c>
      <c r="D51" s="6" t="str">
        <f>"曾维广"</f>
        <v>曾维广</v>
      </c>
    </row>
    <row r="52" spans="1:4" ht="30" customHeight="1">
      <c r="A52" s="6">
        <v>50</v>
      </c>
      <c r="B52" s="6" t="str">
        <f>"508120230421145422138693"</f>
        <v>508120230421145422138693</v>
      </c>
      <c r="C52" s="6" t="s">
        <v>5</v>
      </c>
      <c r="D52" s="6" t="str">
        <f>"吴秀芸"</f>
        <v>吴秀芸</v>
      </c>
    </row>
    <row r="53" spans="1:4" ht="30" customHeight="1">
      <c r="A53" s="6">
        <v>51</v>
      </c>
      <c r="B53" s="6" t="str">
        <f>"508120230421094847138235"</f>
        <v>508120230421094847138235</v>
      </c>
      <c r="C53" s="6" t="s">
        <v>5</v>
      </c>
      <c r="D53" s="6" t="str">
        <f>"邢增传"</f>
        <v>邢增传</v>
      </c>
    </row>
    <row r="54" spans="1:4" ht="30" customHeight="1">
      <c r="A54" s="6">
        <v>52</v>
      </c>
      <c r="B54" s="6" t="str">
        <f>"508120230421153003138759"</f>
        <v>508120230421153003138759</v>
      </c>
      <c r="C54" s="6" t="s">
        <v>5</v>
      </c>
      <c r="D54" s="6" t="str">
        <f>"谢志昊"</f>
        <v>谢志昊</v>
      </c>
    </row>
    <row r="55" spans="1:4" ht="30" customHeight="1">
      <c r="A55" s="6">
        <v>53</v>
      </c>
      <c r="B55" s="6" t="str">
        <f>"508120230421154349138782"</f>
        <v>508120230421154349138782</v>
      </c>
      <c r="C55" s="6" t="s">
        <v>5</v>
      </c>
      <c r="D55" s="6" t="str">
        <f>"陈纪斌"</f>
        <v>陈纪斌</v>
      </c>
    </row>
    <row r="56" spans="1:4" ht="30" customHeight="1">
      <c r="A56" s="6">
        <v>54</v>
      </c>
      <c r="B56" s="6" t="str">
        <f>"508120230421092832138179"</f>
        <v>508120230421092832138179</v>
      </c>
      <c r="C56" s="6" t="s">
        <v>5</v>
      </c>
      <c r="D56" s="6" t="str">
        <f>"林天晓"</f>
        <v>林天晓</v>
      </c>
    </row>
    <row r="57" spans="1:4" ht="30" customHeight="1">
      <c r="A57" s="6">
        <v>55</v>
      </c>
      <c r="B57" s="6" t="str">
        <f>"508120230421091328138132"</f>
        <v>508120230421091328138132</v>
      </c>
      <c r="C57" s="6" t="s">
        <v>5</v>
      </c>
      <c r="D57" s="6" t="str">
        <f>"韩景扬"</f>
        <v>韩景扬</v>
      </c>
    </row>
    <row r="58" spans="1:4" ht="30" customHeight="1">
      <c r="A58" s="6">
        <v>56</v>
      </c>
      <c r="B58" s="6" t="str">
        <f>"508120230421152302138743"</f>
        <v>508120230421152302138743</v>
      </c>
      <c r="C58" s="6" t="s">
        <v>5</v>
      </c>
      <c r="D58" s="6" t="str">
        <f>"黄志明"</f>
        <v>黄志明</v>
      </c>
    </row>
    <row r="59" spans="1:4" ht="30" customHeight="1">
      <c r="A59" s="6">
        <v>57</v>
      </c>
      <c r="B59" s="6" t="str">
        <f>"508120230421155427138799"</f>
        <v>508120230421155427138799</v>
      </c>
      <c r="C59" s="6" t="s">
        <v>5</v>
      </c>
      <c r="D59" s="6" t="str">
        <f>"陈克飞"</f>
        <v>陈克飞</v>
      </c>
    </row>
    <row r="60" spans="1:4" ht="30" customHeight="1">
      <c r="A60" s="6">
        <v>58</v>
      </c>
      <c r="B60" s="6" t="str">
        <f>"508120230421160429138814"</f>
        <v>508120230421160429138814</v>
      </c>
      <c r="C60" s="6" t="s">
        <v>5</v>
      </c>
      <c r="D60" s="6" t="str">
        <f>"王倡文"</f>
        <v>王倡文</v>
      </c>
    </row>
    <row r="61" spans="1:4" ht="30" customHeight="1">
      <c r="A61" s="6">
        <v>59</v>
      </c>
      <c r="B61" s="6" t="str">
        <f>"508120230421161641138835"</f>
        <v>508120230421161641138835</v>
      </c>
      <c r="C61" s="6" t="s">
        <v>5</v>
      </c>
      <c r="D61" s="6" t="str">
        <f>"陆蕾"</f>
        <v>陆蕾</v>
      </c>
    </row>
    <row r="62" spans="1:4" ht="30" customHeight="1">
      <c r="A62" s="6">
        <v>60</v>
      </c>
      <c r="B62" s="6" t="str">
        <f>"508120230421160154138809"</f>
        <v>508120230421160154138809</v>
      </c>
      <c r="C62" s="6" t="s">
        <v>5</v>
      </c>
      <c r="D62" s="6" t="str">
        <f>"范虓肇"</f>
        <v>范虓肇</v>
      </c>
    </row>
    <row r="63" spans="1:4" ht="30" customHeight="1">
      <c r="A63" s="6">
        <v>61</v>
      </c>
      <c r="B63" s="6" t="str">
        <f>"508120230421160035138805"</f>
        <v>508120230421160035138805</v>
      </c>
      <c r="C63" s="6" t="s">
        <v>5</v>
      </c>
      <c r="D63" s="6" t="str">
        <f>"李宗洋"</f>
        <v>李宗洋</v>
      </c>
    </row>
    <row r="64" spans="1:4" ht="30" customHeight="1">
      <c r="A64" s="6">
        <v>62</v>
      </c>
      <c r="B64" s="6" t="str">
        <f>"508120230421165955138886"</f>
        <v>508120230421165955138886</v>
      </c>
      <c r="C64" s="6" t="s">
        <v>5</v>
      </c>
      <c r="D64" s="6" t="str">
        <f>"洪小慧"</f>
        <v>洪小慧</v>
      </c>
    </row>
    <row r="65" spans="1:4" ht="30" customHeight="1">
      <c r="A65" s="6">
        <v>63</v>
      </c>
      <c r="B65" s="6" t="str">
        <f>"508120230421123359138571"</f>
        <v>508120230421123359138571</v>
      </c>
      <c r="C65" s="6" t="s">
        <v>5</v>
      </c>
      <c r="D65" s="6" t="str">
        <f>"王晴"</f>
        <v>王晴</v>
      </c>
    </row>
    <row r="66" spans="1:4" ht="30" customHeight="1">
      <c r="A66" s="6">
        <v>64</v>
      </c>
      <c r="B66" s="6" t="str">
        <f>"508120230421145800138703"</f>
        <v>508120230421145800138703</v>
      </c>
      <c r="C66" s="6" t="s">
        <v>5</v>
      </c>
      <c r="D66" s="6" t="str">
        <f>"李富铭"</f>
        <v>李富铭</v>
      </c>
    </row>
    <row r="67" spans="1:4" ht="30" customHeight="1">
      <c r="A67" s="6">
        <v>65</v>
      </c>
      <c r="B67" s="6" t="str">
        <f>"508120230421170747138898"</f>
        <v>508120230421170747138898</v>
      </c>
      <c r="C67" s="6" t="s">
        <v>5</v>
      </c>
      <c r="D67" s="6" t="str">
        <f>"曾一凡"</f>
        <v>曾一凡</v>
      </c>
    </row>
    <row r="68" spans="1:4" ht="30" customHeight="1">
      <c r="A68" s="6">
        <v>66</v>
      </c>
      <c r="B68" s="6" t="str">
        <f>"508120230421170620138894"</f>
        <v>508120230421170620138894</v>
      </c>
      <c r="C68" s="6" t="s">
        <v>5</v>
      </c>
      <c r="D68" s="6" t="str">
        <f>"王颖"</f>
        <v>王颖</v>
      </c>
    </row>
    <row r="69" spans="1:4" ht="30" customHeight="1">
      <c r="A69" s="6">
        <v>67</v>
      </c>
      <c r="B69" s="6" t="str">
        <f>"508120230421170123138887"</f>
        <v>508120230421170123138887</v>
      </c>
      <c r="C69" s="6" t="s">
        <v>5</v>
      </c>
      <c r="D69" s="6" t="str">
        <f>"陈明就"</f>
        <v>陈明就</v>
      </c>
    </row>
    <row r="70" spans="1:4" ht="30" customHeight="1">
      <c r="A70" s="6">
        <v>68</v>
      </c>
      <c r="B70" s="6" t="str">
        <f>"508120230421163955138861"</f>
        <v>508120230421163955138861</v>
      </c>
      <c r="C70" s="6" t="s">
        <v>5</v>
      </c>
      <c r="D70" s="6" t="str">
        <f>"陈善景"</f>
        <v>陈善景</v>
      </c>
    </row>
    <row r="71" spans="1:4" ht="30" customHeight="1">
      <c r="A71" s="6">
        <v>69</v>
      </c>
      <c r="B71" s="6" t="str">
        <f>"508120230421153656138771"</f>
        <v>508120230421153656138771</v>
      </c>
      <c r="C71" s="6" t="s">
        <v>5</v>
      </c>
      <c r="D71" s="6" t="str">
        <f>"王海松"</f>
        <v>王海松</v>
      </c>
    </row>
    <row r="72" spans="1:4" ht="30" customHeight="1">
      <c r="A72" s="6">
        <v>70</v>
      </c>
      <c r="B72" s="6" t="str">
        <f>"508120230421172109138914"</f>
        <v>508120230421172109138914</v>
      </c>
      <c r="C72" s="6" t="s">
        <v>5</v>
      </c>
      <c r="D72" s="6" t="str">
        <f>"王和高"</f>
        <v>王和高</v>
      </c>
    </row>
    <row r="73" spans="1:4" ht="30" customHeight="1">
      <c r="A73" s="6">
        <v>71</v>
      </c>
      <c r="B73" s="6" t="str">
        <f>"508120230421170600138892"</f>
        <v>508120230421170600138892</v>
      </c>
      <c r="C73" s="6" t="s">
        <v>5</v>
      </c>
      <c r="D73" s="6" t="str">
        <f>"曾盈"</f>
        <v>曾盈</v>
      </c>
    </row>
    <row r="74" spans="1:4" ht="30" customHeight="1">
      <c r="A74" s="6">
        <v>72</v>
      </c>
      <c r="B74" s="6" t="str">
        <f>"508120230421173051138925"</f>
        <v>508120230421173051138925</v>
      </c>
      <c r="C74" s="6" t="s">
        <v>5</v>
      </c>
      <c r="D74" s="6" t="str">
        <f>"陈之楠"</f>
        <v>陈之楠</v>
      </c>
    </row>
    <row r="75" spans="1:4" ht="30" customHeight="1">
      <c r="A75" s="6">
        <v>73</v>
      </c>
      <c r="B75" s="6" t="str">
        <f>"508120230421175418138950"</f>
        <v>508120230421175418138950</v>
      </c>
      <c r="C75" s="6" t="s">
        <v>5</v>
      </c>
      <c r="D75" s="6" t="str">
        <f>"符云飞"</f>
        <v>符云飞</v>
      </c>
    </row>
    <row r="76" spans="1:4" ht="30" customHeight="1">
      <c r="A76" s="6">
        <v>74</v>
      </c>
      <c r="B76" s="6" t="str">
        <f>"508120230421175239138949"</f>
        <v>508120230421175239138949</v>
      </c>
      <c r="C76" s="6" t="s">
        <v>5</v>
      </c>
      <c r="D76" s="6" t="str">
        <f>"王晓叶"</f>
        <v>王晓叶</v>
      </c>
    </row>
    <row r="77" spans="1:4" ht="30" customHeight="1">
      <c r="A77" s="6">
        <v>75</v>
      </c>
      <c r="B77" s="6" t="str">
        <f>"508120230421171236138903"</f>
        <v>508120230421171236138903</v>
      </c>
      <c r="C77" s="6" t="s">
        <v>5</v>
      </c>
      <c r="D77" s="6" t="str">
        <f>"黄奕果"</f>
        <v>黄奕果</v>
      </c>
    </row>
    <row r="78" spans="1:4" ht="30" customHeight="1">
      <c r="A78" s="6">
        <v>76</v>
      </c>
      <c r="B78" s="6" t="str">
        <f>"508120230421141352138649"</f>
        <v>508120230421141352138649</v>
      </c>
      <c r="C78" s="6" t="s">
        <v>5</v>
      </c>
      <c r="D78" s="6" t="str">
        <f>"杨雄杰"</f>
        <v>杨雄杰</v>
      </c>
    </row>
    <row r="79" spans="1:4" ht="30" customHeight="1">
      <c r="A79" s="6">
        <v>77</v>
      </c>
      <c r="B79" s="6" t="str">
        <f>"508120230421121433138540"</f>
        <v>508120230421121433138540</v>
      </c>
      <c r="C79" s="6" t="s">
        <v>5</v>
      </c>
      <c r="D79" s="6" t="str">
        <f>"曾昭玮"</f>
        <v>曾昭玮</v>
      </c>
    </row>
    <row r="80" spans="1:4" ht="30" customHeight="1">
      <c r="A80" s="6">
        <v>78</v>
      </c>
      <c r="B80" s="6" t="str">
        <f>"508120230421191041139002"</f>
        <v>508120230421191041139002</v>
      </c>
      <c r="C80" s="6" t="s">
        <v>5</v>
      </c>
      <c r="D80" s="6" t="str">
        <f>"钟章妹"</f>
        <v>钟章妹</v>
      </c>
    </row>
    <row r="81" spans="1:4" ht="30" customHeight="1">
      <c r="A81" s="6">
        <v>79</v>
      </c>
      <c r="B81" s="6" t="str">
        <f>"508120230421185956138996"</f>
        <v>508120230421185956138996</v>
      </c>
      <c r="C81" s="6" t="s">
        <v>5</v>
      </c>
      <c r="D81" s="6" t="str">
        <f>"薛升宇"</f>
        <v>薛升宇</v>
      </c>
    </row>
    <row r="82" spans="1:4" ht="30" customHeight="1">
      <c r="A82" s="6">
        <v>80</v>
      </c>
      <c r="B82" s="6" t="str">
        <f>"508120230421150629138718"</f>
        <v>508120230421150629138718</v>
      </c>
      <c r="C82" s="6" t="s">
        <v>5</v>
      </c>
      <c r="D82" s="6" t="str">
        <f>"丁鸿骄"</f>
        <v>丁鸿骄</v>
      </c>
    </row>
    <row r="83" spans="1:4" ht="30" customHeight="1">
      <c r="A83" s="6">
        <v>81</v>
      </c>
      <c r="B83" s="6" t="str">
        <f>"508120230421160504138815"</f>
        <v>508120230421160504138815</v>
      </c>
      <c r="C83" s="6" t="s">
        <v>5</v>
      </c>
      <c r="D83" s="6" t="str">
        <f>"欧鹏"</f>
        <v>欧鹏</v>
      </c>
    </row>
    <row r="84" spans="1:4" ht="30" customHeight="1">
      <c r="A84" s="6">
        <v>82</v>
      </c>
      <c r="B84" s="6" t="str">
        <f>"508120230421185715138995"</f>
        <v>508120230421185715138995</v>
      </c>
      <c r="C84" s="6" t="s">
        <v>5</v>
      </c>
      <c r="D84" s="6" t="str">
        <f>"吉忠良"</f>
        <v>吉忠良</v>
      </c>
    </row>
    <row r="85" spans="1:4" ht="30" customHeight="1">
      <c r="A85" s="6">
        <v>83</v>
      </c>
      <c r="B85" s="6" t="str">
        <f>"508120230421193953139016"</f>
        <v>508120230421193953139016</v>
      </c>
      <c r="C85" s="6" t="s">
        <v>5</v>
      </c>
      <c r="D85" s="6" t="str">
        <f>"黄泽田"</f>
        <v>黄泽田</v>
      </c>
    </row>
    <row r="86" spans="1:4" ht="30" customHeight="1">
      <c r="A86" s="6">
        <v>84</v>
      </c>
      <c r="B86" s="6" t="str">
        <f>"508120230421104939138399"</f>
        <v>508120230421104939138399</v>
      </c>
      <c r="C86" s="6" t="s">
        <v>5</v>
      </c>
      <c r="D86" s="6" t="str">
        <f>"孙传典"</f>
        <v>孙传典</v>
      </c>
    </row>
    <row r="87" spans="1:4" ht="30" customHeight="1">
      <c r="A87" s="6">
        <v>85</v>
      </c>
      <c r="B87" s="6" t="str">
        <f>"508120230421203048139053"</f>
        <v>508120230421203048139053</v>
      </c>
      <c r="C87" s="6" t="s">
        <v>5</v>
      </c>
      <c r="D87" s="6" t="str">
        <f>"邓广斌"</f>
        <v>邓广斌</v>
      </c>
    </row>
    <row r="88" spans="1:4" ht="30" customHeight="1">
      <c r="A88" s="6">
        <v>86</v>
      </c>
      <c r="B88" s="6" t="str">
        <f>"508120230421161239138827"</f>
        <v>508120230421161239138827</v>
      </c>
      <c r="C88" s="6" t="s">
        <v>5</v>
      </c>
      <c r="D88" s="6" t="str">
        <f>"文名"</f>
        <v>文名</v>
      </c>
    </row>
    <row r="89" spans="1:4" ht="30" customHeight="1">
      <c r="A89" s="6">
        <v>87</v>
      </c>
      <c r="B89" s="6" t="str">
        <f>"508120230421095152138249"</f>
        <v>508120230421095152138249</v>
      </c>
      <c r="C89" s="6" t="s">
        <v>5</v>
      </c>
      <c r="D89" s="6" t="str">
        <f>"陈燕露"</f>
        <v>陈燕露</v>
      </c>
    </row>
    <row r="90" spans="1:4" ht="30" customHeight="1">
      <c r="A90" s="6">
        <v>88</v>
      </c>
      <c r="B90" s="6" t="str">
        <f>"508120230421114518138505"</f>
        <v>508120230421114518138505</v>
      </c>
      <c r="C90" s="6" t="s">
        <v>5</v>
      </c>
      <c r="D90" s="6" t="str">
        <f>"冯行丰"</f>
        <v>冯行丰</v>
      </c>
    </row>
    <row r="91" spans="1:4" ht="30" customHeight="1">
      <c r="A91" s="6">
        <v>89</v>
      </c>
      <c r="B91" s="6" t="str">
        <f>"508120230421110731138430"</f>
        <v>508120230421110731138430</v>
      </c>
      <c r="C91" s="6" t="s">
        <v>5</v>
      </c>
      <c r="D91" s="6" t="str">
        <f>"吕邦旭"</f>
        <v>吕邦旭</v>
      </c>
    </row>
    <row r="92" spans="1:4" ht="30" customHeight="1">
      <c r="A92" s="6">
        <v>90</v>
      </c>
      <c r="B92" s="6" t="str">
        <f>"508120230422002613139145"</f>
        <v>508120230422002613139145</v>
      </c>
      <c r="C92" s="6" t="s">
        <v>5</v>
      </c>
      <c r="D92" s="6" t="str">
        <f>"陈贻藏"</f>
        <v>陈贻藏</v>
      </c>
    </row>
    <row r="93" spans="1:4" ht="30" customHeight="1">
      <c r="A93" s="6">
        <v>91</v>
      </c>
      <c r="B93" s="6" t="str">
        <f>"508120230422082654139167"</f>
        <v>508120230422082654139167</v>
      </c>
      <c r="C93" s="6" t="s">
        <v>5</v>
      </c>
      <c r="D93" s="6" t="str">
        <f>"郑悦"</f>
        <v>郑悦</v>
      </c>
    </row>
    <row r="94" spans="1:4" ht="30" customHeight="1">
      <c r="A94" s="6">
        <v>92</v>
      </c>
      <c r="B94" s="6" t="str">
        <f>"508120230422085708139178"</f>
        <v>508120230422085708139178</v>
      </c>
      <c r="C94" s="6" t="s">
        <v>5</v>
      </c>
      <c r="D94" s="6" t="str">
        <f>"卢明学"</f>
        <v>卢明学</v>
      </c>
    </row>
    <row r="95" spans="1:4" ht="30" customHeight="1">
      <c r="A95" s="6">
        <v>93</v>
      </c>
      <c r="B95" s="6" t="str">
        <f>"508120230421152758138752"</f>
        <v>508120230421152758138752</v>
      </c>
      <c r="C95" s="6" t="s">
        <v>5</v>
      </c>
      <c r="D95" s="6" t="str">
        <f>"崔祖斌"</f>
        <v>崔祖斌</v>
      </c>
    </row>
    <row r="96" spans="1:4" ht="30" customHeight="1">
      <c r="A96" s="6">
        <v>94</v>
      </c>
      <c r="B96" s="6" t="str">
        <f>"508120230421095626138260"</f>
        <v>508120230421095626138260</v>
      </c>
      <c r="C96" s="6" t="s">
        <v>5</v>
      </c>
      <c r="D96" s="6" t="str">
        <f>"谢焕晖"</f>
        <v>谢焕晖</v>
      </c>
    </row>
    <row r="97" spans="1:4" ht="30" customHeight="1">
      <c r="A97" s="6">
        <v>95</v>
      </c>
      <c r="B97" s="6" t="str">
        <f>"508120230422095911139208"</f>
        <v>508120230422095911139208</v>
      </c>
      <c r="C97" s="6" t="s">
        <v>5</v>
      </c>
      <c r="D97" s="6" t="str">
        <f>"黎显才"</f>
        <v>黎显才</v>
      </c>
    </row>
    <row r="98" spans="1:4" ht="30" customHeight="1">
      <c r="A98" s="6">
        <v>96</v>
      </c>
      <c r="B98" s="6" t="str">
        <f>"508120230421091652138142"</f>
        <v>508120230421091652138142</v>
      </c>
      <c r="C98" s="6" t="s">
        <v>5</v>
      </c>
      <c r="D98" s="6" t="str">
        <f>"冯晓舟"</f>
        <v>冯晓舟</v>
      </c>
    </row>
    <row r="99" spans="1:4" ht="30" customHeight="1">
      <c r="A99" s="6">
        <v>97</v>
      </c>
      <c r="B99" s="6" t="str">
        <f>"508120230422090905139182"</f>
        <v>508120230422090905139182</v>
      </c>
      <c r="C99" s="6" t="s">
        <v>5</v>
      </c>
      <c r="D99" s="6" t="str">
        <f>"李五羊"</f>
        <v>李五羊</v>
      </c>
    </row>
    <row r="100" spans="1:4" ht="30" customHeight="1">
      <c r="A100" s="6">
        <v>98</v>
      </c>
      <c r="B100" s="6" t="str">
        <f>"508120230422103741139227"</f>
        <v>508120230422103741139227</v>
      </c>
      <c r="C100" s="6" t="s">
        <v>5</v>
      </c>
      <c r="D100" s="6" t="str">
        <f>"吴卓里"</f>
        <v>吴卓里</v>
      </c>
    </row>
    <row r="101" spans="1:4" ht="30" customHeight="1">
      <c r="A101" s="6">
        <v>99</v>
      </c>
      <c r="B101" s="6" t="str">
        <f>"508120230422085741139179"</f>
        <v>508120230422085741139179</v>
      </c>
      <c r="C101" s="6" t="s">
        <v>5</v>
      </c>
      <c r="D101" s="6" t="str">
        <f>"陈文华"</f>
        <v>陈文华</v>
      </c>
    </row>
    <row r="102" spans="1:4" ht="30" customHeight="1">
      <c r="A102" s="6">
        <v>100</v>
      </c>
      <c r="B102" s="6" t="str">
        <f>"508120230422082747139169"</f>
        <v>508120230422082747139169</v>
      </c>
      <c r="C102" s="6" t="s">
        <v>5</v>
      </c>
      <c r="D102" s="6" t="str">
        <f>"陈彰华"</f>
        <v>陈彰华</v>
      </c>
    </row>
    <row r="103" spans="1:4" ht="30" customHeight="1">
      <c r="A103" s="6">
        <v>101</v>
      </c>
      <c r="B103" s="6" t="str">
        <f>"508120230422110818139244"</f>
        <v>508120230422110818139244</v>
      </c>
      <c r="C103" s="6" t="s">
        <v>5</v>
      </c>
      <c r="D103" s="6" t="str">
        <f>"蔡笃海"</f>
        <v>蔡笃海</v>
      </c>
    </row>
    <row r="104" spans="1:4" ht="30" customHeight="1">
      <c r="A104" s="6">
        <v>102</v>
      </c>
      <c r="B104" s="6" t="str">
        <f>"508120230422104626139233"</f>
        <v>508120230422104626139233</v>
      </c>
      <c r="C104" s="6" t="s">
        <v>5</v>
      </c>
      <c r="D104" s="6" t="str">
        <f>"李日昊"</f>
        <v>李日昊</v>
      </c>
    </row>
    <row r="105" spans="1:4" ht="30" customHeight="1">
      <c r="A105" s="6">
        <v>103</v>
      </c>
      <c r="B105" s="6" t="str">
        <f>"508120230422104922139235"</f>
        <v>508120230422104922139235</v>
      </c>
      <c r="C105" s="6" t="s">
        <v>5</v>
      </c>
      <c r="D105" s="6" t="str">
        <f>"曾丽媛"</f>
        <v>曾丽媛</v>
      </c>
    </row>
    <row r="106" spans="1:4" ht="30" customHeight="1">
      <c r="A106" s="6">
        <v>104</v>
      </c>
      <c r="B106" s="6" t="str">
        <f>"508120230421090305138090"</f>
        <v>508120230421090305138090</v>
      </c>
      <c r="C106" s="6" t="s">
        <v>5</v>
      </c>
      <c r="D106" s="6" t="str">
        <f>"胡峰铭"</f>
        <v>胡峰铭</v>
      </c>
    </row>
    <row r="107" spans="1:4" ht="30" customHeight="1">
      <c r="A107" s="6">
        <v>105</v>
      </c>
      <c r="B107" s="6" t="str">
        <f>"508120230422111853139251"</f>
        <v>508120230422111853139251</v>
      </c>
      <c r="C107" s="6" t="s">
        <v>5</v>
      </c>
      <c r="D107" s="6" t="str">
        <f>"王诚"</f>
        <v>王诚</v>
      </c>
    </row>
    <row r="108" spans="1:4" ht="30" customHeight="1">
      <c r="A108" s="6">
        <v>106</v>
      </c>
      <c r="B108" s="6" t="str">
        <f>"508120230422130556139329"</f>
        <v>508120230422130556139329</v>
      </c>
      <c r="C108" s="6" t="s">
        <v>5</v>
      </c>
      <c r="D108" s="6" t="str">
        <f>"罗科翔"</f>
        <v>罗科翔</v>
      </c>
    </row>
    <row r="109" spans="1:4" ht="30" customHeight="1">
      <c r="A109" s="6">
        <v>107</v>
      </c>
      <c r="B109" s="6" t="str">
        <f>"508120230421221710139103"</f>
        <v>508120230421221710139103</v>
      </c>
      <c r="C109" s="6" t="s">
        <v>5</v>
      </c>
      <c r="D109" s="6" t="str">
        <f>"张跃龙"</f>
        <v>张跃龙</v>
      </c>
    </row>
    <row r="110" spans="1:4" ht="30" customHeight="1">
      <c r="A110" s="6">
        <v>108</v>
      </c>
      <c r="B110" s="6" t="str">
        <f>"508120230422125359139321"</f>
        <v>508120230422125359139321</v>
      </c>
      <c r="C110" s="6" t="s">
        <v>5</v>
      </c>
      <c r="D110" s="6" t="str">
        <f>"马济慧"</f>
        <v>马济慧</v>
      </c>
    </row>
    <row r="111" spans="1:4" ht="30" customHeight="1">
      <c r="A111" s="6">
        <v>109</v>
      </c>
      <c r="B111" s="6" t="str">
        <f>"508120230422131733139336"</f>
        <v>508120230422131733139336</v>
      </c>
      <c r="C111" s="6" t="s">
        <v>5</v>
      </c>
      <c r="D111" s="6" t="str">
        <f>"王贺锦"</f>
        <v>王贺锦</v>
      </c>
    </row>
    <row r="112" spans="1:4" ht="30" customHeight="1">
      <c r="A112" s="6">
        <v>110</v>
      </c>
      <c r="B112" s="6" t="str">
        <f>"508120230422100639139210"</f>
        <v>508120230422100639139210</v>
      </c>
      <c r="C112" s="6" t="s">
        <v>5</v>
      </c>
      <c r="D112" s="6" t="str">
        <f>"王小弟"</f>
        <v>王小弟</v>
      </c>
    </row>
    <row r="113" spans="1:4" ht="30" customHeight="1">
      <c r="A113" s="6">
        <v>111</v>
      </c>
      <c r="B113" s="6" t="str">
        <f>"508120230422134147139344"</f>
        <v>508120230422134147139344</v>
      </c>
      <c r="C113" s="6" t="s">
        <v>5</v>
      </c>
      <c r="D113" s="6" t="str">
        <f>"姚程耀"</f>
        <v>姚程耀</v>
      </c>
    </row>
    <row r="114" spans="1:4" ht="30" customHeight="1">
      <c r="A114" s="6">
        <v>112</v>
      </c>
      <c r="B114" s="6" t="str">
        <f>"508120230422142449139357"</f>
        <v>508120230422142449139357</v>
      </c>
      <c r="C114" s="6" t="s">
        <v>5</v>
      </c>
      <c r="D114" s="6" t="str">
        <f>"王秋翰"</f>
        <v>王秋翰</v>
      </c>
    </row>
    <row r="115" spans="1:4" ht="30" customHeight="1">
      <c r="A115" s="6">
        <v>113</v>
      </c>
      <c r="B115" s="6" t="str">
        <f>"508120230422153043139387"</f>
        <v>508120230422153043139387</v>
      </c>
      <c r="C115" s="6" t="s">
        <v>5</v>
      </c>
      <c r="D115" s="6" t="str">
        <f>"符宁"</f>
        <v>符宁</v>
      </c>
    </row>
    <row r="116" spans="1:4" ht="30" customHeight="1">
      <c r="A116" s="6">
        <v>114</v>
      </c>
      <c r="B116" s="6" t="str">
        <f>"508120230422141528139354"</f>
        <v>508120230422141528139354</v>
      </c>
      <c r="C116" s="6" t="s">
        <v>5</v>
      </c>
      <c r="D116" s="6" t="str">
        <f>"毛淑瑜"</f>
        <v>毛淑瑜</v>
      </c>
    </row>
    <row r="117" spans="1:4" ht="30" customHeight="1">
      <c r="A117" s="6">
        <v>115</v>
      </c>
      <c r="B117" s="6" t="str">
        <f>"508120230422154937139396"</f>
        <v>508120230422154937139396</v>
      </c>
      <c r="C117" s="6" t="s">
        <v>5</v>
      </c>
      <c r="D117" s="6" t="str">
        <f>"李华亮"</f>
        <v>李华亮</v>
      </c>
    </row>
    <row r="118" spans="1:4" ht="30" customHeight="1">
      <c r="A118" s="6">
        <v>116</v>
      </c>
      <c r="B118" s="6" t="str">
        <f>"508120230422135348139347"</f>
        <v>508120230422135348139347</v>
      </c>
      <c r="C118" s="6" t="s">
        <v>5</v>
      </c>
      <c r="D118" s="6" t="str">
        <f>"吉才鹰"</f>
        <v>吉才鹰</v>
      </c>
    </row>
    <row r="119" spans="1:4" ht="30" customHeight="1">
      <c r="A119" s="6">
        <v>117</v>
      </c>
      <c r="B119" s="6" t="str">
        <f>"508120230422163858139412"</f>
        <v>508120230422163858139412</v>
      </c>
      <c r="C119" s="6" t="s">
        <v>5</v>
      </c>
      <c r="D119" s="6" t="str">
        <f>"王美"</f>
        <v>王美</v>
      </c>
    </row>
    <row r="120" spans="1:4" ht="30" customHeight="1">
      <c r="A120" s="6">
        <v>118</v>
      </c>
      <c r="B120" s="6" t="str">
        <f>"508120230422162801139409"</f>
        <v>508120230422162801139409</v>
      </c>
      <c r="C120" s="6" t="s">
        <v>5</v>
      </c>
      <c r="D120" s="6" t="str">
        <f>"梁安铭"</f>
        <v>梁安铭</v>
      </c>
    </row>
    <row r="121" spans="1:4" ht="30" customHeight="1">
      <c r="A121" s="6">
        <v>119</v>
      </c>
      <c r="B121" s="6" t="str">
        <f>"508120230422113205139258"</f>
        <v>508120230422113205139258</v>
      </c>
      <c r="C121" s="6" t="s">
        <v>5</v>
      </c>
      <c r="D121" s="6" t="str">
        <f>"陈漫诗"</f>
        <v>陈漫诗</v>
      </c>
    </row>
    <row r="122" spans="1:4" ht="30" customHeight="1">
      <c r="A122" s="6">
        <v>120</v>
      </c>
      <c r="B122" s="6" t="str">
        <f>"508120230422170653139432"</f>
        <v>508120230422170653139432</v>
      </c>
      <c r="C122" s="6" t="s">
        <v>5</v>
      </c>
      <c r="D122" s="6" t="str">
        <f>"张劲"</f>
        <v>张劲</v>
      </c>
    </row>
    <row r="123" spans="1:4" ht="30" customHeight="1">
      <c r="A123" s="6">
        <v>121</v>
      </c>
      <c r="B123" s="6" t="str">
        <f>"508120230422114948139273"</f>
        <v>508120230422114948139273</v>
      </c>
      <c r="C123" s="6" t="s">
        <v>5</v>
      </c>
      <c r="D123" s="6" t="str">
        <f>"罗勇霖"</f>
        <v>罗勇霖</v>
      </c>
    </row>
    <row r="124" spans="1:4" ht="30" customHeight="1">
      <c r="A124" s="6">
        <v>122</v>
      </c>
      <c r="B124" s="6" t="str">
        <f>"508120230421132016138605"</f>
        <v>508120230421132016138605</v>
      </c>
      <c r="C124" s="6" t="s">
        <v>5</v>
      </c>
      <c r="D124" s="6" t="str">
        <f>"黎俊雅"</f>
        <v>黎俊雅</v>
      </c>
    </row>
    <row r="125" spans="1:4" ht="30" customHeight="1">
      <c r="A125" s="6">
        <v>123</v>
      </c>
      <c r="B125" s="6" t="str">
        <f>"508120230422173258139449"</f>
        <v>508120230422173258139449</v>
      </c>
      <c r="C125" s="6" t="s">
        <v>5</v>
      </c>
      <c r="D125" s="6" t="str">
        <f>"吴荣翔"</f>
        <v>吴荣翔</v>
      </c>
    </row>
    <row r="126" spans="1:4" ht="30" customHeight="1">
      <c r="A126" s="6">
        <v>124</v>
      </c>
      <c r="B126" s="6" t="str">
        <f>"508120230422171522139436"</f>
        <v>508120230422171522139436</v>
      </c>
      <c r="C126" s="6" t="s">
        <v>5</v>
      </c>
      <c r="D126" s="6" t="str">
        <f>"李欣蓉"</f>
        <v>李欣蓉</v>
      </c>
    </row>
    <row r="127" spans="1:4" ht="30" customHeight="1">
      <c r="A127" s="6">
        <v>125</v>
      </c>
      <c r="B127" s="6" t="str">
        <f>"508120230421103321138358"</f>
        <v>508120230421103321138358</v>
      </c>
      <c r="C127" s="6" t="s">
        <v>5</v>
      </c>
      <c r="D127" s="6" t="str">
        <f>"文奇童"</f>
        <v>文奇童</v>
      </c>
    </row>
    <row r="128" spans="1:4" ht="30" customHeight="1">
      <c r="A128" s="6">
        <v>126</v>
      </c>
      <c r="B128" s="6" t="str">
        <f>"508120230422183551139481"</f>
        <v>508120230422183551139481</v>
      </c>
      <c r="C128" s="6" t="s">
        <v>5</v>
      </c>
      <c r="D128" s="6" t="str">
        <f>"孙云"</f>
        <v>孙云</v>
      </c>
    </row>
    <row r="129" spans="1:4" ht="30" customHeight="1">
      <c r="A129" s="6">
        <v>127</v>
      </c>
      <c r="B129" s="6" t="str">
        <f>"508120230422175116139462"</f>
        <v>508120230422175116139462</v>
      </c>
      <c r="C129" s="6" t="s">
        <v>5</v>
      </c>
      <c r="D129" s="6" t="str">
        <f>"冯文娇"</f>
        <v>冯文娇</v>
      </c>
    </row>
    <row r="130" spans="1:4" ht="30" customHeight="1">
      <c r="A130" s="6">
        <v>128</v>
      </c>
      <c r="B130" s="6" t="str">
        <f>"508120230422190832139494"</f>
        <v>508120230422190832139494</v>
      </c>
      <c r="C130" s="6" t="s">
        <v>5</v>
      </c>
      <c r="D130" s="6" t="str">
        <f>"吴岳杏"</f>
        <v>吴岳杏</v>
      </c>
    </row>
    <row r="131" spans="1:4" ht="30" customHeight="1">
      <c r="A131" s="6">
        <v>129</v>
      </c>
      <c r="B131" s="6" t="str">
        <f>"508120230422191458139500"</f>
        <v>508120230422191458139500</v>
      </c>
      <c r="C131" s="6" t="s">
        <v>5</v>
      </c>
      <c r="D131" s="6" t="str">
        <f>"刘璐威"</f>
        <v>刘璐威</v>
      </c>
    </row>
    <row r="132" spans="1:4" ht="30" customHeight="1">
      <c r="A132" s="6">
        <v>130</v>
      </c>
      <c r="B132" s="6" t="str">
        <f>"508120230422182850139476"</f>
        <v>508120230422182850139476</v>
      </c>
      <c r="C132" s="6" t="s">
        <v>5</v>
      </c>
      <c r="D132" s="6" t="str">
        <f>"陈礼乾"</f>
        <v>陈礼乾</v>
      </c>
    </row>
    <row r="133" spans="1:4" ht="30" customHeight="1">
      <c r="A133" s="6">
        <v>131</v>
      </c>
      <c r="B133" s="6" t="str">
        <f>"508120230421163700138859"</f>
        <v>508120230421163700138859</v>
      </c>
      <c r="C133" s="6" t="s">
        <v>5</v>
      </c>
      <c r="D133" s="6" t="str">
        <f>"罗盛顿"</f>
        <v>罗盛顿</v>
      </c>
    </row>
    <row r="134" spans="1:4" ht="30" customHeight="1">
      <c r="A134" s="6">
        <v>132</v>
      </c>
      <c r="B134" s="6" t="str">
        <f>"508120230422164518139418"</f>
        <v>508120230422164518139418</v>
      </c>
      <c r="C134" s="6" t="s">
        <v>5</v>
      </c>
      <c r="D134" s="6" t="str">
        <f>"周地博"</f>
        <v>周地博</v>
      </c>
    </row>
    <row r="135" spans="1:4" ht="30" customHeight="1">
      <c r="A135" s="6">
        <v>133</v>
      </c>
      <c r="B135" s="6" t="str">
        <f>"508120230422202120139538"</f>
        <v>508120230422202120139538</v>
      </c>
      <c r="C135" s="6" t="s">
        <v>5</v>
      </c>
      <c r="D135" s="6" t="str">
        <f>"翁升吉"</f>
        <v>翁升吉</v>
      </c>
    </row>
    <row r="136" spans="1:4" ht="30" customHeight="1">
      <c r="A136" s="6">
        <v>134</v>
      </c>
      <c r="B136" s="6" t="str">
        <f>"508120230421144907138686"</f>
        <v>508120230421144907138686</v>
      </c>
      <c r="C136" s="6" t="s">
        <v>5</v>
      </c>
      <c r="D136" s="6" t="str">
        <f>"冯树琦"</f>
        <v>冯树琦</v>
      </c>
    </row>
    <row r="137" spans="1:4" ht="30" customHeight="1">
      <c r="A137" s="6">
        <v>135</v>
      </c>
      <c r="B137" s="6" t="str">
        <f>"508120230422193534139512"</f>
        <v>508120230422193534139512</v>
      </c>
      <c r="C137" s="6" t="s">
        <v>5</v>
      </c>
      <c r="D137" s="6" t="str">
        <f>"吴毓植"</f>
        <v>吴毓植</v>
      </c>
    </row>
    <row r="138" spans="1:4" ht="30" customHeight="1">
      <c r="A138" s="6">
        <v>136</v>
      </c>
      <c r="B138" s="6" t="str">
        <f>"508120230422213454139592"</f>
        <v>508120230422213454139592</v>
      </c>
      <c r="C138" s="6" t="s">
        <v>5</v>
      </c>
      <c r="D138" s="6" t="str">
        <f>"杨寿星"</f>
        <v>杨寿星</v>
      </c>
    </row>
    <row r="139" spans="1:4" ht="30" customHeight="1">
      <c r="A139" s="6">
        <v>137</v>
      </c>
      <c r="B139" s="6" t="str">
        <f>"508120230422110555139242"</f>
        <v>508120230422110555139242</v>
      </c>
      <c r="C139" s="6" t="s">
        <v>5</v>
      </c>
      <c r="D139" s="6" t="str">
        <f>"陈秋月"</f>
        <v>陈秋月</v>
      </c>
    </row>
    <row r="140" spans="1:4" ht="30" customHeight="1">
      <c r="A140" s="6">
        <v>138</v>
      </c>
      <c r="B140" s="6" t="str">
        <f>"508120230422152522139382"</f>
        <v>508120230422152522139382</v>
      </c>
      <c r="C140" s="6" t="s">
        <v>5</v>
      </c>
      <c r="D140" s="6" t="str">
        <f>"陈关雄"</f>
        <v>陈关雄</v>
      </c>
    </row>
    <row r="141" spans="1:4" ht="30" customHeight="1">
      <c r="A141" s="6">
        <v>139</v>
      </c>
      <c r="B141" s="6" t="str">
        <f>"508120230422220505139612"</f>
        <v>508120230422220505139612</v>
      </c>
      <c r="C141" s="6" t="s">
        <v>5</v>
      </c>
      <c r="D141" s="6" t="str">
        <f>"何健伟"</f>
        <v>何健伟</v>
      </c>
    </row>
    <row r="142" spans="1:4" ht="30" customHeight="1">
      <c r="A142" s="6">
        <v>140</v>
      </c>
      <c r="B142" s="6" t="str">
        <f>"508120230422215742139607"</f>
        <v>508120230422215742139607</v>
      </c>
      <c r="C142" s="6" t="s">
        <v>5</v>
      </c>
      <c r="D142" s="6" t="str">
        <f>"谢利泽"</f>
        <v>谢利泽</v>
      </c>
    </row>
    <row r="143" spans="1:4" ht="30" customHeight="1">
      <c r="A143" s="6">
        <v>141</v>
      </c>
      <c r="B143" s="6" t="str">
        <f>"508120230421091101138122"</f>
        <v>508120230421091101138122</v>
      </c>
      <c r="C143" s="6" t="s">
        <v>5</v>
      </c>
      <c r="D143" s="6" t="str">
        <f>"朱星宇"</f>
        <v>朱星宇</v>
      </c>
    </row>
    <row r="144" spans="1:4" ht="30" customHeight="1">
      <c r="A144" s="6">
        <v>142</v>
      </c>
      <c r="B144" s="6" t="str">
        <f>"508120230422215212139602"</f>
        <v>508120230422215212139602</v>
      </c>
      <c r="C144" s="6" t="s">
        <v>5</v>
      </c>
      <c r="D144" s="6" t="str">
        <f>"李毓伟"</f>
        <v>李毓伟</v>
      </c>
    </row>
    <row r="145" spans="1:4" ht="30" customHeight="1">
      <c r="A145" s="6">
        <v>143</v>
      </c>
      <c r="B145" s="6" t="str">
        <f>"508120230421143402138666"</f>
        <v>508120230421143402138666</v>
      </c>
      <c r="C145" s="6" t="s">
        <v>5</v>
      </c>
      <c r="D145" s="6" t="str">
        <f>"王兴彪"</f>
        <v>王兴彪</v>
      </c>
    </row>
    <row r="146" spans="1:4" ht="30" customHeight="1">
      <c r="A146" s="6">
        <v>144</v>
      </c>
      <c r="B146" s="6" t="str">
        <f>"508120230422221739139624"</f>
        <v>508120230422221739139624</v>
      </c>
      <c r="C146" s="6" t="s">
        <v>5</v>
      </c>
      <c r="D146" s="6" t="str">
        <f>"薛富广"</f>
        <v>薛富广</v>
      </c>
    </row>
    <row r="147" spans="1:4" ht="30" customHeight="1">
      <c r="A147" s="6">
        <v>145</v>
      </c>
      <c r="B147" s="6" t="str">
        <f>"508120230421134958138628"</f>
        <v>508120230421134958138628</v>
      </c>
      <c r="C147" s="6" t="s">
        <v>5</v>
      </c>
      <c r="D147" s="6" t="str">
        <f>"王海艳"</f>
        <v>王海艳</v>
      </c>
    </row>
    <row r="148" spans="1:4" ht="30" customHeight="1">
      <c r="A148" s="6">
        <v>146</v>
      </c>
      <c r="B148" s="6" t="str">
        <f>"508120230421182452138974"</f>
        <v>508120230421182452138974</v>
      </c>
      <c r="C148" s="6" t="s">
        <v>5</v>
      </c>
      <c r="D148" s="6" t="str">
        <f>"向韩"</f>
        <v>向韩</v>
      </c>
    </row>
    <row r="149" spans="1:4" ht="30" customHeight="1">
      <c r="A149" s="6">
        <v>147</v>
      </c>
      <c r="B149" s="6" t="str">
        <f>"508120230422230455139652"</f>
        <v>508120230422230455139652</v>
      </c>
      <c r="C149" s="6" t="s">
        <v>5</v>
      </c>
      <c r="D149" s="6" t="str">
        <f>"黄燕子"</f>
        <v>黄燕子</v>
      </c>
    </row>
    <row r="150" spans="1:4" ht="30" customHeight="1">
      <c r="A150" s="6">
        <v>148</v>
      </c>
      <c r="B150" s="6" t="str">
        <f>"508120230422232053139662"</f>
        <v>508120230422232053139662</v>
      </c>
      <c r="C150" s="6" t="s">
        <v>5</v>
      </c>
      <c r="D150" s="6" t="str">
        <f>"陈振锋"</f>
        <v>陈振锋</v>
      </c>
    </row>
    <row r="151" spans="1:4" ht="30" customHeight="1">
      <c r="A151" s="6">
        <v>149</v>
      </c>
      <c r="B151" s="6" t="str">
        <f>"508120230422232519139665"</f>
        <v>508120230422232519139665</v>
      </c>
      <c r="C151" s="6" t="s">
        <v>5</v>
      </c>
      <c r="D151" s="6" t="str">
        <f>"朱春慈"</f>
        <v>朱春慈</v>
      </c>
    </row>
    <row r="152" spans="1:4" ht="30" customHeight="1">
      <c r="A152" s="6">
        <v>150</v>
      </c>
      <c r="B152" s="6" t="str">
        <f>"508120230421173908138931"</f>
        <v>508120230421173908138931</v>
      </c>
      <c r="C152" s="6" t="s">
        <v>5</v>
      </c>
      <c r="D152" s="6" t="str">
        <f>"李明望"</f>
        <v>李明望</v>
      </c>
    </row>
    <row r="153" spans="1:4" ht="30" customHeight="1">
      <c r="A153" s="6">
        <v>151</v>
      </c>
      <c r="B153" s="6" t="str">
        <f>"508120230422232951139667"</f>
        <v>508120230422232951139667</v>
      </c>
      <c r="C153" s="6" t="s">
        <v>5</v>
      </c>
      <c r="D153" s="6" t="str">
        <f>"李岳霖"</f>
        <v>李岳霖</v>
      </c>
    </row>
    <row r="154" spans="1:4" ht="30" customHeight="1">
      <c r="A154" s="6">
        <v>152</v>
      </c>
      <c r="B154" s="6" t="str">
        <f>"508120230421120516138533"</f>
        <v>508120230421120516138533</v>
      </c>
      <c r="C154" s="6" t="s">
        <v>5</v>
      </c>
      <c r="D154" s="6" t="str">
        <f>"杨越"</f>
        <v>杨越</v>
      </c>
    </row>
    <row r="155" spans="1:4" ht="30" customHeight="1">
      <c r="A155" s="6">
        <v>153</v>
      </c>
      <c r="B155" s="6" t="str">
        <f>"508120230423015721139692"</f>
        <v>508120230423015721139692</v>
      </c>
      <c r="C155" s="6" t="s">
        <v>5</v>
      </c>
      <c r="D155" s="6" t="str">
        <f>"符昱耿"</f>
        <v>符昱耿</v>
      </c>
    </row>
    <row r="156" spans="1:4" ht="30" customHeight="1">
      <c r="A156" s="6">
        <v>154</v>
      </c>
      <c r="B156" s="6" t="str">
        <f>"508120230423065521139697"</f>
        <v>508120230423065521139697</v>
      </c>
      <c r="C156" s="6" t="s">
        <v>5</v>
      </c>
      <c r="D156" s="6" t="str">
        <f>"刘娉婷"</f>
        <v>刘娉婷</v>
      </c>
    </row>
    <row r="157" spans="1:4" ht="30" customHeight="1">
      <c r="A157" s="6">
        <v>155</v>
      </c>
      <c r="B157" s="6" t="str">
        <f>"508120230421164934138872"</f>
        <v>508120230421164934138872</v>
      </c>
      <c r="C157" s="6" t="s">
        <v>5</v>
      </c>
      <c r="D157" s="6" t="str">
        <f>"程懋"</f>
        <v>程懋</v>
      </c>
    </row>
    <row r="158" spans="1:4" ht="30" customHeight="1">
      <c r="A158" s="6">
        <v>156</v>
      </c>
      <c r="B158" s="6" t="str">
        <f>"508120230421122435138559"</f>
        <v>508120230421122435138559</v>
      </c>
      <c r="C158" s="6" t="s">
        <v>5</v>
      </c>
      <c r="D158" s="6" t="str">
        <f>"邹世卿"</f>
        <v>邹世卿</v>
      </c>
    </row>
    <row r="159" spans="1:4" ht="30" customHeight="1">
      <c r="A159" s="6">
        <v>157</v>
      </c>
      <c r="B159" s="6" t="str">
        <f>"508120230421144336138680"</f>
        <v>508120230421144336138680</v>
      </c>
      <c r="C159" s="6" t="s">
        <v>5</v>
      </c>
      <c r="D159" s="6" t="str">
        <f>"林声婕"</f>
        <v>林声婕</v>
      </c>
    </row>
    <row r="160" spans="1:4" ht="30" customHeight="1">
      <c r="A160" s="6">
        <v>158</v>
      </c>
      <c r="B160" s="6" t="str">
        <f>"508120230421090546138105"</f>
        <v>508120230421090546138105</v>
      </c>
      <c r="C160" s="6" t="s">
        <v>5</v>
      </c>
      <c r="D160" s="6" t="str">
        <f>"李程"</f>
        <v>李程</v>
      </c>
    </row>
    <row r="161" spans="1:4" ht="30" customHeight="1">
      <c r="A161" s="6">
        <v>159</v>
      </c>
      <c r="B161" s="6" t="str">
        <f>"508120230421093236138188"</f>
        <v>508120230421093236138188</v>
      </c>
      <c r="C161" s="6" t="s">
        <v>5</v>
      </c>
      <c r="D161" s="6" t="str">
        <f>"陈仕泉"</f>
        <v>陈仕泉</v>
      </c>
    </row>
    <row r="162" spans="1:4" ht="30" customHeight="1">
      <c r="A162" s="6">
        <v>160</v>
      </c>
      <c r="B162" s="6" t="str">
        <f>"508120230423092137139752"</f>
        <v>508120230423092137139752</v>
      </c>
      <c r="C162" s="6" t="s">
        <v>5</v>
      </c>
      <c r="D162" s="6" t="str">
        <f>"曾维鹏"</f>
        <v>曾维鹏</v>
      </c>
    </row>
    <row r="163" spans="1:4" ht="30" customHeight="1">
      <c r="A163" s="6">
        <v>161</v>
      </c>
      <c r="B163" s="6" t="str">
        <f>"508120230421150520138714"</f>
        <v>508120230421150520138714</v>
      </c>
      <c r="C163" s="6" t="s">
        <v>5</v>
      </c>
      <c r="D163" s="6" t="str">
        <f>"金宽广"</f>
        <v>金宽广</v>
      </c>
    </row>
    <row r="164" spans="1:4" ht="30" customHeight="1">
      <c r="A164" s="6">
        <v>162</v>
      </c>
      <c r="B164" s="6" t="str">
        <f>"508120230422183306139480"</f>
        <v>508120230422183306139480</v>
      </c>
      <c r="C164" s="6" t="s">
        <v>5</v>
      </c>
      <c r="D164" s="6" t="str">
        <f>"陈太梧"</f>
        <v>陈太梧</v>
      </c>
    </row>
    <row r="165" spans="1:4" ht="30" customHeight="1">
      <c r="A165" s="6">
        <v>163</v>
      </c>
      <c r="B165" s="6" t="str">
        <f>"508120230422215710139605"</f>
        <v>508120230422215710139605</v>
      </c>
      <c r="C165" s="6" t="s">
        <v>5</v>
      </c>
      <c r="D165" s="6" t="str">
        <f>"吴光豪"</f>
        <v>吴光豪</v>
      </c>
    </row>
    <row r="166" spans="1:4" ht="30" customHeight="1">
      <c r="A166" s="6">
        <v>164</v>
      </c>
      <c r="B166" s="6" t="str">
        <f>"508120230423093800139777"</f>
        <v>508120230423093800139777</v>
      </c>
      <c r="C166" s="6" t="s">
        <v>5</v>
      </c>
      <c r="D166" s="6" t="str">
        <f>"梁旭"</f>
        <v>梁旭</v>
      </c>
    </row>
    <row r="167" spans="1:4" ht="30" customHeight="1">
      <c r="A167" s="6">
        <v>165</v>
      </c>
      <c r="B167" s="6" t="str">
        <f>"508120230423085348139722"</f>
        <v>508120230423085348139722</v>
      </c>
      <c r="C167" s="6" t="s">
        <v>5</v>
      </c>
      <c r="D167" s="6" t="str">
        <f>"王家鹏"</f>
        <v>王家鹏</v>
      </c>
    </row>
    <row r="168" spans="1:4" ht="30" customHeight="1">
      <c r="A168" s="6">
        <v>166</v>
      </c>
      <c r="B168" s="6" t="str">
        <f>"508120230421165217138877"</f>
        <v>508120230421165217138877</v>
      </c>
      <c r="C168" s="6" t="s">
        <v>5</v>
      </c>
      <c r="D168" s="6" t="str">
        <f>"王跃"</f>
        <v>王跃</v>
      </c>
    </row>
    <row r="169" spans="1:4" ht="30" customHeight="1">
      <c r="A169" s="6">
        <v>167</v>
      </c>
      <c r="B169" s="6" t="str">
        <f>"508120230423094225139786"</f>
        <v>508120230423094225139786</v>
      </c>
      <c r="C169" s="6" t="s">
        <v>5</v>
      </c>
      <c r="D169" s="6" t="str">
        <f>"梁讯"</f>
        <v>梁讯</v>
      </c>
    </row>
    <row r="170" spans="1:4" ht="30" customHeight="1">
      <c r="A170" s="6">
        <v>168</v>
      </c>
      <c r="B170" s="6" t="str">
        <f>"508120230423093222139769"</f>
        <v>508120230423093222139769</v>
      </c>
      <c r="C170" s="6" t="s">
        <v>5</v>
      </c>
      <c r="D170" s="6" t="str">
        <f>"王秋花"</f>
        <v>王秋花</v>
      </c>
    </row>
    <row r="171" spans="1:4" ht="30" customHeight="1">
      <c r="A171" s="6">
        <v>169</v>
      </c>
      <c r="B171" s="6" t="str">
        <f>"508120230421194650139023"</f>
        <v>508120230421194650139023</v>
      </c>
      <c r="C171" s="6" t="s">
        <v>5</v>
      </c>
      <c r="D171" s="6" t="str">
        <f>"何声智"</f>
        <v>何声智</v>
      </c>
    </row>
    <row r="172" spans="1:4" ht="30" customHeight="1">
      <c r="A172" s="6">
        <v>170</v>
      </c>
      <c r="B172" s="6" t="str">
        <f>"508120230421203524139055"</f>
        <v>508120230421203524139055</v>
      </c>
      <c r="C172" s="6" t="s">
        <v>5</v>
      </c>
      <c r="D172" s="6" t="str">
        <f>"黄玉文"</f>
        <v>黄玉文</v>
      </c>
    </row>
    <row r="173" spans="1:4" ht="30" customHeight="1">
      <c r="A173" s="6">
        <v>171</v>
      </c>
      <c r="B173" s="6" t="str">
        <f>"508120230422152945139385"</f>
        <v>508120230422152945139385</v>
      </c>
      <c r="C173" s="6" t="s">
        <v>5</v>
      </c>
      <c r="D173" s="6" t="str">
        <f>"范雅典"</f>
        <v>范雅典</v>
      </c>
    </row>
    <row r="174" spans="1:4" ht="30" customHeight="1">
      <c r="A174" s="6">
        <v>172</v>
      </c>
      <c r="B174" s="6" t="str">
        <f>"508120230423110011139857"</f>
        <v>508120230423110011139857</v>
      </c>
      <c r="C174" s="6" t="s">
        <v>5</v>
      </c>
      <c r="D174" s="6" t="str">
        <f>"潘美佳"</f>
        <v>潘美佳</v>
      </c>
    </row>
    <row r="175" spans="1:4" ht="30" customHeight="1">
      <c r="A175" s="6">
        <v>173</v>
      </c>
      <c r="B175" s="6" t="str">
        <f>"508120230422173548139452"</f>
        <v>508120230422173548139452</v>
      </c>
      <c r="C175" s="6" t="s">
        <v>5</v>
      </c>
      <c r="D175" s="6" t="str">
        <f>"吴清旭"</f>
        <v>吴清旭</v>
      </c>
    </row>
    <row r="176" spans="1:4" ht="30" customHeight="1">
      <c r="A176" s="6">
        <v>174</v>
      </c>
      <c r="B176" s="6" t="str">
        <f>"508120230423104630139835"</f>
        <v>508120230423104630139835</v>
      </c>
      <c r="C176" s="6" t="s">
        <v>5</v>
      </c>
      <c r="D176" s="6" t="str">
        <f>"邓开涛"</f>
        <v>邓开涛</v>
      </c>
    </row>
    <row r="177" spans="1:4" ht="30" customHeight="1">
      <c r="A177" s="6">
        <v>175</v>
      </c>
      <c r="B177" s="6" t="str">
        <f>"508120230423110208139859"</f>
        <v>508120230423110208139859</v>
      </c>
      <c r="C177" s="6" t="s">
        <v>5</v>
      </c>
      <c r="D177" s="6" t="str">
        <f>"唐玉"</f>
        <v>唐玉</v>
      </c>
    </row>
    <row r="178" spans="1:4" ht="30" customHeight="1">
      <c r="A178" s="6">
        <v>176</v>
      </c>
      <c r="B178" s="6" t="str">
        <f>"508120230422164327139415"</f>
        <v>508120230422164327139415</v>
      </c>
      <c r="C178" s="6" t="s">
        <v>5</v>
      </c>
      <c r="D178" s="6" t="str">
        <f>"陈聪"</f>
        <v>陈聪</v>
      </c>
    </row>
    <row r="179" spans="1:4" ht="30" customHeight="1">
      <c r="A179" s="6">
        <v>177</v>
      </c>
      <c r="B179" s="6" t="str">
        <f>"508120230423105238139841"</f>
        <v>508120230423105238139841</v>
      </c>
      <c r="C179" s="6" t="s">
        <v>5</v>
      </c>
      <c r="D179" s="6" t="str">
        <f>"徐凯"</f>
        <v>徐凯</v>
      </c>
    </row>
    <row r="180" spans="1:4" ht="30" customHeight="1">
      <c r="A180" s="6">
        <v>178</v>
      </c>
      <c r="B180" s="6" t="str">
        <f>"508120230421200000139034"</f>
        <v>508120230421200000139034</v>
      </c>
      <c r="C180" s="6" t="s">
        <v>5</v>
      </c>
      <c r="D180" s="6" t="str">
        <f>"郑旺"</f>
        <v>郑旺</v>
      </c>
    </row>
    <row r="181" spans="1:4" ht="30" customHeight="1">
      <c r="A181" s="6">
        <v>179</v>
      </c>
      <c r="B181" s="6" t="str">
        <f>"508120230423103809139827"</f>
        <v>508120230423103809139827</v>
      </c>
      <c r="C181" s="6" t="s">
        <v>5</v>
      </c>
      <c r="D181" s="6" t="str">
        <f>"高重桓"</f>
        <v>高重桓</v>
      </c>
    </row>
    <row r="182" spans="1:4" ht="30" customHeight="1">
      <c r="A182" s="6">
        <v>180</v>
      </c>
      <c r="B182" s="6" t="str">
        <f>"508120230423113040139894"</f>
        <v>508120230423113040139894</v>
      </c>
      <c r="C182" s="6" t="s">
        <v>5</v>
      </c>
      <c r="D182" s="6" t="str">
        <f>"徐辉聪"</f>
        <v>徐辉聪</v>
      </c>
    </row>
    <row r="183" spans="1:4" ht="30" customHeight="1">
      <c r="A183" s="6">
        <v>181</v>
      </c>
      <c r="B183" s="6" t="str">
        <f>"508120230423112419139887"</f>
        <v>508120230423112419139887</v>
      </c>
      <c r="C183" s="6" t="s">
        <v>5</v>
      </c>
      <c r="D183" s="6" t="str">
        <f>"朱妙龄"</f>
        <v>朱妙龄</v>
      </c>
    </row>
    <row r="184" spans="1:4" ht="30" customHeight="1">
      <c r="A184" s="6">
        <v>182</v>
      </c>
      <c r="B184" s="6" t="str">
        <f>"508120230423114904139906"</f>
        <v>508120230423114904139906</v>
      </c>
      <c r="C184" s="6" t="s">
        <v>5</v>
      </c>
      <c r="D184" s="6" t="str">
        <f>"陈灵"</f>
        <v>陈灵</v>
      </c>
    </row>
    <row r="185" spans="1:4" ht="30" customHeight="1">
      <c r="A185" s="6">
        <v>183</v>
      </c>
      <c r="B185" s="6" t="str">
        <f>"508120230422132931139339"</f>
        <v>508120230422132931139339</v>
      </c>
      <c r="C185" s="6" t="s">
        <v>5</v>
      </c>
      <c r="D185" s="6" t="str">
        <f>"郭宗捷"</f>
        <v>郭宗捷</v>
      </c>
    </row>
    <row r="186" spans="1:4" ht="30" customHeight="1">
      <c r="A186" s="6">
        <v>184</v>
      </c>
      <c r="B186" s="6" t="str">
        <f>"508120230423112852139892"</f>
        <v>508120230423112852139892</v>
      </c>
      <c r="C186" s="6" t="s">
        <v>5</v>
      </c>
      <c r="D186" s="6" t="str">
        <f>"魏源彬"</f>
        <v>魏源彬</v>
      </c>
    </row>
    <row r="187" spans="1:4" ht="30" customHeight="1">
      <c r="A187" s="6">
        <v>185</v>
      </c>
      <c r="B187" s="6" t="str">
        <f>"508120230421151100138730"</f>
        <v>508120230421151100138730</v>
      </c>
      <c r="C187" s="6" t="s">
        <v>5</v>
      </c>
      <c r="D187" s="6" t="str">
        <f>"温业旭"</f>
        <v>温业旭</v>
      </c>
    </row>
    <row r="188" spans="1:4" ht="30" customHeight="1">
      <c r="A188" s="6">
        <v>186</v>
      </c>
      <c r="B188" s="6" t="str">
        <f>"508120230423120525139920"</f>
        <v>508120230423120525139920</v>
      </c>
      <c r="C188" s="6" t="s">
        <v>5</v>
      </c>
      <c r="D188" s="6" t="str">
        <f>"董柳"</f>
        <v>董柳</v>
      </c>
    </row>
    <row r="189" spans="1:4" ht="30" customHeight="1">
      <c r="A189" s="6">
        <v>187</v>
      </c>
      <c r="B189" s="6" t="str">
        <f>"508120230422135503139348"</f>
        <v>508120230422135503139348</v>
      </c>
      <c r="C189" s="6" t="s">
        <v>5</v>
      </c>
      <c r="D189" s="6" t="str">
        <f>"陈美莉"</f>
        <v>陈美莉</v>
      </c>
    </row>
    <row r="190" spans="1:4" ht="30" customHeight="1">
      <c r="A190" s="6">
        <v>188</v>
      </c>
      <c r="B190" s="6" t="str">
        <f>"508120230421102551138332"</f>
        <v>508120230421102551138332</v>
      </c>
      <c r="C190" s="6" t="s">
        <v>5</v>
      </c>
      <c r="D190" s="6" t="str">
        <f>"赵开源"</f>
        <v>赵开源</v>
      </c>
    </row>
    <row r="191" spans="1:4" ht="30" customHeight="1">
      <c r="A191" s="6">
        <v>189</v>
      </c>
      <c r="B191" s="6" t="str">
        <f>"508120230423104456139833"</f>
        <v>508120230423104456139833</v>
      </c>
      <c r="C191" s="6" t="s">
        <v>5</v>
      </c>
      <c r="D191" s="6" t="str">
        <f>"卓德远"</f>
        <v>卓德远</v>
      </c>
    </row>
    <row r="192" spans="1:4" ht="30" customHeight="1">
      <c r="A192" s="6">
        <v>190</v>
      </c>
      <c r="B192" s="6" t="str">
        <f>"508120230423115618139914"</f>
        <v>508120230423115618139914</v>
      </c>
      <c r="C192" s="6" t="s">
        <v>5</v>
      </c>
      <c r="D192" s="6" t="str">
        <f>"麦名达"</f>
        <v>麦名达</v>
      </c>
    </row>
    <row r="193" spans="1:4" ht="30" customHeight="1">
      <c r="A193" s="6">
        <v>191</v>
      </c>
      <c r="B193" s="6" t="str">
        <f>"508120230423131952139955"</f>
        <v>508120230423131952139955</v>
      </c>
      <c r="C193" s="6" t="s">
        <v>5</v>
      </c>
      <c r="D193" s="6" t="str">
        <f>"周真擎"</f>
        <v>周真擎</v>
      </c>
    </row>
    <row r="194" spans="1:4" ht="30" customHeight="1">
      <c r="A194" s="6">
        <v>192</v>
      </c>
      <c r="B194" s="6" t="str">
        <f>"508120230421093102138184"</f>
        <v>508120230421093102138184</v>
      </c>
      <c r="C194" s="6" t="s">
        <v>5</v>
      </c>
      <c r="D194" s="6" t="str">
        <f>"王彬"</f>
        <v>王彬</v>
      </c>
    </row>
    <row r="195" spans="1:4" ht="30" customHeight="1">
      <c r="A195" s="6">
        <v>193</v>
      </c>
      <c r="B195" s="6" t="str">
        <f>"508120230422165620139424"</f>
        <v>508120230422165620139424</v>
      </c>
      <c r="C195" s="6" t="s">
        <v>5</v>
      </c>
      <c r="D195" s="6" t="str">
        <f>"林鹏"</f>
        <v>林鹏</v>
      </c>
    </row>
    <row r="196" spans="1:4" ht="30" customHeight="1">
      <c r="A196" s="6">
        <v>194</v>
      </c>
      <c r="B196" s="6" t="str">
        <f>"508120230423133044139960"</f>
        <v>508120230423133044139960</v>
      </c>
      <c r="C196" s="6" t="s">
        <v>5</v>
      </c>
      <c r="D196" s="6" t="str">
        <f>"林斯香"</f>
        <v>林斯香</v>
      </c>
    </row>
    <row r="197" spans="1:4" ht="30" customHeight="1">
      <c r="A197" s="6">
        <v>195</v>
      </c>
      <c r="B197" s="6" t="str">
        <f>"508120230421182243138971"</f>
        <v>508120230421182243138971</v>
      </c>
      <c r="C197" s="6" t="s">
        <v>5</v>
      </c>
      <c r="D197" s="6" t="str">
        <f>"周玮"</f>
        <v>周玮</v>
      </c>
    </row>
    <row r="198" spans="1:4" ht="30" customHeight="1">
      <c r="A198" s="6">
        <v>196</v>
      </c>
      <c r="B198" s="6" t="str">
        <f>"508120230423091027139739"</f>
        <v>508120230423091027139739</v>
      </c>
      <c r="C198" s="6" t="s">
        <v>5</v>
      </c>
      <c r="D198" s="6" t="str">
        <f>"刘小玉"</f>
        <v>刘小玉</v>
      </c>
    </row>
    <row r="199" spans="1:4" ht="30" customHeight="1">
      <c r="A199" s="6">
        <v>197</v>
      </c>
      <c r="B199" s="6" t="str">
        <f>"508120230423142849139984"</f>
        <v>508120230423142849139984</v>
      </c>
      <c r="C199" s="6" t="s">
        <v>5</v>
      </c>
      <c r="D199" s="6" t="str">
        <f>"杜代禄"</f>
        <v>杜代禄</v>
      </c>
    </row>
    <row r="200" spans="1:4" ht="30" customHeight="1">
      <c r="A200" s="6">
        <v>198</v>
      </c>
      <c r="B200" s="6" t="str">
        <f>"508120230423144207139988"</f>
        <v>508120230423144207139988</v>
      </c>
      <c r="C200" s="6" t="s">
        <v>5</v>
      </c>
      <c r="D200" s="6" t="str">
        <f>"郑华"</f>
        <v>郑华</v>
      </c>
    </row>
    <row r="201" spans="1:4" ht="30" customHeight="1">
      <c r="A201" s="6">
        <v>199</v>
      </c>
      <c r="B201" s="6" t="str">
        <f>"508120230423115115139909"</f>
        <v>508120230423115115139909</v>
      </c>
      <c r="C201" s="6" t="s">
        <v>5</v>
      </c>
      <c r="D201" s="6" t="str">
        <f>"梁亚南"</f>
        <v>梁亚南</v>
      </c>
    </row>
    <row r="202" spans="1:4" ht="30" customHeight="1">
      <c r="A202" s="6">
        <v>200</v>
      </c>
      <c r="B202" s="6" t="str">
        <f>"508120230423145044139998"</f>
        <v>508120230423145044139998</v>
      </c>
      <c r="C202" s="6" t="s">
        <v>5</v>
      </c>
      <c r="D202" s="6" t="str">
        <f>"廖文健"</f>
        <v>廖文健</v>
      </c>
    </row>
    <row r="203" spans="1:4" ht="30" customHeight="1">
      <c r="A203" s="6">
        <v>201</v>
      </c>
      <c r="B203" s="6" t="str">
        <f>"508120230423145133140000"</f>
        <v>508120230423145133140000</v>
      </c>
      <c r="C203" s="6" t="s">
        <v>5</v>
      </c>
      <c r="D203" s="6" t="str">
        <f>"吴育大"</f>
        <v>吴育大</v>
      </c>
    </row>
    <row r="204" spans="1:4" ht="30" customHeight="1">
      <c r="A204" s="6">
        <v>202</v>
      </c>
      <c r="B204" s="6" t="str">
        <f>"508120230423145502140005"</f>
        <v>508120230423145502140005</v>
      </c>
      <c r="C204" s="6" t="s">
        <v>5</v>
      </c>
      <c r="D204" s="6" t="str">
        <f>"韩倩雅"</f>
        <v>韩倩雅</v>
      </c>
    </row>
    <row r="205" spans="1:4" ht="30" customHeight="1">
      <c r="A205" s="6">
        <v>203</v>
      </c>
      <c r="B205" s="6" t="str">
        <f>"508120230423141024139973"</f>
        <v>508120230423141024139973</v>
      </c>
      <c r="C205" s="6" t="s">
        <v>5</v>
      </c>
      <c r="D205" s="6" t="str">
        <f>"黄宗文"</f>
        <v>黄宗文</v>
      </c>
    </row>
    <row r="206" spans="1:4" ht="30" customHeight="1">
      <c r="A206" s="6">
        <v>204</v>
      </c>
      <c r="B206" s="6" t="str">
        <f>"508120230423115402139912"</f>
        <v>508120230423115402139912</v>
      </c>
      <c r="C206" s="6" t="s">
        <v>5</v>
      </c>
      <c r="D206" s="6" t="str">
        <f>"黄创立"</f>
        <v>黄创立</v>
      </c>
    </row>
    <row r="207" spans="1:4" ht="30" customHeight="1">
      <c r="A207" s="6">
        <v>205</v>
      </c>
      <c r="B207" s="6" t="str">
        <f>"508120230423085808139727"</f>
        <v>508120230423085808139727</v>
      </c>
      <c r="C207" s="6" t="s">
        <v>5</v>
      </c>
      <c r="D207" s="6" t="str">
        <f>"陈彦博"</f>
        <v>陈彦博</v>
      </c>
    </row>
    <row r="208" spans="1:4" ht="30" customHeight="1">
      <c r="A208" s="6">
        <v>206</v>
      </c>
      <c r="B208" s="6" t="str">
        <f>"508120230423150427140012"</f>
        <v>508120230423150427140012</v>
      </c>
      <c r="C208" s="6" t="s">
        <v>5</v>
      </c>
      <c r="D208" s="6" t="str">
        <f>"苏定民"</f>
        <v>苏定民</v>
      </c>
    </row>
    <row r="209" spans="1:4" ht="30" customHeight="1">
      <c r="A209" s="6">
        <v>207</v>
      </c>
      <c r="B209" s="6" t="str">
        <f>"508120230423152232140041"</f>
        <v>508120230423152232140041</v>
      </c>
      <c r="C209" s="6" t="s">
        <v>5</v>
      </c>
      <c r="D209" s="6" t="str">
        <f>"吴开吉"</f>
        <v>吴开吉</v>
      </c>
    </row>
    <row r="210" spans="1:4" ht="30" customHeight="1">
      <c r="A210" s="6">
        <v>208</v>
      </c>
      <c r="B210" s="6" t="str">
        <f>"508120230423152132140040"</f>
        <v>508120230423152132140040</v>
      </c>
      <c r="C210" s="6" t="s">
        <v>5</v>
      </c>
      <c r="D210" s="6" t="str">
        <f>"林丽娜 "</f>
        <v>林丽娜 </v>
      </c>
    </row>
    <row r="211" spans="1:4" ht="30" customHeight="1">
      <c r="A211" s="6">
        <v>209</v>
      </c>
      <c r="B211" s="6" t="str">
        <f>"508120230423144504139990"</f>
        <v>508120230423144504139990</v>
      </c>
      <c r="C211" s="6" t="s">
        <v>5</v>
      </c>
      <c r="D211" s="6" t="str">
        <f>"王世鑫"</f>
        <v>王世鑫</v>
      </c>
    </row>
    <row r="212" spans="1:4" ht="30" customHeight="1">
      <c r="A212" s="6">
        <v>210</v>
      </c>
      <c r="B212" s="6" t="str">
        <f>"508120230423151750140030"</f>
        <v>508120230423151750140030</v>
      </c>
      <c r="C212" s="6" t="s">
        <v>5</v>
      </c>
      <c r="D212" s="6" t="str">
        <f>"许炳甲"</f>
        <v>许炳甲</v>
      </c>
    </row>
    <row r="213" spans="1:4" ht="30" customHeight="1">
      <c r="A213" s="6">
        <v>211</v>
      </c>
      <c r="B213" s="6" t="str">
        <f>"508120230421133227138614"</f>
        <v>508120230421133227138614</v>
      </c>
      <c r="C213" s="6" t="s">
        <v>5</v>
      </c>
      <c r="D213" s="6" t="str">
        <f>"符方方"</f>
        <v>符方方</v>
      </c>
    </row>
    <row r="214" spans="1:4" ht="30" customHeight="1">
      <c r="A214" s="6">
        <v>212</v>
      </c>
      <c r="B214" s="6" t="str">
        <f>"508120230421102838138340"</f>
        <v>508120230421102838138340</v>
      </c>
      <c r="C214" s="6" t="s">
        <v>5</v>
      </c>
      <c r="D214" s="6" t="str">
        <f>"刘鹏"</f>
        <v>刘鹏</v>
      </c>
    </row>
    <row r="215" spans="1:4" ht="30" customHeight="1">
      <c r="A215" s="6">
        <v>213</v>
      </c>
      <c r="B215" s="6" t="str">
        <f>"508120230423142411139980"</f>
        <v>508120230423142411139980</v>
      </c>
      <c r="C215" s="6" t="s">
        <v>5</v>
      </c>
      <c r="D215" s="6" t="str">
        <f>"王桂南"</f>
        <v>王桂南</v>
      </c>
    </row>
    <row r="216" spans="1:4" ht="30" customHeight="1">
      <c r="A216" s="6">
        <v>214</v>
      </c>
      <c r="B216" s="6" t="str">
        <f>"508120230421150757138721"</f>
        <v>508120230421150757138721</v>
      </c>
      <c r="C216" s="6" t="s">
        <v>5</v>
      </c>
      <c r="D216" s="6" t="str">
        <f>"卢子懿"</f>
        <v>卢子懿</v>
      </c>
    </row>
    <row r="217" spans="1:4" ht="30" customHeight="1">
      <c r="A217" s="6">
        <v>215</v>
      </c>
      <c r="B217" s="6" t="str">
        <f>"508120230421111825138450"</f>
        <v>508120230421111825138450</v>
      </c>
      <c r="C217" s="6" t="s">
        <v>5</v>
      </c>
      <c r="D217" s="6" t="str">
        <f>"罗昌贵"</f>
        <v>罗昌贵</v>
      </c>
    </row>
    <row r="218" spans="1:4" ht="30" customHeight="1">
      <c r="A218" s="6">
        <v>216</v>
      </c>
      <c r="B218" s="6" t="str">
        <f>"508120230423151714140028"</f>
        <v>508120230423151714140028</v>
      </c>
      <c r="C218" s="6" t="s">
        <v>5</v>
      </c>
      <c r="D218" s="6" t="str">
        <f>"符特铭"</f>
        <v>符特铭</v>
      </c>
    </row>
    <row r="219" spans="1:4" ht="30" customHeight="1">
      <c r="A219" s="6">
        <v>217</v>
      </c>
      <c r="B219" s="6" t="str">
        <f>"508120230421101539138305"</f>
        <v>508120230421101539138305</v>
      </c>
      <c r="C219" s="6" t="s">
        <v>5</v>
      </c>
      <c r="D219" s="6" t="str">
        <f>"余家兴"</f>
        <v>余家兴</v>
      </c>
    </row>
    <row r="220" spans="1:4" ht="30" customHeight="1">
      <c r="A220" s="6">
        <v>218</v>
      </c>
      <c r="B220" s="6" t="str">
        <f>"508120230423140758139971"</f>
        <v>508120230423140758139971</v>
      </c>
      <c r="C220" s="6" t="s">
        <v>5</v>
      </c>
      <c r="D220" s="6" t="str">
        <f>"吴挺奋"</f>
        <v>吴挺奋</v>
      </c>
    </row>
    <row r="221" spans="1:4" ht="30" customHeight="1">
      <c r="A221" s="6">
        <v>219</v>
      </c>
      <c r="B221" s="6" t="str">
        <f>"508120230423161832140092"</f>
        <v>508120230423161832140092</v>
      </c>
      <c r="C221" s="6" t="s">
        <v>5</v>
      </c>
      <c r="D221" s="6" t="str">
        <f>"周豪宇"</f>
        <v>周豪宇</v>
      </c>
    </row>
    <row r="222" spans="1:4" ht="30" customHeight="1">
      <c r="A222" s="6">
        <v>220</v>
      </c>
      <c r="B222" s="6" t="str">
        <f>"508120230423163802140118"</f>
        <v>508120230423163802140118</v>
      </c>
      <c r="C222" s="6" t="s">
        <v>5</v>
      </c>
      <c r="D222" s="6" t="str">
        <f>"陈川恒"</f>
        <v>陈川恒</v>
      </c>
    </row>
    <row r="223" spans="1:4" ht="30" customHeight="1">
      <c r="A223" s="6">
        <v>221</v>
      </c>
      <c r="B223" s="6" t="str">
        <f>"508120230422123000139300"</f>
        <v>508120230422123000139300</v>
      </c>
      <c r="C223" s="6" t="s">
        <v>5</v>
      </c>
      <c r="D223" s="6" t="str">
        <f>"南明依"</f>
        <v>南明依</v>
      </c>
    </row>
    <row r="224" spans="1:4" ht="30" customHeight="1">
      <c r="A224" s="6">
        <v>222</v>
      </c>
      <c r="B224" s="6" t="str">
        <f>"508120230421160306138812"</f>
        <v>508120230421160306138812</v>
      </c>
      <c r="C224" s="6" t="s">
        <v>5</v>
      </c>
      <c r="D224" s="6" t="str">
        <f>"郑君业"</f>
        <v>郑君业</v>
      </c>
    </row>
    <row r="225" spans="1:4" ht="30" customHeight="1">
      <c r="A225" s="6">
        <v>223</v>
      </c>
      <c r="B225" s="6" t="str">
        <f>"508120230423164018140120"</f>
        <v>508120230423164018140120</v>
      </c>
      <c r="C225" s="6" t="s">
        <v>5</v>
      </c>
      <c r="D225" s="6" t="str">
        <f>"蔡於林"</f>
        <v>蔡於林</v>
      </c>
    </row>
    <row r="226" spans="1:4" ht="30" customHeight="1">
      <c r="A226" s="6">
        <v>224</v>
      </c>
      <c r="B226" s="6" t="str">
        <f>"508120230422123531139305"</f>
        <v>508120230422123531139305</v>
      </c>
      <c r="C226" s="6" t="s">
        <v>5</v>
      </c>
      <c r="D226" s="6" t="str">
        <f>"乔盈鑫"</f>
        <v>乔盈鑫</v>
      </c>
    </row>
    <row r="227" spans="1:4" ht="30" customHeight="1">
      <c r="A227" s="6">
        <v>225</v>
      </c>
      <c r="B227" s="6" t="str">
        <f>"508120230423173359140163"</f>
        <v>508120230423173359140163</v>
      </c>
      <c r="C227" s="6" t="s">
        <v>5</v>
      </c>
      <c r="D227" s="6" t="str">
        <f>"李帅"</f>
        <v>李帅</v>
      </c>
    </row>
    <row r="228" spans="1:4" ht="30" customHeight="1">
      <c r="A228" s="6">
        <v>226</v>
      </c>
      <c r="B228" s="6" t="str">
        <f>"508120230423170224140144"</f>
        <v>508120230423170224140144</v>
      </c>
      <c r="C228" s="6" t="s">
        <v>5</v>
      </c>
      <c r="D228" s="6" t="str">
        <f>"邱名文"</f>
        <v>邱名文</v>
      </c>
    </row>
    <row r="229" spans="1:4" ht="30" customHeight="1">
      <c r="A229" s="6">
        <v>227</v>
      </c>
      <c r="B229" s="6" t="str">
        <f>"508120230423092316139756"</f>
        <v>508120230423092316139756</v>
      </c>
      <c r="C229" s="6" t="s">
        <v>5</v>
      </c>
      <c r="D229" s="6" t="str">
        <f>"赵玄烨"</f>
        <v>赵玄烨</v>
      </c>
    </row>
    <row r="230" spans="1:4" ht="30" customHeight="1">
      <c r="A230" s="6">
        <v>228</v>
      </c>
      <c r="B230" s="6" t="str">
        <f>"508120230421221847139104"</f>
        <v>508120230421221847139104</v>
      </c>
      <c r="C230" s="6" t="s">
        <v>5</v>
      </c>
      <c r="D230" s="6" t="str">
        <f>"杨旭光"</f>
        <v>杨旭光</v>
      </c>
    </row>
    <row r="231" spans="1:4" ht="30" customHeight="1">
      <c r="A231" s="6">
        <v>229</v>
      </c>
      <c r="B231" s="6" t="str">
        <f>"508120230423183136140195"</f>
        <v>508120230423183136140195</v>
      </c>
      <c r="C231" s="6" t="s">
        <v>5</v>
      </c>
      <c r="D231" s="6" t="str">
        <f>"吴清笔"</f>
        <v>吴清笔</v>
      </c>
    </row>
    <row r="232" spans="1:4" ht="30" customHeight="1">
      <c r="A232" s="6">
        <v>230</v>
      </c>
      <c r="B232" s="6" t="str">
        <f>"508120230422172545139443"</f>
        <v>508120230422172545139443</v>
      </c>
      <c r="C232" s="6" t="s">
        <v>5</v>
      </c>
      <c r="D232" s="6" t="str">
        <f>"王会宁"</f>
        <v>王会宁</v>
      </c>
    </row>
    <row r="233" spans="1:4" ht="30" customHeight="1">
      <c r="A233" s="6">
        <v>231</v>
      </c>
      <c r="B233" s="6" t="str">
        <f>"508120230423155749140073"</f>
        <v>508120230423155749140073</v>
      </c>
      <c r="C233" s="6" t="s">
        <v>5</v>
      </c>
      <c r="D233" s="6" t="str">
        <f>"陈川翔"</f>
        <v>陈川翔</v>
      </c>
    </row>
    <row r="234" spans="1:4" ht="30" customHeight="1">
      <c r="A234" s="6">
        <v>232</v>
      </c>
      <c r="B234" s="6" t="str">
        <f>"508120230423180929140180"</f>
        <v>508120230423180929140180</v>
      </c>
      <c r="C234" s="6" t="s">
        <v>5</v>
      </c>
      <c r="D234" s="6" t="str">
        <f>"赵晓宇"</f>
        <v>赵晓宇</v>
      </c>
    </row>
    <row r="235" spans="1:4" ht="30" customHeight="1">
      <c r="A235" s="6">
        <v>233</v>
      </c>
      <c r="B235" s="6" t="str">
        <f>"508120230423183137140196"</f>
        <v>508120230423183137140196</v>
      </c>
      <c r="C235" s="6" t="s">
        <v>5</v>
      </c>
      <c r="D235" s="6" t="str">
        <f>"郑啟睿"</f>
        <v>郑啟睿</v>
      </c>
    </row>
    <row r="236" spans="1:4" ht="30" customHeight="1">
      <c r="A236" s="6">
        <v>234</v>
      </c>
      <c r="B236" s="6" t="str">
        <f>"508120230423182334140191"</f>
        <v>508120230423182334140191</v>
      </c>
      <c r="C236" s="6" t="s">
        <v>5</v>
      </c>
      <c r="D236" s="6" t="str">
        <f>"汤可芳"</f>
        <v>汤可芳</v>
      </c>
    </row>
    <row r="237" spans="1:4" ht="30" customHeight="1">
      <c r="A237" s="6">
        <v>235</v>
      </c>
      <c r="B237" s="6" t="str">
        <f>"508120230423095523139798"</f>
        <v>508120230423095523139798</v>
      </c>
      <c r="C237" s="6" t="s">
        <v>5</v>
      </c>
      <c r="D237" s="6" t="str">
        <f>"王丽媚"</f>
        <v>王丽媚</v>
      </c>
    </row>
    <row r="238" spans="1:4" ht="30" customHeight="1">
      <c r="A238" s="6">
        <v>236</v>
      </c>
      <c r="B238" s="6" t="str">
        <f>"508120230423185207140205"</f>
        <v>508120230423185207140205</v>
      </c>
      <c r="C238" s="6" t="s">
        <v>5</v>
      </c>
      <c r="D238" s="6" t="str">
        <f>"蔡瑚乙"</f>
        <v>蔡瑚乙</v>
      </c>
    </row>
    <row r="239" spans="1:4" ht="30" customHeight="1">
      <c r="A239" s="6">
        <v>237</v>
      </c>
      <c r="B239" s="6" t="str">
        <f>"508120230423184000140197"</f>
        <v>508120230423184000140197</v>
      </c>
      <c r="C239" s="6" t="s">
        <v>5</v>
      </c>
      <c r="D239" s="6" t="str">
        <f>"崔艺馨"</f>
        <v>崔艺馨</v>
      </c>
    </row>
    <row r="240" spans="1:4" ht="30" customHeight="1">
      <c r="A240" s="6">
        <v>238</v>
      </c>
      <c r="B240" s="6" t="str">
        <f>"508120230423192821140224"</f>
        <v>508120230423192821140224</v>
      </c>
      <c r="C240" s="6" t="s">
        <v>5</v>
      </c>
      <c r="D240" s="6" t="str">
        <f>"陈伟轩"</f>
        <v>陈伟轩</v>
      </c>
    </row>
    <row r="241" spans="1:4" ht="30" customHeight="1">
      <c r="A241" s="6">
        <v>239</v>
      </c>
      <c r="B241" s="6" t="str">
        <f>"508120230423185201140204"</f>
        <v>508120230423185201140204</v>
      </c>
      <c r="C241" s="6" t="s">
        <v>5</v>
      </c>
      <c r="D241" s="6" t="str">
        <f>"许静"</f>
        <v>许静</v>
      </c>
    </row>
    <row r="242" spans="1:4" ht="30" customHeight="1">
      <c r="A242" s="6">
        <v>240</v>
      </c>
      <c r="B242" s="6" t="str">
        <f>"508120230423092211139753"</f>
        <v>508120230423092211139753</v>
      </c>
      <c r="C242" s="6" t="s">
        <v>5</v>
      </c>
      <c r="D242" s="6" t="str">
        <f>"李涛"</f>
        <v>李涛</v>
      </c>
    </row>
    <row r="243" spans="1:4" ht="30" customHeight="1">
      <c r="A243" s="6">
        <v>241</v>
      </c>
      <c r="B243" s="6" t="str">
        <f>"508120230423192727140223"</f>
        <v>508120230423192727140223</v>
      </c>
      <c r="C243" s="6" t="s">
        <v>5</v>
      </c>
      <c r="D243" s="6" t="str">
        <f>"陈茂壮"</f>
        <v>陈茂壮</v>
      </c>
    </row>
    <row r="244" spans="1:4" ht="30" customHeight="1">
      <c r="A244" s="6">
        <v>242</v>
      </c>
      <c r="B244" s="6" t="str">
        <f>"508120230423195018140239"</f>
        <v>508120230423195018140239</v>
      </c>
      <c r="C244" s="6" t="s">
        <v>5</v>
      </c>
      <c r="D244" s="6" t="str">
        <f>"李德帅"</f>
        <v>李德帅</v>
      </c>
    </row>
    <row r="245" spans="1:4" ht="30" customHeight="1">
      <c r="A245" s="6">
        <v>243</v>
      </c>
      <c r="B245" s="6" t="str">
        <f>"508120230423195419140242"</f>
        <v>508120230423195419140242</v>
      </c>
      <c r="C245" s="6" t="s">
        <v>5</v>
      </c>
      <c r="D245" s="6" t="str">
        <f>"王所文"</f>
        <v>王所文</v>
      </c>
    </row>
    <row r="246" spans="1:4" ht="30" customHeight="1">
      <c r="A246" s="6">
        <v>244</v>
      </c>
      <c r="B246" s="6" t="str">
        <f>"508120230423194246140233"</f>
        <v>508120230423194246140233</v>
      </c>
      <c r="C246" s="6" t="s">
        <v>5</v>
      </c>
      <c r="D246" s="6" t="str">
        <f>"肖艺盟"</f>
        <v>肖艺盟</v>
      </c>
    </row>
    <row r="247" spans="1:4" ht="30" customHeight="1">
      <c r="A247" s="6">
        <v>245</v>
      </c>
      <c r="B247" s="6" t="str">
        <f>"508120230422111350139246"</f>
        <v>508120230422111350139246</v>
      </c>
      <c r="C247" s="6" t="s">
        <v>5</v>
      </c>
      <c r="D247" s="6" t="str">
        <f>"李宏斌"</f>
        <v>李宏斌</v>
      </c>
    </row>
    <row r="248" spans="1:4" ht="30" customHeight="1">
      <c r="A248" s="6">
        <v>246</v>
      </c>
      <c r="B248" s="6" t="str">
        <f>"508120230423203802140275"</f>
        <v>508120230423203802140275</v>
      </c>
      <c r="C248" s="6" t="s">
        <v>5</v>
      </c>
      <c r="D248" s="6" t="str">
        <f>"符颖飞"</f>
        <v>符颖飞</v>
      </c>
    </row>
    <row r="249" spans="1:4" ht="30" customHeight="1">
      <c r="A249" s="6">
        <v>247</v>
      </c>
      <c r="B249" s="6" t="str">
        <f>"508120230423201036140253"</f>
        <v>508120230423201036140253</v>
      </c>
      <c r="C249" s="6" t="s">
        <v>5</v>
      </c>
      <c r="D249" s="6" t="str">
        <f>"符大优"</f>
        <v>符大优</v>
      </c>
    </row>
    <row r="250" spans="1:4" ht="30" customHeight="1">
      <c r="A250" s="6">
        <v>248</v>
      </c>
      <c r="B250" s="6" t="str">
        <f>"508120230423143831139987"</f>
        <v>508120230423143831139987</v>
      </c>
      <c r="C250" s="6" t="s">
        <v>5</v>
      </c>
      <c r="D250" s="6" t="str">
        <f>"蔡夫悦"</f>
        <v>蔡夫悦</v>
      </c>
    </row>
    <row r="251" spans="1:4" ht="30" customHeight="1">
      <c r="A251" s="6">
        <v>249</v>
      </c>
      <c r="B251" s="6" t="str">
        <f>"508120230423202103140260"</f>
        <v>508120230423202103140260</v>
      </c>
      <c r="C251" s="6" t="s">
        <v>5</v>
      </c>
      <c r="D251" s="6" t="str">
        <f>"林道轩"</f>
        <v>林道轩</v>
      </c>
    </row>
    <row r="252" spans="1:4" ht="30" customHeight="1">
      <c r="A252" s="6">
        <v>250</v>
      </c>
      <c r="B252" s="6" t="str">
        <f>"508120230423203814140276"</f>
        <v>508120230423203814140276</v>
      </c>
      <c r="C252" s="6" t="s">
        <v>5</v>
      </c>
      <c r="D252" s="6" t="str">
        <f>"吴丹欣"</f>
        <v>吴丹欣</v>
      </c>
    </row>
    <row r="253" spans="1:4" ht="30" customHeight="1">
      <c r="A253" s="6">
        <v>251</v>
      </c>
      <c r="B253" s="6" t="str">
        <f>"508120230423132925139958"</f>
        <v>508120230423132925139958</v>
      </c>
      <c r="C253" s="6" t="s">
        <v>5</v>
      </c>
      <c r="D253" s="6" t="str">
        <f>"叶才霞"</f>
        <v>叶才霞</v>
      </c>
    </row>
    <row r="254" spans="1:4" ht="30" customHeight="1">
      <c r="A254" s="6">
        <v>252</v>
      </c>
      <c r="B254" s="6" t="str">
        <f>"508120230422195904139525"</f>
        <v>508120230422195904139525</v>
      </c>
      <c r="C254" s="6" t="s">
        <v>5</v>
      </c>
      <c r="D254" s="6" t="str">
        <f>"羊后忠"</f>
        <v>羊后忠</v>
      </c>
    </row>
    <row r="255" spans="1:4" ht="30" customHeight="1">
      <c r="A255" s="6">
        <v>253</v>
      </c>
      <c r="B255" s="6" t="str">
        <f>"508120230423173147140162"</f>
        <v>508120230423173147140162</v>
      </c>
      <c r="C255" s="6" t="s">
        <v>5</v>
      </c>
      <c r="D255" s="6" t="str">
        <f>"蒙钟冠"</f>
        <v>蒙钟冠</v>
      </c>
    </row>
    <row r="256" spans="1:4" ht="30" customHeight="1">
      <c r="A256" s="6">
        <v>254</v>
      </c>
      <c r="B256" s="6" t="str">
        <f>"508120230423112542139888"</f>
        <v>508120230423112542139888</v>
      </c>
      <c r="C256" s="6" t="s">
        <v>5</v>
      </c>
      <c r="D256" s="6" t="str">
        <f>"吴涵"</f>
        <v>吴涵</v>
      </c>
    </row>
    <row r="257" spans="1:4" ht="30" customHeight="1">
      <c r="A257" s="6">
        <v>255</v>
      </c>
      <c r="B257" s="6" t="str">
        <f>"508120230423210824140307"</f>
        <v>508120230423210824140307</v>
      </c>
      <c r="C257" s="6" t="s">
        <v>5</v>
      </c>
      <c r="D257" s="6" t="str">
        <f>"陈梦霞"</f>
        <v>陈梦霞</v>
      </c>
    </row>
    <row r="258" spans="1:4" ht="30" customHeight="1">
      <c r="A258" s="6">
        <v>256</v>
      </c>
      <c r="B258" s="6" t="str">
        <f>"508120230423210538140302"</f>
        <v>508120230423210538140302</v>
      </c>
      <c r="C258" s="6" t="s">
        <v>5</v>
      </c>
      <c r="D258" s="6" t="str">
        <f>"李占皇"</f>
        <v>李占皇</v>
      </c>
    </row>
    <row r="259" spans="1:4" ht="30" customHeight="1">
      <c r="A259" s="6">
        <v>257</v>
      </c>
      <c r="B259" s="6" t="str">
        <f>"508120230423193359140227"</f>
        <v>508120230423193359140227</v>
      </c>
      <c r="C259" s="6" t="s">
        <v>5</v>
      </c>
      <c r="D259" s="6" t="str">
        <f>"张海剑"</f>
        <v>张海剑</v>
      </c>
    </row>
    <row r="260" spans="1:4" ht="30" customHeight="1">
      <c r="A260" s="6">
        <v>258</v>
      </c>
      <c r="B260" s="6" t="str">
        <f>"508120230422173524139451"</f>
        <v>508120230422173524139451</v>
      </c>
      <c r="C260" s="6" t="s">
        <v>5</v>
      </c>
      <c r="D260" s="6" t="str">
        <f>"陈玉剑"</f>
        <v>陈玉剑</v>
      </c>
    </row>
    <row r="261" spans="1:4" ht="30" customHeight="1">
      <c r="A261" s="6">
        <v>259</v>
      </c>
      <c r="B261" s="6" t="str">
        <f>"508120230423213058140324"</f>
        <v>508120230423213058140324</v>
      </c>
      <c r="C261" s="6" t="s">
        <v>5</v>
      </c>
      <c r="D261" s="6" t="str">
        <f>"林鲁信"</f>
        <v>林鲁信</v>
      </c>
    </row>
    <row r="262" spans="1:4" ht="30" customHeight="1">
      <c r="A262" s="6">
        <v>260</v>
      </c>
      <c r="B262" s="6" t="str">
        <f>"508120230423213455140329"</f>
        <v>508120230423213455140329</v>
      </c>
      <c r="C262" s="6" t="s">
        <v>5</v>
      </c>
      <c r="D262" s="6" t="str">
        <f>"苏健品"</f>
        <v>苏健品</v>
      </c>
    </row>
    <row r="263" spans="1:4" ht="30" customHeight="1">
      <c r="A263" s="6">
        <v>261</v>
      </c>
      <c r="B263" s="6" t="str">
        <f>"508120230422003433139149"</f>
        <v>508120230422003433139149</v>
      </c>
      <c r="C263" s="6" t="s">
        <v>5</v>
      </c>
      <c r="D263" s="6" t="str">
        <f>"杨静"</f>
        <v>杨静</v>
      </c>
    </row>
    <row r="264" spans="1:4" ht="30" customHeight="1">
      <c r="A264" s="6">
        <v>262</v>
      </c>
      <c r="B264" s="6" t="str">
        <f>"508120230421144959138688"</f>
        <v>508120230421144959138688</v>
      </c>
      <c r="C264" s="6" t="s">
        <v>5</v>
      </c>
      <c r="D264" s="6" t="str">
        <f>"汤桓"</f>
        <v>汤桓</v>
      </c>
    </row>
    <row r="265" spans="1:4" ht="30" customHeight="1">
      <c r="A265" s="6">
        <v>263</v>
      </c>
      <c r="B265" s="6" t="str">
        <f>"508120230421091214138126"</f>
        <v>508120230421091214138126</v>
      </c>
      <c r="C265" s="6" t="s">
        <v>5</v>
      </c>
      <c r="D265" s="6" t="str">
        <f>"王昭军"</f>
        <v>王昭军</v>
      </c>
    </row>
    <row r="266" spans="1:4" ht="30" customHeight="1">
      <c r="A266" s="6">
        <v>264</v>
      </c>
      <c r="B266" s="6" t="str">
        <f>"508120230422154614139393"</f>
        <v>508120230422154614139393</v>
      </c>
      <c r="C266" s="6" t="s">
        <v>5</v>
      </c>
      <c r="D266" s="6" t="str">
        <f>"颜木芬"</f>
        <v>颜木芬</v>
      </c>
    </row>
    <row r="267" spans="1:4" ht="30" customHeight="1">
      <c r="A267" s="6">
        <v>265</v>
      </c>
      <c r="B267" s="6" t="str">
        <f>"508120230423221108140361"</f>
        <v>508120230423221108140361</v>
      </c>
      <c r="C267" s="6" t="s">
        <v>5</v>
      </c>
      <c r="D267" s="6" t="str">
        <f>"韦云"</f>
        <v>韦云</v>
      </c>
    </row>
    <row r="268" spans="1:4" ht="30" customHeight="1">
      <c r="A268" s="6">
        <v>266</v>
      </c>
      <c r="B268" s="6" t="str">
        <f>"508120230423224449140387"</f>
        <v>508120230423224449140387</v>
      </c>
      <c r="C268" s="6" t="s">
        <v>5</v>
      </c>
      <c r="D268" s="6" t="str">
        <f>"韦剑弘"</f>
        <v>韦剑弘</v>
      </c>
    </row>
    <row r="269" spans="1:4" ht="30" customHeight="1">
      <c r="A269" s="6">
        <v>267</v>
      </c>
      <c r="B269" s="6" t="str">
        <f>"508120230421220153139094"</f>
        <v>508120230421220153139094</v>
      </c>
      <c r="C269" s="6" t="s">
        <v>5</v>
      </c>
      <c r="D269" s="6" t="str">
        <f>"王建良"</f>
        <v>王建良</v>
      </c>
    </row>
    <row r="270" spans="1:4" ht="30" customHeight="1">
      <c r="A270" s="6">
        <v>268</v>
      </c>
      <c r="B270" s="6" t="str">
        <f>"508120230423232327140414"</f>
        <v>508120230423232327140414</v>
      </c>
      <c r="C270" s="6" t="s">
        <v>5</v>
      </c>
      <c r="D270" s="6" t="str">
        <f>"吴燕清"</f>
        <v>吴燕清</v>
      </c>
    </row>
    <row r="271" spans="1:4" ht="30" customHeight="1">
      <c r="A271" s="6">
        <v>269</v>
      </c>
      <c r="B271" s="6" t="str">
        <f>"508120230422223757139637"</f>
        <v>508120230422223757139637</v>
      </c>
      <c r="C271" s="6" t="s">
        <v>5</v>
      </c>
      <c r="D271" s="6" t="str">
        <f>"李卓豪"</f>
        <v>李卓豪</v>
      </c>
    </row>
    <row r="272" spans="1:4" ht="30" customHeight="1">
      <c r="A272" s="6">
        <v>270</v>
      </c>
      <c r="B272" s="6" t="str">
        <f>"508120230422220538139613"</f>
        <v>508120230422220538139613</v>
      </c>
      <c r="C272" s="6" t="s">
        <v>5</v>
      </c>
      <c r="D272" s="6" t="str">
        <f>"陈驰"</f>
        <v>陈驰</v>
      </c>
    </row>
    <row r="273" spans="1:4" ht="30" customHeight="1">
      <c r="A273" s="6">
        <v>271</v>
      </c>
      <c r="B273" s="6" t="str">
        <f>"508120230423233338140417"</f>
        <v>508120230423233338140417</v>
      </c>
      <c r="C273" s="6" t="s">
        <v>5</v>
      </c>
      <c r="D273" s="6" t="str">
        <f>"郭衍国"</f>
        <v>郭衍国</v>
      </c>
    </row>
    <row r="274" spans="1:4" ht="30" customHeight="1">
      <c r="A274" s="6">
        <v>272</v>
      </c>
      <c r="B274" s="6" t="str">
        <f>"508120230422222332139626"</f>
        <v>508120230422222332139626</v>
      </c>
      <c r="C274" s="6" t="s">
        <v>5</v>
      </c>
      <c r="D274" s="6" t="str">
        <f>"黄斌"</f>
        <v>黄斌</v>
      </c>
    </row>
    <row r="275" spans="1:4" ht="30" customHeight="1">
      <c r="A275" s="6">
        <v>273</v>
      </c>
      <c r="B275" s="6" t="str">
        <f>"508120230423234000140419"</f>
        <v>508120230423234000140419</v>
      </c>
      <c r="C275" s="6" t="s">
        <v>5</v>
      </c>
      <c r="D275" s="6" t="str">
        <f>"陈文广"</f>
        <v>陈文广</v>
      </c>
    </row>
    <row r="276" spans="1:4" ht="30" customHeight="1">
      <c r="A276" s="6">
        <v>274</v>
      </c>
      <c r="B276" s="6" t="str">
        <f>"508120230424002240140429"</f>
        <v>508120230424002240140429</v>
      </c>
      <c r="C276" s="6" t="s">
        <v>5</v>
      </c>
      <c r="D276" s="6" t="str">
        <f>"吴子勇"</f>
        <v>吴子勇</v>
      </c>
    </row>
    <row r="277" spans="1:4" ht="30" customHeight="1">
      <c r="A277" s="6">
        <v>275</v>
      </c>
      <c r="B277" s="6" t="str">
        <f>"508120230424033432140440"</f>
        <v>508120230424033432140440</v>
      </c>
      <c r="C277" s="6" t="s">
        <v>5</v>
      </c>
      <c r="D277" s="6" t="str">
        <f>"陈大荣"</f>
        <v>陈大荣</v>
      </c>
    </row>
    <row r="278" spans="1:4" ht="30" customHeight="1">
      <c r="A278" s="6">
        <v>276</v>
      </c>
      <c r="B278" s="6" t="str">
        <f>"508120230421173015138924"</f>
        <v>508120230421173015138924</v>
      </c>
      <c r="C278" s="6" t="s">
        <v>5</v>
      </c>
      <c r="D278" s="6" t="str">
        <f>"陈奕丰"</f>
        <v>陈奕丰</v>
      </c>
    </row>
    <row r="279" spans="1:4" ht="30" customHeight="1">
      <c r="A279" s="6">
        <v>277</v>
      </c>
      <c r="B279" s="6" t="str">
        <f>"508120230423164503140124"</f>
        <v>508120230423164503140124</v>
      </c>
      <c r="C279" s="6" t="s">
        <v>5</v>
      </c>
      <c r="D279" s="6" t="str">
        <f>"董志伟"</f>
        <v>董志伟</v>
      </c>
    </row>
    <row r="280" spans="1:4" ht="30" customHeight="1">
      <c r="A280" s="6">
        <v>278</v>
      </c>
      <c r="B280" s="6" t="str">
        <f>"508120230422190346139490"</f>
        <v>508120230422190346139490</v>
      </c>
      <c r="C280" s="6" t="s">
        <v>5</v>
      </c>
      <c r="D280" s="6" t="str">
        <f>"文抒"</f>
        <v>文抒</v>
      </c>
    </row>
    <row r="281" spans="1:4" ht="30" customHeight="1">
      <c r="A281" s="6">
        <v>279</v>
      </c>
      <c r="B281" s="6" t="str">
        <f>"508120230422163940139413"</f>
        <v>508120230422163940139413</v>
      </c>
      <c r="C281" s="6" t="s">
        <v>5</v>
      </c>
      <c r="D281" s="6" t="str">
        <f>"容信力"</f>
        <v>容信力</v>
      </c>
    </row>
    <row r="282" spans="1:4" ht="30" customHeight="1">
      <c r="A282" s="6">
        <v>280</v>
      </c>
      <c r="B282" s="6" t="str">
        <f>"508120230424091000140491"</f>
        <v>508120230424091000140491</v>
      </c>
      <c r="C282" s="6" t="s">
        <v>5</v>
      </c>
      <c r="D282" s="6" t="str">
        <f>"吴宏健"</f>
        <v>吴宏健</v>
      </c>
    </row>
    <row r="283" spans="1:4" ht="30" customHeight="1">
      <c r="A283" s="6">
        <v>281</v>
      </c>
      <c r="B283" s="6" t="str">
        <f>"508120230424093204140514"</f>
        <v>508120230424093204140514</v>
      </c>
      <c r="C283" s="6" t="s">
        <v>5</v>
      </c>
      <c r="D283" s="6" t="str">
        <f>"周少鸿"</f>
        <v>周少鸿</v>
      </c>
    </row>
    <row r="284" spans="1:4" ht="30" customHeight="1">
      <c r="A284" s="6">
        <v>282</v>
      </c>
      <c r="B284" s="6" t="str">
        <f>"508120230422205613139572"</f>
        <v>508120230422205613139572</v>
      </c>
      <c r="C284" s="6" t="s">
        <v>5</v>
      </c>
      <c r="D284" s="6" t="str">
        <f>"符教崇"</f>
        <v>符教崇</v>
      </c>
    </row>
    <row r="285" spans="1:4" ht="30" customHeight="1">
      <c r="A285" s="6">
        <v>283</v>
      </c>
      <c r="B285" s="6" t="str">
        <f>"508120230424091258140494"</f>
        <v>508120230424091258140494</v>
      </c>
      <c r="C285" s="6" t="s">
        <v>5</v>
      </c>
      <c r="D285" s="6" t="str">
        <f>"符绪伟"</f>
        <v>符绪伟</v>
      </c>
    </row>
    <row r="286" spans="1:4" ht="30" customHeight="1">
      <c r="A286" s="6">
        <v>284</v>
      </c>
      <c r="B286" s="6" t="str">
        <f>"508120230424092752140507"</f>
        <v>508120230424092752140507</v>
      </c>
      <c r="C286" s="6" t="s">
        <v>5</v>
      </c>
      <c r="D286" s="6" t="str">
        <f>"陈益超"</f>
        <v>陈益超</v>
      </c>
    </row>
    <row r="287" spans="1:4" ht="30" customHeight="1">
      <c r="A287" s="6">
        <v>285</v>
      </c>
      <c r="B287" s="6" t="str">
        <f>"508120230424095751140547"</f>
        <v>508120230424095751140547</v>
      </c>
      <c r="C287" s="6" t="s">
        <v>5</v>
      </c>
      <c r="D287" s="6" t="str">
        <f>"李健伟"</f>
        <v>李健伟</v>
      </c>
    </row>
    <row r="288" spans="1:4" ht="30" customHeight="1">
      <c r="A288" s="6">
        <v>286</v>
      </c>
      <c r="B288" s="6" t="str">
        <f>"508120230424100854140560"</f>
        <v>508120230424100854140560</v>
      </c>
      <c r="C288" s="6" t="s">
        <v>5</v>
      </c>
      <c r="D288" s="6" t="str">
        <f>"苏虹合"</f>
        <v>苏虹合</v>
      </c>
    </row>
    <row r="289" spans="1:4" ht="30" customHeight="1">
      <c r="A289" s="6">
        <v>287</v>
      </c>
      <c r="B289" s="6" t="str">
        <f>"508120230424101415140569"</f>
        <v>508120230424101415140569</v>
      </c>
      <c r="C289" s="6" t="s">
        <v>5</v>
      </c>
      <c r="D289" s="6" t="str">
        <f>"林尤利"</f>
        <v>林尤利</v>
      </c>
    </row>
    <row r="290" spans="1:4" ht="30" customHeight="1">
      <c r="A290" s="6">
        <v>288</v>
      </c>
      <c r="B290" s="6" t="str">
        <f>"508120230423180612140175"</f>
        <v>508120230423180612140175</v>
      </c>
      <c r="C290" s="6" t="s">
        <v>5</v>
      </c>
      <c r="D290" s="6" t="str">
        <f>"张跃谋"</f>
        <v>张跃谋</v>
      </c>
    </row>
    <row r="291" spans="1:4" ht="30" customHeight="1">
      <c r="A291" s="6">
        <v>289</v>
      </c>
      <c r="B291" s="6" t="str">
        <f>"508120230424092833140508"</f>
        <v>508120230424092833140508</v>
      </c>
      <c r="C291" s="6" t="s">
        <v>5</v>
      </c>
      <c r="D291" s="6" t="str">
        <f>"林震"</f>
        <v>林震</v>
      </c>
    </row>
    <row r="292" spans="1:4" ht="30" customHeight="1">
      <c r="A292" s="6">
        <v>290</v>
      </c>
      <c r="B292" s="6" t="str">
        <f>"508120230424101122140567"</f>
        <v>508120230424101122140567</v>
      </c>
      <c r="C292" s="6" t="s">
        <v>5</v>
      </c>
      <c r="D292" s="6" t="str">
        <f>"赵继亮"</f>
        <v>赵继亮</v>
      </c>
    </row>
    <row r="293" spans="1:4" ht="30" customHeight="1">
      <c r="A293" s="6">
        <v>291</v>
      </c>
      <c r="B293" s="6" t="str">
        <f>"508120230424111416140631"</f>
        <v>508120230424111416140631</v>
      </c>
      <c r="C293" s="6" t="s">
        <v>5</v>
      </c>
      <c r="D293" s="6" t="str">
        <f>"赵良威"</f>
        <v>赵良威</v>
      </c>
    </row>
    <row r="294" spans="1:4" ht="30" customHeight="1">
      <c r="A294" s="6">
        <v>292</v>
      </c>
      <c r="B294" s="6" t="str">
        <f>"508120230424112412140639"</f>
        <v>508120230424112412140639</v>
      </c>
      <c r="C294" s="6" t="s">
        <v>5</v>
      </c>
      <c r="D294" s="6" t="str">
        <f>"张耀泽"</f>
        <v>张耀泽</v>
      </c>
    </row>
    <row r="295" spans="1:4" ht="30" customHeight="1">
      <c r="A295" s="6">
        <v>293</v>
      </c>
      <c r="B295" s="6" t="str">
        <f>"508120230424115543140672"</f>
        <v>508120230424115543140672</v>
      </c>
      <c r="C295" s="6" t="s">
        <v>5</v>
      </c>
      <c r="D295" s="6" t="str">
        <f>"黄昌睿"</f>
        <v>黄昌睿</v>
      </c>
    </row>
    <row r="296" spans="1:4" ht="30" customHeight="1">
      <c r="A296" s="6">
        <v>294</v>
      </c>
      <c r="B296" s="6" t="str">
        <f>"508120230424121223140681"</f>
        <v>508120230424121223140681</v>
      </c>
      <c r="C296" s="6" t="s">
        <v>5</v>
      </c>
      <c r="D296" s="6" t="str">
        <f>"王德恩"</f>
        <v>王德恩</v>
      </c>
    </row>
    <row r="297" spans="1:4" ht="30" customHeight="1">
      <c r="A297" s="6">
        <v>295</v>
      </c>
      <c r="B297" s="6" t="str">
        <f>"508120230424124719140697"</f>
        <v>508120230424124719140697</v>
      </c>
      <c r="C297" s="6" t="s">
        <v>5</v>
      </c>
      <c r="D297" s="6" t="str">
        <f>"林赐睿"</f>
        <v>林赐睿</v>
      </c>
    </row>
    <row r="298" spans="1:4" ht="30" customHeight="1">
      <c r="A298" s="6">
        <v>296</v>
      </c>
      <c r="B298" s="6" t="str">
        <f>"508120230424124410140693"</f>
        <v>508120230424124410140693</v>
      </c>
      <c r="C298" s="6" t="s">
        <v>5</v>
      </c>
      <c r="D298" s="6" t="str">
        <f>"麦凌志"</f>
        <v>麦凌志</v>
      </c>
    </row>
    <row r="299" spans="1:4" ht="30" customHeight="1">
      <c r="A299" s="6">
        <v>297</v>
      </c>
      <c r="B299" s="6" t="str">
        <f>"508120230423221042140360"</f>
        <v>508120230423221042140360</v>
      </c>
      <c r="C299" s="6" t="s">
        <v>5</v>
      </c>
      <c r="D299" s="6" t="str">
        <f>"陈旭"</f>
        <v>陈旭</v>
      </c>
    </row>
    <row r="300" spans="1:4" ht="30" customHeight="1">
      <c r="A300" s="6">
        <v>298</v>
      </c>
      <c r="B300" s="6" t="str">
        <f>"508120230423114948139907"</f>
        <v>508120230423114948139907</v>
      </c>
      <c r="C300" s="6" t="s">
        <v>5</v>
      </c>
      <c r="D300" s="6" t="str">
        <f>"吴定文"</f>
        <v>吴定文</v>
      </c>
    </row>
    <row r="301" spans="1:4" ht="30" customHeight="1">
      <c r="A301" s="6">
        <v>299</v>
      </c>
      <c r="B301" s="6" t="str">
        <f>"508120230421094336138224"</f>
        <v>508120230421094336138224</v>
      </c>
      <c r="C301" s="6" t="s">
        <v>5</v>
      </c>
      <c r="D301" s="6" t="str">
        <f>"戴琪修"</f>
        <v>戴琪修</v>
      </c>
    </row>
    <row r="302" spans="1:4" ht="30" customHeight="1">
      <c r="A302" s="6">
        <v>300</v>
      </c>
      <c r="B302" s="6" t="str">
        <f>"508120230424144016140746"</f>
        <v>508120230424144016140746</v>
      </c>
      <c r="C302" s="6" t="s">
        <v>5</v>
      </c>
      <c r="D302" s="6" t="str">
        <f>"陈寒冰"</f>
        <v>陈寒冰</v>
      </c>
    </row>
    <row r="303" spans="1:4" ht="30" customHeight="1">
      <c r="A303" s="6">
        <v>301</v>
      </c>
      <c r="B303" s="6" t="str">
        <f>"508120230424082353140456"</f>
        <v>508120230424082353140456</v>
      </c>
      <c r="C303" s="6" t="s">
        <v>5</v>
      </c>
      <c r="D303" s="6" t="str">
        <f>"林志权"</f>
        <v>林志权</v>
      </c>
    </row>
    <row r="304" spans="1:4" ht="30" customHeight="1">
      <c r="A304" s="6">
        <v>302</v>
      </c>
      <c r="B304" s="6" t="str">
        <f>"508120230421110821138433"</f>
        <v>508120230421110821138433</v>
      </c>
      <c r="C304" s="6" t="s">
        <v>5</v>
      </c>
      <c r="D304" s="6" t="str">
        <f>"庄伟"</f>
        <v>庄伟</v>
      </c>
    </row>
    <row r="305" spans="1:4" ht="30" customHeight="1">
      <c r="A305" s="6">
        <v>303</v>
      </c>
      <c r="B305" s="6" t="str">
        <f>"508120230423221900140369"</f>
        <v>508120230423221900140369</v>
      </c>
      <c r="C305" s="6" t="s">
        <v>5</v>
      </c>
      <c r="D305" s="6" t="str">
        <f>"叶璐萍"</f>
        <v>叶璐萍</v>
      </c>
    </row>
    <row r="306" spans="1:4" ht="30" customHeight="1">
      <c r="A306" s="6">
        <v>304</v>
      </c>
      <c r="B306" s="6" t="str">
        <f>"508120230421112145138457"</f>
        <v>508120230421112145138457</v>
      </c>
      <c r="C306" s="6" t="s">
        <v>5</v>
      </c>
      <c r="D306" s="6" t="str">
        <f>"韩行衍"</f>
        <v>韩行衍</v>
      </c>
    </row>
    <row r="307" spans="1:4" ht="30" customHeight="1">
      <c r="A307" s="6">
        <v>305</v>
      </c>
      <c r="B307" s="6" t="str">
        <f>"508120230424111227140627"</f>
        <v>508120230424111227140627</v>
      </c>
      <c r="C307" s="6" t="s">
        <v>5</v>
      </c>
      <c r="D307" s="6" t="str">
        <f>"欧先史"</f>
        <v>欧先史</v>
      </c>
    </row>
    <row r="308" spans="1:4" ht="30" customHeight="1">
      <c r="A308" s="6">
        <v>306</v>
      </c>
      <c r="B308" s="6" t="str">
        <f>"508120230424102217140577"</f>
        <v>508120230424102217140577</v>
      </c>
      <c r="C308" s="6" t="s">
        <v>5</v>
      </c>
      <c r="D308" s="6" t="str">
        <f>"陈忠"</f>
        <v>陈忠</v>
      </c>
    </row>
    <row r="309" spans="1:4" ht="30" customHeight="1">
      <c r="A309" s="6">
        <v>307</v>
      </c>
      <c r="B309" s="6" t="str">
        <f>"508120230424155046140795"</f>
        <v>508120230424155046140795</v>
      </c>
      <c r="C309" s="6" t="s">
        <v>5</v>
      </c>
      <c r="D309" s="6" t="str">
        <f>"黄赞权"</f>
        <v>黄赞权</v>
      </c>
    </row>
    <row r="310" spans="1:4" ht="30" customHeight="1">
      <c r="A310" s="6">
        <v>308</v>
      </c>
      <c r="B310" s="6" t="str">
        <f>"508120230421215358139090"</f>
        <v>508120230421215358139090</v>
      </c>
      <c r="C310" s="6" t="s">
        <v>5</v>
      </c>
      <c r="D310" s="6" t="str">
        <f>"范甲政"</f>
        <v>范甲政</v>
      </c>
    </row>
    <row r="311" spans="1:4" ht="30" customHeight="1">
      <c r="A311" s="6">
        <v>309</v>
      </c>
      <c r="B311" s="6" t="str">
        <f>"508120230424155005140794"</f>
        <v>508120230424155005140794</v>
      </c>
      <c r="C311" s="6" t="s">
        <v>5</v>
      </c>
      <c r="D311" s="6" t="str">
        <f>"吴愉"</f>
        <v>吴愉</v>
      </c>
    </row>
    <row r="312" spans="1:4" ht="30" customHeight="1">
      <c r="A312" s="6">
        <v>310</v>
      </c>
      <c r="B312" s="6" t="str">
        <f>"508120230424111742140635"</f>
        <v>508120230424111742140635</v>
      </c>
      <c r="C312" s="6" t="s">
        <v>5</v>
      </c>
      <c r="D312" s="6" t="str">
        <f>"苏会胜"</f>
        <v>苏会胜</v>
      </c>
    </row>
    <row r="313" spans="1:4" ht="30" customHeight="1">
      <c r="A313" s="6">
        <v>311</v>
      </c>
      <c r="B313" s="6" t="str">
        <f>"508120230424160029140806"</f>
        <v>508120230424160029140806</v>
      </c>
      <c r="C313" s="6" t="s">
        <v>5</v>
      </c>
      <c r="D313" s="6" t="str">
        <f>"邓美妮"</f>
        <v>邓美妮</v>
      </c>
    </row>
    <row r="314" spans="1:4" ht="30" customHeight="1">
      <c r="A314" s="6">
        <v>312</v>
      </c>
      <c r="B314" s="6" t="str">
        <f>"508120230423082617139705"</f>
        <v>508120230423082617139705</v>
      </c>
      <c r="C314" s="6" t="s">
        <v>5</v>
      </c>
      <c r="D314" s="6" t="str">
        <f>"许环鸿"</f>
        <v>许环鸿</v>
      </c>
    </row>
    <row r="315" spans="1:4" ht="30" customHeight="1">
      <c r="A315" s="6">
        <v>313</v>
      </c>
      <c r="B315" s="6" t="str">
        <f>"508120230424161058140818"</f>
        <v>508120230424161058140818</v>
      </c>
      <c r="C315" s="6" t="s">
        <v>5</v>
      </c>
      <c r="D315" s="6" t="str">
        <f>"陈钰婷"</f>
        <v>陈钰婷</v>
      </c>
    </row>
    <row r="316" spans="1:4" ht="30" customHeight="1">
      <c r="A316" s="6">
        <v>314</v>
      </c>
      <c r="B316" s="6" t="str">
        <f>"508120230424164813140850"</f>
        <v>508120230424164813140850</v>
      </c>
      <c r="C316" s="6" t="s">
        <v>5</v>
      </c>
      <c r="D316" s="6" t="str">
        <f>"陈小精"</f>
        <v>陈小精</v>
      </c>
    </row>
    <row r="317" spans="1:4" ht="30" customHeight="1">
      <c r="A317" s="6">
        <v>315</v>
      </c>
      <c r="B317" s="6" t="str">
        <f>"508120230424170419140862"</f>
        <v>508120230424170419140862</v>
      </c>
      <c r="C317" s="6" t="s">
        <v>5</v>
      </c>
      <c r="D317" s="6" t="str">
        <f>"李铭灿"</f>
        <v>李铭灿</v>
      </c>
    </row>
    <row r="318" spans="1:4" ht="30" customHeight="1">
      <c r="A318" s="6">
        <v>316</v>
      </c>
      <c r="B318" s="6" t="str">
        <f>"508120230424141646140737"</f>
        <v>508120230424141646140737</v>
      </c>
      <c r="C318" s="6" t="s">
        <v>5</v>
      </c>
      <c r="D318" s="6" t="str">
        <f>"李宗豪"</f>
        <v>李宗豪</v>
      </c>
    </row>
    <row r="319" spans="1:4" ht="30" customHeight="1">
      <c r="A319" s="6">
        <v>317</v>
      </c>
      <c r="B319" s="6" t="str">
        <f>"508120230424172542140878"</f>
        <v>508120230424172542140878</v>
      </c>
      <c r="C319" s="6" t="s">
        <v>5</v>
      </c>
      <c r="D319" s="6" t="str">
        <f>"郑学威"</f>
        <v>郑学威</v>
      </c>
    </row>
    <row r="320" spans="1:4" ht="30" customHeight="1">
      <c r="A320" s="6">
        <v>318</v>
      </c>
      <c r="B320" s="6" t="str">
        <f>"508120230421154753138787"</f>
        <v>508120230421154753138787</v>
      </c>
      <c r="C320" s="6" t="s">
        <v>5</v>
      </c>
      <c r="D320" s="6" t="str">
        <f>"韩清裕"</f>
        <v>韩清裕</v>
      </c>
    </row>
    <row r="321" spans="1:4" ht="30" customHeight="1">
      <c r="A321" s="6">
        <v>319</v>
      </c>
      <c r="B321" s="6" t="str">
        <f>"508120230424151025140766"</f>
        <v>508120230424151025140766</v>
      </c>
      <c r="C321" s="6" t="s">
        <v>5</v>
      </c>
      <c r="D321" s="6" t="str">
        <f>"胡学敏"</f>
        <v>胡学敏</v>
      </c>
    </row>
    <row r="322" spans="1:4" ht="30" customHeight="1">
      <c r="A322" s="6">
        <v>320</v>
      </c>
      <c r="B322" s="6" t="str">
        <f>"508120230423155742140072"</f>
        <v>508120230423155742140072</v>
      </c>
      <c r="C322" s="6" t="s">
        <v>5</v>
      </c>
      <c r="D322" s="6" t="str">
        <f>"符光忠"</f>
        <v>符光忠</v>
      </c>
    </row>
    <row r="323" spans="1:4" ht="30" customHeight="1">
      <c r="A323" s="6">
        <v>321</v>
      </c>
      <c r="B323" s="6" t="str">
        <f>"508120230424174314140891"</f>
        <v>508120230424174314140891</v>
      </c>
      <c r="C323" s="6" t="s">
        <v>5</v>
      </c>
      <c r="D323" s="6" t="str">
        <f>"陈兴进"</f>
        <v>陈兴进</v>
      </c>
    </row>
    <row r="324" spans="1:4" ht="30" customHeight="1">
      <c r="A324" s="6">
        <v>322</v>
      </c>
      <c r="B324" s="6" t="str">
        <f>"508120230423181957140187"</f>
        <v>508120230423181957140187</v>
      </c>
      <c r="C324" s="6" t="s">
        <v>5</v>
      </c>
      <c r="D324" s="6" t="str">
        <f>"黄修庆"</f>
        <v>黄修庆</v>
      </c>
    </row>
    <row r="325" spans="1:4" ht="30" customHeight="1">
      <c r="A325" s="6">
        <v>323</v>
      </c>
      <c r="B325" s="6" t="str">
        <f>"508120230424180543140901"</f>
        <v>508120230424180543140901</v>
      </c>
      <c r="C325" s="6" t="s">
        <v>5</v>
      </c>
      <c r="D325" s="6" t="str">
        <f>"邢惠敏"</f>
        <v>邢惠敏</v>
      </c>
    </row>
    <row r="326" spans="1:4" ht="30" customHeight="1">
      <c r="A326" s="6">
        <v>324</v>
      </c>
      <c r="B326" s="6" t="str">
        <f>"508120230423085145139719"</f>
        <v>508120230423085145139719</v>
      </c>
      <c r="C326" s="6" t="s">
        <v>5</v>
      </c>
      <c r="D326" s="6" t="str">
        <f>"许环伟"</f>
        <v>许环伟</v>
      </c>
    </row>
    <row r="327" spans="1:4" ht="30" customHeight="1">
      <c r="A327" s="6">
        <v>325</v>
      </c>
      <c r="B327" s="6" t="str">
        <f>"508120230424180944140905"</f>
        <v>508120230424180944140905</v>
      </c>
      <c r="C327" s="6" t="s">
        <v>5</v>
      </c>
      <c r="D327" s="6" t="str">
        <f>"吴红升"</f>
        <v>吴红升</v>
      </c>
    </row>
    <row r="328" spans="1:4" ht="30" customHeight="1">
      <c r="A328" s="6">
        <v>326</v>
      </c>
      <c r="B328" s="6" t="str">
        <f>"508120230423223246140376"</f>
        <v>508120230423223246140376</v>
      </c>
      <c r="C328" s="6" t="s">
        <v>5</v>
      </c>
      <c r="D328" s="6" t="str">
        <f>"麦映科"</f>
        <v>麦映科</v>
      </c>
    </row>
    <row r="329" spans="1:4" ht="30" customHeight="1">
      <c r="A329" s="6">
        <v>327</v>
      </c>
      <c r="B329" s="6" t="str">
        <f>"508120230424180642140902"</f>
        <v>508120230424180642140902</v>
      </c>
      <c r="C329" s="6" t="s">
        <v>5</v>
      </c>
      <c r="D329" s="6" t="str">
        <f>"莫彬"</f>
        <v>莫彬</v>
      </c>
    </row>
    <row r="330" spans="1:4" ht="30" customHeight="1">
      <c r="A330" s="6">
        <v>328</v>
      </c>
      <c r="B330" s="6" t="str">
        <f>"508120230424195231140962"</f>
        <v>508120230424195231140962</v>
      </c>
      <c r="C330" s="6" t="s">
        <v>5</v>
      </c>
      <c r="D330" s="6" t="str">
        <f>"符浩"</f>
        <v>符浩</v>
      </c>
    </row>
    <row r="331" spans="1:4" ht="30" customHeight="1">
      <c r="A331" s="6">
        <v>329</v>
      </c>
      <c r="B331" s="6" t="str">
        <f>"508120230424183022140917"</f>
        <v>508120230424183022140917</v>
      </c>
      <c r="C331" s="6" t="s">
        <v>5</v>
      </c>
      <c r="D331" s="6" t="str">
        <f>"符瑶"</f>
        <v>符瑶</v>
      </c>
    </row>
    <row r="332" spans="1:4" ht="30" customHeight="1">
      <c r="A332" s="6">
        <v>330</v>
      </c>
      <c r="B332" s="6" t="str">
        <f>"508120230424134018140729"</f>
        <v>508120230424134018140729</v>
      </c>
      <c r="C332" s="6" t="s">
        <v>5</v>
      </c>
      <c r="D332" s="6" t="str">
        <f>"陈送果"</f>
        <v>陈送果</v>
      </c>
    </row>
    <row r="333" spans="1:4" ht="30" customHeight="1">
      <c r="A333" s="6">
        <v>331</v>
      </c>
      <c r="B333" s="6" t="str">
        <f>"508120230424195414140964"</f>
        <v>508120230424195414140964</v>
      </c>
      <c r="C333" s="6" t="s">
        <v>5</v>
      </c>
      <c r="D333" s="6" t="str">
        <f>"符代强"</f>
        <v>符代强</v>
      </c>
    </row>
    <row r="334" spans="1:4" ht="30" customHeight="1">
      <c r="A334" s="6">
        <v>332</v>
      </c>
      <c r="B334" s="6" t="str">
        <f>"508120230422175650139465"</f>
        <v>508120230422175650139465</v>
      </c>
      <c r="C334" s="6" t="s">
        <v>5</v>
      </c>
      <c r="D334" s="6" t="str">
        <f>"赵志伟"</f>
        <v>赵志伟</v>
      </c>
    </row>
    <row r="335" spans="1:4" ht="30" customHeight="1">
      <c r="A335" s="6">
        <v>333</v>
      </c>
      <c r="B335" s="6" t="str">
        <f>"508120230424201025140976"</f>
        <v>508120230424201025140976</v>
      </c>
      <c r="C335" s="6" t="s">
        <v>5</v>
      </c>
      <c r="D335" s="6" t="str">
        <f>"张倩怡"</f>
        <v>张倩怡</v>
      </c>
    </row>
    <row r="336" spans="1:4" ht="30" customHeight="1">
      <c r="A336" s="6">
        <v>334</v>
      </c>
      <c r="B336" s="6" t="str">
        <f>"508120230424200834140974"</f>
        <v>508120230424200834140974</v>
      </c>
      <c r="C336" s="6" t="s">
        <v>5</v>
      </c>
      <c r="D336" s="6" t="str">
        <f>"符策宁"</f>
        <v>符策宁</v>
      </c>
    </row>
    <row r="337" spans="1:4" ht="30" customHeight="1">
      <c r="A337" s="6">
        <v>335</v>
      </c>
      <c r="B337" s="6" t="str">
        <f>"508120230422221252139618"</f>
        <v>508120230422221252139618</v>
      </c>
      <c r="C337" s="6" t="s">
        <v>5</v>
      </c>
      <c r="D337" s="6" t="str">
        <f>"王深"</f>
        <v>王深</v>
      </c>
    </row>
    <row r="338" spans="1:4" ht="30" customHeight="1">
      <c r="A338" s="6">
        <v>336</v>
      </c>
      <c r="B338" s="6" t="str">
        <f>"508120230423221330140364"</f>
        <v>508120230423221330140364</v>
      </c>
      <c r="C338" s="6" t="s">
        <v>5</v>
      </c>
      <c r="D338" s="6" t="str">
        <f>"吴海鹏"</f>
        <v>吴海鹏</v>
      </c>
    </row>
    <row r="339" spans="1:4" ht="30" customHeight="1">
      <c r="A339" s="6">
        <v>337</v>
      </c>
      <c r="B339" s="6" t="str">
        <f>"508120230423175221140168"</f>
        <v>508120230423175221140168</v>
      </c>
      <c r="C339" s="6" t="s">
        <v>5</v>
      </c>
      <c r="D339" s="6" t="str">
        <f>"林小宾"</f>
        <v>林小宾</v>
      </c>
    </row>
    <row r="340" spans="1:4" ht="30" customHeight="1">
      <c r="A340" s="6">
        <v>338</v>
      </c>
      <c r="B340" s="6" t="str">
        <f>"508120230424152014140772"</f>
        <v>508120230424152014140772</v>
      </c>
      <c r="C340" s="6" t="s">
        <v>5</v>
      </c>
      <c r="D340" s="6" t="str">
        <f>"吴朝君"</f>
        <v>吴朝君</v>
      </c>
    </row>
    <row r="341" spans="1:4" ht="30" customHeight="1">
      <c r="A341" s="6">
        <v>339</v>
      </c>
      <c r="B341" s="6" t="str">
        <f>"508120230424210001141012"</f>
        <v>508120230424210001141012</v>
      </c>
      <c r="C341" s="6" t="s">
        <v>5</v>
      </c>
      <c r="D341" s="6" t="str">
        <f>"陈宝俊"</f>
        <v>陈宝俊</v>
      </c>
    </row>
    <row r="342" spans="1:4" ht="30" customHeight="1">
      <c r="A342" s="6">
        <v>340</v>
      </c>
      <c r="B342" s="6" t="str">
        <f>"508120230424205105141007"</f>
        <v>508120230424205105141007</v>
      </c>
      <c r="C342" s="6" t="s">
        <v>5</v>
      </c>
      <c r="D342" s="6" t="str">
        <f>"黄君"</f>
        <v>黄君</v>
      </c>
    </row>
    <row r="343" spans="1:4" ht="30" customHeight="1">
      <c r="A343" s="6">
        <v>341</v>
      </c>
      <c r="B343" s="6" t="str">
        <f>"508120230422202138139539"</f>
        <v>508120230422202138139539</v>
      </c>
      <c r="C343" s="6" t="s">
        <v>5</v>
      </c>
      <c r="D343" s="6" t="str">
        <f>"符华文"</f>
        <v>符华文</v>
      </c>
    </row>
    <row r="344" spans="1:4" ht="30" customHeight="1">
      <c r="A344" s="6">
        <v>342</v>
      </c>
      <c r="B344" s="6" t="str">
        <f>"508120230424201554140979"</f>
        <v>508120230424201554140979</v>
      </c>
      <c r="C344" s="6" t="s">
        <v>5</v>
      </c>
      <c r="D344" s="6" t="str">
        <f>"符祥飞"</f>
        <v>符祥飞</v>
      </c>
    </row>
    <row r="345" spans="1:4" ht="30" customHeight="1">
      <c r="A345" s="6">
        <v>343</v>
      </c>
      <c r="B345" s="6" t="str">
        <f>"508120230424105843140617"</f>
        <v>508120230424105843140617</v>
      </c>
      <c r="C345" s="6" t="s">
        <v>5</v>
      </c>
      <c r="D345" s="6" t="str">
        <f>"何开甲"</f>
        <v>何开甲</v>
      </c>
    </row>
    <row r="346" spans="1:4" ht="30" customHeight="1">
      <c r="A346" s="6">
        <v>344</v>
      </c>
      <c r="B346" s="6" t="str">
        <f>"508120230422204407139561"</f>
        <v>508120230422204407139561</v>
      </c>
      <c r="C346" s="6" t="s">
        <v>5</v>
      </c>
      <c r="D346" s="6" t="str">
        <f>"阮睿"</f>
        <v>阮睿</v>
      </c>
    </row>
    <row r="347" spans="1:4" ht="30" customHeight="1">
      <c r="A347" s="6">
        <v>345</v>
      </c>
      <c r="B347" s="6" t="str">
        <f>"508120230424214219141037"</f>
        <v>508120230424214219141037</v>
      </c>
      <c r="C347" s="6" t="s">
        <v>5</v>
      </c>
      <c r="D347" s="6" t="str">
        <f>"何华烈"</f>
        <v>何华烈</v>
      </c>
    </row>
    <row r="348" spans="1:4" ht="30" customHeight="1">
      <c r="A348" s="6">
        <v>346</v>
      </c>
      <c r="B348" s="6" t="str">
        <f>"508120230423185615140210"</f>
        <v>508120230423185615140210</v>
      </c>
      <c r="C348" s="6" t="s">
        <v>5</v>
      </c>
      <c r="D348" s="6" t="str">
        <f>"王浩屹"</f>
        <v>王浩屹</v>
      </c>
    </row>
    <row r="349" spans="1:4" ht="30" customHeight="1">
      <c r="A349" s="6">
        <v>347</v>
      </c>
      <c r="B349" s="6" t="str">
        <f>"508120230424214820141042"</f>
        <v>508120230424214820141042</v>
      </c>
      <c r="C349" s="6" t="s">
        <v>5</v>
      </c>
      <c r="D349" s="6" t="str">
        <f>"黄美晨"</f>
        <v>黄美晨</v>
      </c>
    </row>
    <row r="350" spans="1:4" ht="30" customHeight="1">
      <c r="A350" s="6">
        <v>348</v>
      </c>
      <c r="B350" s="6" t="str">
        <f>"508120230424221718141067"</f>
        <v>508120230424221718141067</v>
      </c>
      <c r="C350" s="6" t="s">
        <v>5</v>
      </c>
      <c r="D350" s="6" t="str">
        <f>"龙美琴"</f>
        <v>龙美琴</v>
      </c>
    </row>
    <row r="351" spans="1:4" ht="30" customHeight="1">
      <c r="A351" s="6">
        <v>349</v>
      </c>
      <c r="B351" s="6" t="str">
        <f>"508120230424220012141051"</f>
        <v>508120230424220012141051</v>
      </c>
      <c r="C351" s="6" t="s">
        <v>5</v>
      </c>
      <c r="D351" s="6" t="str">
        <f>"张耿前"</f>
        <v>张耿前</v>
      </c>
    </row>
    <row r="352" spans="1:4" ht="30" customHeight="1">
      <c r="A352" s="6">
        <v>350</v>
      </c>
      <c r="B352" s="6" t="str">
        <f>"508120230424124937140699"</f>
        <v>508120230424124937140699</v>
      </c>
      <c r="C352" s="6" t="s">
        <v>5</v>
      </c>
      <c r="D352" s="6" t="str">
        <f>"王茜茜"</f>
        <v>王茜茜</v>
      </c>
    </row>
    <row r="353" spans="1:4" ht="30" customHeight="1">
      <c r="A353" s="6">
        <v>351</v>
      </c>
      <c r="B353" s="6" t="str">
        <f>"508120230424224604141090"</f>
        <v>508120230424224604141090</v>
      </c>
      <c r="C353" s="6" t="s">
        <v>5</v>
      </c>
      <c r="D353" s="6" t="str">
        <f>"林世鹏"</f>
        <v>林世鹏</v>
      </c>
    </row>
    <row r="354" spans="1:4" ht="30" customHeight="1">
      <c r="A354" s="6">
        <v>352</v>
      </c>
      <c r="B354" s="6" t="str">
        <f>"508120230424211321141019"</f>
        <v>508120230424211321141019</v>
      </c>
      <c r="C354" s="6" t="s">
        <v>5</v>
      </c>
      <c r="D354" s="6" t="str">
        <f>"刘龙跃"</f>
        <v>刘龙跃</v>
      </c>
    </row>
    <row r="355" spans="1:4" ht="30" customHeight="1">
      <c r="A355" s="6">
        <v>353</v>
      </c>
      <c r="B355" s="6" t="str">
        <f>"508120230421162433138844"</f>
        <v>508120230421162433138844</v>
      </c>
      <c r="C355" s="6" t="s">
        <v>5</v>
      </c>
      <c r="D355" s="6" t="str">
        <f>"秦豪"</f>
        <v>秦豪</v>
      </c>
    </row>
    <row r="356" spans="1:4" ht="30" customHeight="1">
      <c r="A356" s="6">
        <v>354</v>
      </c>
      <c r="B356" s="6" t="str">
        <f>"508120230424223532141082"</f>
        <v>508120230424223532141082</v>
      </c>
      <c r="C356" s="6" t="s">
        <v>5</v>
      </c>
      <c r="D356" s="6" t="str">
        <f>"桑好男"</f>
        <v>桑好男</v>
      </c>
    </row>
    <row r="357" spans="1:4" ht="30" customHeight="1">
      <c r="A357" s="6">
        <v>355</v>
      </c>
      <c r="B357" s="6" t="str">
        <f>"508120230423202230140263"</f>
        <v>508120230423202230140263</v>
      </c>
      <c r="C357" s="6" t="s">
        <v>5</v>
      </c>
      <c r="D357" s="6" t="str">
        <f>"陈柏翰"</f>
        <v>陈柏翰</v>
      </c>
    </row>
    <row r="358" spans="1:4" ht="30" customHeight="1">
      <c r="A358" s="6">
        <v>356</v>
      </c>
      <c r="B358" s="6" t="str">
        <f>"508120230424231604141107"</f>
        <v>508120230424231604141107</v>
      </c>
      <c r="C358" s="6" t="s">
        <v>5</v>
      </c>
      <c r="D358" s="6" t="str">
        <f>"潘琳"</f>
        <v>潘琳</v>
      </c>
    </row>
    <row r="359" spans="1:4" ht="30" customHeight="1">
      <c r="A359" s="6">
        <v>357</v>
      </c>
      <c r="B359" s="6" t="str">
        <f>"508120230424233112141114"</f>
        <v>508120230424233112141114</v>
      </c>
      <c r="C359" s="6" t="s">
        <v>5</v>
      </c>
      <c r="D359" s="6" t="str">
        <f>"林明明"</f>
        <v>林明明</v>
      </c>
    </row>
    <row r="360" spans="1:4" ht="30" customHeight="1">
      <c r="A360" s="6">
        <v>358</v>
      </c>
      <c r="B360" s="6" t="str">
        <f>"508120230424234851141116"</f>
        <v>508120230424234851141116</v>
      </c>
      <c r="C360" s="6" t="s">
        <v>5</v>
      </c>
      <c r="D360" s="6" t="str">
        <f>"全垂政"</f>
        <v>全垂政</v>
      </c>
    </row>
    <row r="361" spans="1:4" ht="30" customHeight="1">
      <c r="A361" s="6">
        <v>359</v>
      </c>
      <c r="B361" s="6" t="str">
        <f>"508120230424225143141094"</f>
        <v>508120230424225143141094</v>
      </c>
      <c r="C361" s="6" t="s">
        <v>5</v>
      </c>
      <c r="D361" s="6" t="str">
        <f>"莫思阳"</f>
        <v>莫思阳</v>
      </c>
    </row>
    <row r="362" spans="1:4" ht="30" customHeight="1">
      <c r="A362" s="6">
        <v>360</v>
      </c>
      <c r="B362" s="6" t="str">
        <f>"508120230422082901139170"</f>
        <v>508120230422082901139170</v>
      </c>
      <c r="C362" s="6" t="s">
        <v>5</v>
      </c>
      <c r="D362" s="6" t="str">
        <f>"游钊"</f>
        <v>游钊</v>
      </c>
    </row>
    <row r="363" spans="1:4" ht="30" customHeight="1">
      <c r="A363" s="6">
        <v>361</v>
      </c>
      <c r="B363" s="6" t="str">
        <f>"508120230424094532140531"</f>
        <v>508120230424094532140531</v>
      </c>
      <c r="C363" s="6" t="s">
        <v>5</v>
      </c>
      <c r="D363" s="6" t="str">
        <f>"张艺"</f>
        <v>张艺</v>
      </c>
    </row>
    <row r="364" spans="1:4" ht="30" customHeight="1">
      <c r="A364" s="6">
        <v>362</v>
      </c>
      <c r="B364" s="6" t="str">
        <f>"508120230425082509141150"</f>
        <v>508120230425082509141150</v>
      </c>
      <c r="C364" s="6" t="s">
        <v>5</v>
      </c>
      <c r="D364" s="6" t="str">
        <f>"王琳"</f>
        <v>王琳</v>
      </c>
    </row>
    <row r="365" spans="1:4" ht="30" customHeight="1">
      <c r="A365" s="6">
        <v>363</v>
      </c>
      <c r="B365" s="6" t="str">
        <f>"508120230425084357141159"</f>
        <v>508120230425084357141159</v>
      </c>
      <c r="C365" s="6" t="s">
        <v>5</v>
      </c>
      <c r="D365" s="6" t="str">
        <f>"王秀云"</f>
        <v>王秀云</v>
      </c>
    </row>
    <row r="366" spans="1:4" ht="30" customHeight="1">
      <c r="A366" s="6">
        <v>364</v>
      </c>
      <c r="B366" s="6" t="str">
        <f>"508120230425083311141152"</f>
        <v>508120230425083311141152</v>
      </c>
      <c r="C366" s="6" t="s">
        <v>5</v>
      </c>
      <c r="D366" s="6" t="str">
        <f>"胡瑞林"</f>
        <v>胡瑞林</v>
      </c>
    </row>
    <row r="367" spans="1:4" ht="30" customHeight="1">
      <c r="A367" s="6">
        <v>365</v>
      </c>
      <c r="B367" s="6" t="str">
        <f>"508120230425083440141154"</f>
        <v>508120230425083440141154</v>
      </c>
      <c r="C367" s="6" t="s">
        <v>5</v>
      </c>
      <c r="D367" s="6" t="str">
        <f>"张跃"</f>
        <v>张跃</v>
      </c>
    </row>
    <row r="368" spans="1:4" ht="30" customHeight="1">
      <c r="A368" s="6">
        <v>366</v>
      </c>
      <c r="B368" s="6" t="str">
        <f>"508120230425094052141187"</f>
        <v>508120230425094052141187</v>
      </c>
      <c r="C368" s="6" t="s">
        <v>5</v>
      </c>
      <c r="D368" s="6" t="str">
        <f>"罗靖皓"</f>
        <v>罗靖皓</v>
      </c>
    </row>
    <row r="369" spans="1:4" ht="30" customHeight="1">
      <c r="A369" s="6">
        <v>367</v>
      </c>
      <c r="B369" s="6" t="str">
        <f>"508120230424153117140780"</f>
        <v>508120230424153117140780</v>
      </c>
      <c r="C369" s="6" t="s">
        <v>5</v>
      </c>
      <c r="D369" s="6" t="str">
        <f>"姚婷婷"</f>
        <v>姚婷婷</v>
      </c>
    </row>
    <row r="370" spans="1:4" ht="30" customHeight="1">
      <c r="A370" s="6">
        <v>368</v>
      </c>
      <c r="B370" s="6" t="str">
        <f>"508120230424152253140773"</f>
        <v>508120230424152253140773</v>
      </c>
      <c r="C370" s="6" t="s">
        <v>5</v>
      </c>
      <c r="D370" s="6" t="str">
        <f>"陈耀彬"</f>
        <v>陈耀彬</v>
      </c>
    </row>
    <row r="371" spans="1:4" ht="30" customHeight="1">
      <c r="A371" s="6">
        <v>369</v>
      </c>
      <c r="B371" s="6" t="str">
        <f>"508120230425095955141199"</f>
        <v>508120230425095955141199</v>
      </c>
      <c r="C371" s="6" t="s">
        <v>5</v>
      </c>
      <c r="D371" s="6" t="str">
        <f>"李昊喆"</f>
        <v>李昊喆</v>
      </c>
    </row>
    <row r="372" spans="1:4" ht="30" customHeight="1">
      <c r="A372" s="6">
        <v>370</v>
      </c>
      <c r="B372" s="6" t="str">
        <f>"508120230425094308141188"</f>
        <v>508120230425094308141188</v>
      </c>
      <c r="C372" s="6" t="s">
        <v>5</v>
      </c>
      <c r="D372" s="6" t="str">
        <f>"曾其赀"</f>
        <v>曾其赀</v>
      </c>
    </row>
    <row r="373" spans="1:4" ht="30" customHeight="1">
      <c r="A373" s="6">
        <v>371</v>
      </c>
      <c r="B373" s="6" t="str">
        <f>"508120230424181346140910"</f>
        <v>508120230424181346140910</v>
      </c>
      <c r="C373" s="6" t="s">
        <v>5</v>
      </c>
      <c r="D373" s="6" t="str">
        <f>"谢桐欢"</f>
        <v>谢桐欢</v>
      </c>
    </row>
    <row r="374" spans="1:4" ht="30" customHeight="1">
      <c r="A374" s="6">
        <v>372</v>
      </c>
      <c r="B374" s="6" t="str">
        <f>"508120230425090738141171"</f>
        <v>508120230425090738141171</v>
      </c>
      <c r="C374" s="6" t="s">
        <v>5</v>
      </c>
      <c r="D374" s="6" t="str">
        <f>"梁文锐"</f>
        <v>梁文锐</v>
      </c>
    </row>
    <row r="375" spans="1:4" ht="30" customHeight="1">
      <c r="A375" s="6">
        <v>373</v>
      </c>
      <c r="B375" s="6" t="str">
        <f>"508120230425090723141170"</f>
        <v>508120230425090723141170</v>
      </c>
      <c r="C375" s="6" t="s">
        <v>5</v>
      </c>
      <c r="D375" s="6" t="str">
        <f>"邬怡星"</f>
        <v>邬怡星</v>
      </c>
    </row>
    <row r="376" spans="1:4" ht="30" customHeight="1">
      <c r="A376" s="6">
        <v>374</v>
      </c>
      <c r="B376" s="6" t="str">
        <f>"508120230425111024141259"</f>
        <v>508120230425111024141259</v>
      </c>
      <c r="C376" s="6" t="s">
        <v>5</v>
      </c>
      <c r="D376" s="6" t="str">
        <f>"王浩"</f>
        <v>王浩</v>
      </c>
    </row>
    <row r="377" spans="1:4" ht="30" customHeight="1">
      <c r="A377" s="6">
        <v>375</v>
      </c>
      <c r="B377" s="6" t="str">
        <f>"508120230421125445138590"</f>
        <v>508120230421125445138590</v>
      </c>
      <c r="C377" s="6" t="s">
        <v>5</v>
      </c>
      <c r="D377" s="6" t="str">
        <f>"林帅玮"</f>
        <v>林帅玮</v>
      </c>
    </row>
    <row r="378" spans="1:4" ht="30" customHeight="1">
      <c r="A378" s="6">
        <v>376</v>
      </c>
      <c r="B378" s="6" t="str">
        <f>"508120230424172829140880"</f>
        <v>508120230424172829140880</v>
      </c>
      <c r="C378" s="6" t="s">
        <v>5</v>
      </c>
      <c r="D378" s="6" t="str">
        <f>"陈建宇"</f>
        <v>陈建宇</v>
      </c>
    </row>
    <row r="379" spans="1:4" ht="30" customHeight="1">
      <c r="A379" s="6">
        <v>377</v>
      </c>
      <c r="B379" s="6" t="str">
        <f>"508120230422104143139228"</f>
        <v>508120230422104143139228</v>
      </c>
      <c r="C379" s="6" t="s">
        <v>5</v>
      </c>
      <c r="D379" s="6" t="str">
        <f>"王珩宇"</f>
        <v>王珩宇</v>
      </c>
    </row>
    <row r="380" spans="1:4" ht="30" customHeight="1">
      <c r="A380" s="6">
        <v>378</v>
      </c>
      <c r="B380" s="6" t="str">
        <f>"508120230425111326141263"</f>
        <v>508120230425111326141263</v>
      </c>
      <c r="C380" s="6" t="s">
        <v>5</v>
      </c>
      <c r="D380" s="6" t="str">
        <f>"黎瑞姹"</f>
        <v>黎瑞姹</v>
      </c>
    </row>
    <row r="381" spans="1:4" ht="30" customHeight="1">
      <c r="A381" s="6">
        <v>379</v>
      </c>
      <c r="B381" s="6" t="str">
        <f>"508120230425120327141302"</f>
        <v>508120230425120327141302</v>
      </c>
      <c r="C381" s="6" t="s">
        <v>5</v>
      </c>
      <c r="D381" s="6" t="str">
        <f>"苏致刚"</f>
        <v>苏致刚</v>
      </c>
    </row>
    <row r="382" spans="1:4" ht="30" customHeight="1">
      <c r="A382" s="6">
        <v>380</v>
      </c>
      <c r="B382" s="6" t="str">
        <f>"508120230425120726141304"</f>
        <v>508120230425120726141304</v>
      </c>
      <c r="C382" s="6" t="s">
        <v>5</v>
      </c>
      <c r="D382" s="6" t="str">
        <f>"王立科"</f>
        <v>王立科</v>
      </c>
    </row>
    <row r="383" spans="1:4" ht="30" customHeight="1">
      <c r="A383" s="6">
        <v>381</v>
      </c>
      <c r="B383" s="6" t="str">
        <f>"508120230423224908140389"</f>
        <v>508120230423224908140389</v>
      </c>
      <c r="C383" s="6" t="s">
        <v>5</v>
      </c>
      <c r="D383" s="6" t="str">
        <f>"谢美娟"</f>
        <v>谢美娟</v>
      </c>
    </row>
    <row r="384" spans="1:4" ht="30" customHeight="1">
      <c r="A384" s="6">
        <v>382</v>
      </c>
      <c r="B384" s="6" t="str">
        <f>"508120230425104855141239"</f>
        <v>508120230425104855141239</v>
      </c>
      <c r="C384" s="6" t="s">
        <v>5</v>
      </c>
      <c r="D384" s="6" t="str">
        <f>"邱丽绮"</f>
        <v>邱丽绮</v>
      </c>
    </row>
    <row r="385" spans="1:4" ht="30" customHeight="1">
      <c r="A385" s="6">
        <v>383</v>
      </c>
      <c r="B385" s="6" t="str">
        <f>"508120230425124516141318"</f>
        <v>508120230425124516141318</v>
      </c>
      <c r="C385" s="6" t="s">
        <v>5</v>
      </c>
      <c r="D385" s="6" t="str">
        <f>"薛雯文"</f>
        <v>薛雯文</v>
      </c>
    </row>
    <row r="386" spans="1:4" ht="30" customHeight="1">
      <c r="A386" s="6">
        <v>384</v>
      </c>
      <c r="B386" s="6" t="str">
        <f>"508120230425122218141309"</f>
        <v>508120230425122218141309</v>
      </c>
      <c r="C386" s="6" t="s">
        <v>5</v>
      </c>
      <c r="D386" s="6" t="str">
        <f>"谢彬彬"</f>
        <v>谢彬彬</v>
      </c>
    </row>
    <row r="387" spans="1:4" ht="30" customHeight="1">
      <c r="A387" s="6">
        <v>385</v>
      </c>
      <c r="B387" s="6" t="str">
        <f>"508120230425131257141324"</f>
        <v>508120230425131257141324</v>
      </c>
      <c r="C387" s="6" t="s">
        <v>5</v>
      </c>
      <c r="D387" s="6" t="str">
        <f>"张俊杰"</f>
        <v>张俊杰</v>
      </c>
    </row>
    <row r="388" spans="1:4" ht="30" customHeight="1">
      <c r="A388" s="6">
        <v>386</v>
      </c>
      <c r="B388" s="6" t="str">
        <f>"508120230425112434141272"</f>
        <v>508120230425112434141272</v>
      </c>
      <c r="C388" s="6" t="s">
        <v>5</v>
      </c>
      <c r="D388" s="6" t="str">
        <f>"郭明"</f>
        <v>郭明</v>
      </c>
    </row>
    <row r="389" spans="1:4" ht="30" customHeight="1">
      <c r="A389" s="6">
        <v>387</v>
      </c>
      <c r="B389" s="6" t="str">
        <f>"508120230425142854141342"</f>
        <v>508120230425142854141342</v>
      </c>
      <c r="C389" s="6" t="s">
        <v>5</v>
      </c>
      <c r="D389" s="6" t="str">
        <f>"王道洲"</f>
        <v>王道洲</v>
      </c>
    </row>
    <row r="390" spans="1:4" ht="30" customHeight="1">
      <c r="A390" s="6">
        <v>388</v>
      </c>
      <c r="B390" s="6" t="str">
        <f>"508120230422142633139358"</f>
        <v>508120230422142633139358</v>
      </c>
      <c r="C390" s="6" t="s">
        <v>5</v>
      </c>
      <c r="D390" s="6" t="str">
        <f>"朱卓誉"</f>
        <v>朱卓誉</v>
      </c>
    </row>
    <row r="391" spans="1:4" ht="30" customHeight="1">
      <c r="A391" s="6">
        <v>389</v>
      </c>
      <c r="B391" s="6" t="str">
        <f>"508120230424083833140464"</f>
        <v>508120230424083833140464</v>
      </c>
      <c r="C391" s="6" t="s">
        <v>5</v>
      </c>
      <c r="D391" s="6" t="str">
        <f>"李连妹"</f>
        <v>李连妹</v>
      </c>
    </row>
    <row r="392" spans="1:4" ht="30" customHeight="1">
      <c r="A392" s="6">
        <v>390</v>
      </c>
      <c r="B392" s="6" t="str">
        <f>"508120230422001024139142"</f>
        <v>508120230422001024139142</v>
      </c>
      <c r="C392" s="6" t="s">
        <v>5</v>
      </c>
      <c r="D392" s="6" t="str">
        <f>"李万欢"</f>
        <v>李万欢</v>
      </c>
    </row>
    <row r="393" spans="1:4" ht="30" customHeight="1">
      <c r="A393" s="6">
        <v>391</v>
      </c>
      <c r="B393" s="6" t="str">
        <f>"508120230425151531141373"</f>
        <v>508120230425151531141373</v>
      </c>
      <c r="C393" s="6" t="s">
        <v>5</v>
      </c>
      <c r="D393" s="6" t="str">
        <f>"张芷祯"</f>
        <v>张芷祯</v>
      </c>
    </row>
    <row r="394" spans="1:4" ht="30" customHeight="1">
      <c r="A394" s="6">
        <v>392</v>
      </c>
      <c r="B394" s="6" t="str">
        <f>"508120230423100608139804"</f>
        <v>508120230423100608139804</v>
      </c>
      <c r="C394" s="6" t="s">
        <v>5</v>
      </c>
      <c r="D394" s="6" t="str">
        <f>"宋国梁"</f>
        <v>宋国梁</v>
      </c>
    </row>
    <row r="395" spans="1:4" ht="30" customHeight="1">
      <c r="A395" s="6">
        <v>393</v>
      </c>
      <c r="B395" s="6" t="str">
        <f>"508120230425151621141375"</f>
        <v>508120230425151621141375</v>
      </c>
      <c r="C395" s="6" t="s">
        <v>5</v>
      </c>
      <c r="D395" s="6" t="str">
        <f>"唐钰钦"</f>
        <v>唐钰钦</v>
      </c>
    </row>
    <row r="396" spans="1:4" ht="30" customHeight="1">
      <c r="A396" s="6">
        <v>394</v>
      </c>
      <c r="B396" s="6" t="str">
        <f>"508120230425095354141194"</f>
        <v>508120230425095354141194</v>
      </c>
      <c r="C396" s="6" t="s">
        <v>5</v>
      </c>
      <c r="D396" s="6" t="str">
        <f>"韦俊烨"</f>
        <v>韦俊烨</v>
      </c>
    </row>
    <row r="397" spans="1:4" ht="30" customHeight="1">
      <c r="A397" s="6">
        <v>395</v>
      </c>
      <c r="B397" s="6" t="str">
        <f>"508120230425155727141406"</f>
        <v>508120230425155727141406</v>
      </c>
      <c r="C397" s="6" t="s">
        <v>5</v>
      </c>
      <c r="D397" s="6" t="str">
        <f>"吴英杰"</f>
        <v>吴英杰</v>
      </c>
    </row>
    <row r="398" spans="1:4" ht="30" customHeight="1">
      <c r="A398" s="6">
        <v>396</v>
      </c>
      <c r="B398" s="6" t="str">
        <f>"508120230425151751141378"</f>
        <v>508120230425151751141378</v>
      </c>
      <c r="C398" s="6" t="s">
        <v>5</v>
      </c>
      <c r="D398" s="6" t="str">
        <f>"郑渊武"</f>
        <v>郑渊武</v>
      </c>
    </row>
    <row r="399" spans="1:4" ht="30" customHeight="1">
      <c r="A399" s="6">
        <v>397</v>
      </c>
      <c r="B399" s="6" t="str">
        <f>"508120230424180956140907"</f>
        <v>508120230424180956140907</v>
      </c>
      <c r="C399" s="6" t="s">
        <v>5</v>
      </c>
      <c r="D399" s="6" t="str">
        <f>"黎冬冬"</f>
        <v>黎冬冬</v>
      </c>
    </row>
    <row r="400" spans="1:4" ht="30" customHeight="1">
      <c r="A400" s="6">
        <v>398</v>
      </c>
      <c r="B400" s="6" t="str">
        <f>"508120230425165532141454"</f>
        <v>508120230425165532141454</v>
      </c>
      <c r="C400" s="6" t="s">
        <v>5</v>
      </c>
      <c r="D400" s="6" t="str">
        <f>"何亚庆"</f>
        <v>何亚庆</v>
      </c>
    </row>
    <row r="401" spans="1:4" ht="30" customHeight="1">
      <c r="A401" s="6">
        <v>399</v>
      </c>
      <c r="B401" s="6" t="str">
        <f>"508120230424090806140490"</f>
        <v>508120230424090806140490</v>
      </c>
      <c r="C401" s="6" t="s">
        <v>5</v>
      </c>
      <c r="D401" s="6" t="str">
        <f>"杨启辉"</f>
        <v>杨启辉</v>
      </c>
    </row>
    <row r="402" spans="1:4" ht="30" customHeight="1">
      <c r="A402" s="6">
        <v>400</v>
      </c>
      <c r="B402" s="6" t="str">
        <f>"508120230425101125141204"</f>
        <v>508120230425101125141204</v>
      </c>
      <c r="C402" s="6" t="s">
        <v>5</v>
      </c>
      <c r="D402" s="6" t="str">
        <f>"李日君"</f>
        <v>李日君</v>
      </c>
    </row>
    <row r="403" spans="1:4" ht="30" customHeight="1">
      <c r="A403" s="6">
        <v>401</v>
      </c>
      <c r="B403" s="6" t="str">
        <f>"508120230424223422141080"</f>
        <v>508120230424223422141080</v>
      </c>
      <c r="C403" s="6" t="s">
        <v>5</v>
      </c>
      <c r="D403" s="6" t="str">
        <f>"陀海皇"</f>
        <v>陀海皇</v>
      </c>
    </row>
    <row r="404" spans="1:4" ht="30" customHeight="1">
      <c r="A404" s="6">
        <v>402</v>
      </c>
      <c r="B404" s="6" t="str">
        <f>"508120230423234134140420"</f>
        <v>508120230423234134140420</v>
      </c>
      <c r="C404" s="6" t="s">
        <v>5</v>
      </c>
      <c r="D404" s="6" t="str">
        <f>"张辉宇"</f>
        <v>张辉宇</v>
      </c>
    </row>
    <row r="405" spans="1:4" ht="30" customHeight="1">
      <c r="A405" s="6">
        <v>403</v>
      </c>
      <c r="B405" s="6" t="str">
        <f>"508120230425171714141465"</f>
        <v>508120230425171714141465</v>
      </c>
      <c r="C405" s="6" t="s">
        <v>5</v>
      </c>
      <c r="D405" s="6" t="str">
        <f>"陈春敏"</f>
        <v>陈春敏</v>
      </c>
    </row>
    <row r="406" spans="1:4" ht="30" customHeight="1">
      <c r="A406" s="6">
        <v>404</v>
      </c>
      <c r="B406" s="6" t="str">
        <f>"508120230425173749141478"</f>
        <v>508120230425173749141478</v>
      </c>
      <c r="C406" s="6" t="s">
        <v>5</v>
      </c>
      <c r="D406" s="6" t="str">
        <f>"郭义帅"</f>
        <v>郭义帅</v>
      </c>
    </row>
    <row r="407" spans="1:4" ht="30" customHeight="1">
      <c r="A407" s="6">
        <v>405</v>
      </c>
      <c r="B407" s="6" t="str">
        <f>"508120230424160409140808"</f>
        <v>508120230424160409140808</v>
      </c>
      <c r="C407" s="6" t="s">
        <v>5</v>
      </c>
      <c r="D407" s="6" t="str">
        <f>"符思哲"</f>
        <v>符思哲</v>
      </c>
    </row>
    <row r="408" spans="1:4" ht="30" customHeight="1">
      <c r="A408" s="6">
        <v>406</v>
      </c>
      <c r="B408" s="6" t="str">
        <f>"508120230425175304141486"</f>
        <v>508120230425175304141486</v>
      </c>
      <c r="C408" s="6" t="s">
        <v>5</v>
      </c>
      <c r="D408" s="6" t="str">
        <f>"曾燕霜"</f>
        <v>曾燕霜</v>
      </c>
    </row>
    <row r="409" spans="1:4" ht="30" customHeight="1">
      <c r="A409" s="6">
        <v>407</v>
      </c>
      <c r="B409" s="6" t="str">
        <f>"508120230425170734141459"</f>
        <v>508120230425170734141459</v>
      </c>
      <c r="C409" s="6" t="s">
        <v>5</v>
      </c>
      <c r="D409" s="6" t="str">
        <f>"史超凡"</f>
        <v>史超凡</v>
      </c>
    </row>
    <row r="410" spans="1:4" ht="30" customHeight="1">
      <c r="A410" s="6">
        <v>408</v>
      </c>
      <c r="B410" s="6" t="str">
        <f>"508120230425151032141367"</f>
        <v>508120230425151032141367</v>
      </c>
      <c r="C410" s="6" t="s">
        <v>5</v>
      </c>
      <c r="D410" s="6" t="str">
        <f>"李正杏"</f>
        <v>李正杏</v>
      </c>
    </row>
    <row r="411" spans="1:4" ht="30" customHeight="1">
      <c r="A411" s="6">
        <v>409</v>
      </c>
      <c r="B411" s="6" t="str">
        <f>"508120230421202701139048"</f>
        <v>508120230421202701139048</v>
      </c>
      <c r="C411" s="6" t="s">
        <v>5</v>
      </c>
      <c r="D411" s="6" t="str">
        <f>"陈君丹"</f>
        <v>陈君丹</v>
      </c>
    </row>
    <row r="412" spans="1:4" ht="30" customHeight="1">
      <c r="A412" s="6">
        <v>410</v>
      </c>
      <c r="B412" s="6" t="str">
        <f>"508120230425190156141520"</f>
        <v>508120230425190156141520</v>
      </c>
      <c r="C412" s="6" t="s">
        <v>5</v>
      </c>
      <c r="D412" s="6" t="str">
        <f>"王俊军"</f>
        <v>王俊军</v>
      </c>
    </row>
    <row r="413" spans="1:4" ht="30" customHeight="1">
      <c r="A413" s="6">
        <v>411</v>
      </c>
      <c r="B413" s="6" t="str">
        <f>"508120230425185615141518"</f>
        <v>508120230425185615141518</v>
      </c>
      <c r="C413" s="6" t="s">
        <v>5</v>
      </c>
      <c r="D413" s="6" t="str">
        <f>"胡渝汶"</f>
        <v>胡渝汶</v>
      </c>
    </row>
    <row r="414" spans="1:4" ht="30" customHeight="1">
      <c r="A414" s="6">
        <v>412</v>
      </c>
      <c r="B414" s="6" t="str">
        <f>"508120230425162701141430"</f>
        <v>508120230425162701141430</v>
      </c>
      <c r="C414" s="6" t="s">
        <v>5</v>
      </c>
      <c r="D414" s="6" t="str">
        <f>"钟克诚"</f>
        <v>钟克诚</v>
      </c>
    </row>
    <row r="415" spans="1:4" ht="30" customHeight="1">
      <c r="A415" s="6">
        <v>413</v>
      </c>
      <c r="B415" s="6" t="str">
        <f>"508120230425190625141521"</f>
        <v>508120230425190625141521</v>
      </c>
      <c r="C415" s="6" t="s">
        <v>5</v>
      </c>
      <c r="D415" s="6" t="str">
        <f>"符芳望"</f>
        <v>符芳望</v>
      </c>
    </row>
    <row r="416" spans="1:4" ht="30" customHeight="1">
      <c r="A416" s="6">
        <v>414</v>
      </c>
      <c r="B416" s="6" t="str">
        <f>"508120230425004543141131"</f>
        <v>508120230425004543141131</v>
      </c>
      <c r="C416" s="6" t="s">
        <v>5</v>
      </c>
      <c r="D416" s="6" t="str">
        <f>"王鹤锦"</f>
        <v>王鹤锦</v>
      </c>
    </row>
    <row r="417" spans="1:4" ht="30" customHeight="1">
      <c r="A417" s="6">
        <v>415</v>
      </c>
      <c r="B417" s="6" t="str">
        <f>"508120230425195649141539"</f>
        <v>508120230425195649141539</v>
      </c>
      <c r="C417" s="6" t="s">
        <v>5</v>
      </c>
      <c r="D417" s="6" t="str">
        <f>"孙令众"</f>
        <v>孙令众</v>
      </c>
    </row>
    <row r="418" spans="1:4" ht="30" customHeight="1">
      <c r="A418" s="6">
        <v>416</v>
      </c>
      <c r="B418" s="6" t="str">
        <f>"508120230425200408141542"</f>
        <v>508120230425200408141542</v>
      </c>
      <c r="C418" s="6" t="s">
        <v>5</v>
      </c>
      <c r="D418" s="6" t="str">
        <f>"朱健"</f>
        <v>朱健</v>
      </c>
    </row>
    <row r="419" spans="1:4" ht="30" customHeight="1">
      <c r="A419" s="6">
        <v>417</v>
      </c>
      <c r="B419" s="6" t="str">
        <f>"508120230425201129141546"</f>
        <v>508120230425201129141546</v>
      </c>
      <c r="C419" s="6" t="s">
        <v>5</v>
      </c>
      <c r="D419" s="6" t="str">
        <f>"侯金来"</f>
        <v>侯金来</v>
      </c>
    </row>
    <row r="420" spans="1:4" ht="30" customHeight="1">
      <c r="A420" s="6">
        <v>418</v>
      </c>
      <c r="B420" s="6" t="str">
        <f>"508120230422115054139274"</f>
        <v>508120230422115054139274</v>
      </c>
      <c r="C420" s="6" t="s">
        <v>5</v>
      </c>
      <c r="D420" s="6" t="str">
        <f>"唐雄"</f>
        <v>唐雄</v>
      </c>
    </row>
    <row r="421" spans="1:4" ht="30" customHeight="1">
      <c r="A421" s="6">
        <v>419</v>
      </c>
      <c r="B421" s="6" t="str">
        <f>"508120230425202930141552"</f>
        <v>508120230425202930141552</v>
      </c>
      <c r="C421" s="6" t="s">
        <v>5</v>
      </c>
      <c r="D421" s="6" t="str">
        <f>"曾德峰"</f>
        <v>曾德峰</v>
      </c>
    </row>
    <row r="422" spans="1:4" ht="30" customHeight="1">
      <c r="A422" s="6">
        <v>420</v>
      </c>
      <c r="B422" s="6" t="str">
        <f>"508120230422202716139546"</f>
        <v>508120230422202716139546</v>
      </c>
      <c r="C422" s="6" t="s">
        <v>5</v>
      </c>
      <c r="D422" s="6" t="str">
        <f>"梁林"</f>
        <v>梁林</v>
      </c>
    </row>
    <row r="423" spans="1:4" ht="30" customHeight="1">
      <c r="A423" s="6">
        <v>421</v>
      </c>
      <c r="B423" s="6" t="str">
        <f>"508120230425115504141297"</f>
        <v>508120230425115504141297</v>
      </c>
      <c r="C423" s="6" t="s">
        <v>5</v>
      </c>
      <c r="D423" s="6" t="str">
        <f>"吴秉桓"</f>
        <v>吴秉桓</v>
      </c>
    </row>
    <row r="424" spans="1:4" ht="30" customHeight="1">
      <c r="A424" s="6">
        <v>422</v>
      </c>
      <c r="B424" s="6" t="str">
        <f>"508120230425170746141460"</f>
        <v>508120230425170746141460</v>
      </c>
      <c r="C424" s="6" t="s">
        <v>5</v>
      </c>
      <c r="D424" s="6" t="str">
        <f>"陆明月"</f>
        <v>陆明月</v>
      </c>
    </row>
    <row r="425" spans="1:4" ht="30" customHeight="1">
      <c r="A425" s="6">
        <v>423</v>
      </c>
      <c r="B425" s="6" t="str">
        <f>"508120230425205849141564"</f>
        <v>508120230425205849141564</v>
      </c>
      <c r="C425" s="6" t="s">
        <v>5</v>
      </c>
      <c r="D425" s="6" t="str">
        <f>"杨茂盛"</f>
        <v>杨茂盛</v>
      </c>
    </row>
    <row r="426" spans="1:4" ht="30" customHeight="1">
      <c r="A426" s="6">
        <v>424</v>
      </c>
      <c r="B426" s="6" t="str">
        <f>"508120230425141102141337"</f>
        <v>508120230425141102141337</v>
      </c>
      <c r="C426" s="6" t="s">
        <v>5</v>
      </c>
      <c r="D426" s="6" t="str">
        <f>"张梓豪"</f>
        <v>张梓豪</v>
      </c>
    </row>
    <row r="427" spans="1:4" ht="30" customHeight="1">
      <c r="A427" s="6">
        <v>425</v>
      </c>
      <c r="B427" s="6" t="str">
        <f>"508120230425194645141534"</f>
        <v>508120230425194645141534</v>
      </c>
      <c r="C427" s="6" t="s">
        <v>5</v>
      </c>
      <c r="D427" s="6" t="str">
        <f>"吉受华"</f>
        <v>吉受华</v>
      </c>
    </row>
    <row r="428" spans="1:4" ht="30" customHeight="1">
      <c r="A428" s="6">
        <v>426</v>
      </c>
      <c r="B428" s="6" t="str">
        <f>"508120230425203958141555"</f>
        <v>508120230425203958141555</v>
      </c>
      <c r="C428" s="6" t="s">
        <v>5</v>
      </c>
      <c r="D428" s="6" t="str">
        <f>"王其科"</f>
        <v>王其科</v>
      </c>
    </row>
    <row r="429" spans="1:4" ht="30" customHeight="1">
      <c r="A429" s="6">
        <v>427</v>
      </c>
      <c r="B429" s="6" t="str">
        <f>"508120230424114133140657"</f>
        <v>508120230424114133140657</v>
      </c>
      <c r="C429" s="6" t="s">
        <v>5</v>
      </c>
      <c r="D429" s="6" t="str">
        <f>"罗翔"</f>
        <v>罗翔</v>
      </c>
    </row>
    <row r="430" spans="1:4" ht="30" customHeight="1">
      <c r="A430" s="6">
        <v>428</v>
      </c>
      <c r="B430" s="6" t="str">
        <f>"508120230425210043141568"</f>
        <v>508120230425210043141568</v>
      </c>
      <c r="C430" s="6" t="s">
        <v>5</v>
      </c>
      <c r="D430" s="6" t="str">
        <f>"陈变"</f>
        <v>陈变</v>
      </c>
    </row>
    <row r="431" spans="1:4" ht="30" customHeight="1">
      <c r="A431" s="6">
        <v>429</v>
      </c>
      <c r="B431" s="6" t="str">
        <f>"508120230425204356141558"</f>
        <v>508120230425204356141558</v>
      </c>
      <c r="C431" s="6" t="s">
        <v>5</v>
      </c>
      <c r="D431" s="6" t="str">
        <f>"钟兴"</f>
        <v>钟兴</v>
      </c>
    </row>
    <row r="432" spans="1:4" ht="30" customHeight="1">
      <c r="A432" s="6">
        <v>430</v>
      </c>
      <c r="B432" s="6" t="str">
        <f>"508120230425213049141593"</f>
        <v>508120230425213049141593</v>
      </c>
      <c r="C432" s="6" t="s">
        <v>5</v>
      </c>
      <c r="D432" s="6" t="str">
        <f>"甘祖栋"</f>
        <v>甘祖栋</v>
      </c>
    </row>
    <row r="433" spans="1:4" ht="30" customHeight="1">
      <c r="A433" s="6">
        <v>431</v>
      </c>
      <c r="B433" s="6" t="str">
        <f>"508120230424230535141102"</f>
        <v>508120230424230535141102</v>
      </c>
      <c r="C433" s="6" t="s">
        <v>5</v>
      </c>
      <c r="D433" s="6" t="str">
        <f>"何子文"</f>
        <v>何子文</v>
      </c>
    </row>
    <row r="434" spans="1:4" ht="30" customHeight="1">
      <c r="A434" s="6">
        <v>432</v>
      </c>
      <c r="B434" s="6" t="str">
        <f>"508120230424174659140893"</f>
        <v>508120230424174659140893</v>
      </c>
      <c r="C434" s="6" t="s">
        <v>5</v>
      </c>
      <c r="D434" s="6" t="str">
        <f>"孙紫阳"</f>
        <v>孙紫阳</v>
      </c>
    </row>
    <row r="435" spans="1:4" ht="30" customHeight="1">
      <c r="A435" s="6">
        <v>433</v>
      </c>
      <c r="B435" s="6" t="str">
        <f>"508120230425154542141396"</f>
        <v>508120230425154542141396</v>
      </c>
      <c r="C435" s="6" t="s">
        <v>5</v>
      </c>
      <c r="D435" s="6" t="str">
        <f>"王立端"</f>
        <v>王立端</v>
      </c>
    </row>
    <row r="436" spans="1:4" ht="30" customHeight="1">
      <c r="A436" s="6">
        <v>434</v>
      </c>
      <c r="B436" s="6" t="str">
        <f>"508120230425222657141635"</f>
        <v>508120230425222657141635</v>
      </c>
      <c r="C436" s="6" t="s">
        <v>5</v>
      </c>
      <c r="D436" s="6" t="str">
        <f>"户文静"</f>
        <v>户文静</v>
      </c>
    </row>
    <row r="437" spans="1:4" ht="30" customHeight="1">
      <c r="A437" s="6">
        <v>435</v>
      </c>
      <c r="B437" s="6" t="str">
        <f>"508120230424223952141086"</f>
        <v>508120230424223952141086</v>
      </c>
      <c r="C437" s="6" t="s">
        <v>5</v>
      </c>
      <c r="D437" s="6" t="str">
        <f>"王康椿"</f>
        <v>王康椿</v>
      </c>
    </row>
    <row r="438" spans="1:4" ht="30" customHeight="1">
      <c r="A438" s="6">
        <v>436</v>
      </c>
      <c r="B438" s="6" t="str">
        <f>"508120230425225900141651"</f>
        <v>508120230425225900141651</v>
      </c>
      <c r="C438" s="6" t="s">
        <v>5</v>
      </c>
      <c r="D438" s="6" t="str">
        <f>"李翼定"</f>
        <v>李翼定</v>
      </c>
    </row>
    <row r="439" spans="1:4" ht="30" customHeight="1">
      <c r="A439" s="6">
        <v>437</v>
      </c>
      <c r="B439" s="6" t="str">
        <f>"508120230425232725141662"</f>
        <v>508120230425232725141662</v>
      </c>
      <c r="C439" s="6" t="s">
        <v>5</v>
      </c>
      <c r="D439" s="6" t="str">
        <f>"周仁琦"</f>
        <v>周仁琦</v>
      </c>
    </row>
    <row r="440" spans="1:4" ht="30" customHeight="1">
      <c r="A440" s="6">
        <v>438</v>
      </c>
      <c r="B440" s="6" t="str">
        <f>"508120230426000958141678"</f>
        <v>508120230426000958141678</v>
      </c>
      <c r="C440" s="6" t="s">
        <v>5</v>
      </c>
      <c r="D440" s="6" t="str">
        <f>"林冲"</f>
        <v>林冲</v>
      </c>
    </row>
    <row r="441" spans="1:4" ht="30" customHeight="1">
      <c r="A441" s="6">
        <v>439</v>
      </c>
      <c r="B441" s="6" t="str">
        <f>"508120230425011035141133"</f>
        <v>508120230425011035141133</v>
      </c>
      <c r="C441" s="6" t="s">
        <v>5</v>
      </c>
      <c r="D441" s="6" t="str">
        <f>"黄逸桦"</f>
        <v>黄逸桦</v>
      </c>
    </row>
    <row r="442" spans="1:4" ht="30" customHeight="1">
      <c r="A442" s="6">
        <v>440</v>
      </c>
      <c r="B442" s="6" t="str">
        <f>"508120230424163351140839"</f>
        <v>508120230424163351140839</v>
      </c>
      <c r="C442" s="6" t="s">
        <v>5</v>
      </c>
      <c r="D442" s="6" t="str">
        <f>"王绥颂"</f>
        <v>王绥颂</v>
      </c>
    </row>
    <row r="443" spans="1:4" ht="30" customHeight="1">
      <c r="A443" s="6">
        <v>441</v>
      </c>
      <c r="B443" s="6" t="str">
        <f>"508120230426003915141685"</f>
        <v>508120230426003915141685</v>
      </c>
      <c r="C443" s="6" t="s">
        <v>5</v>
      </c>
      <c r="D443" s="6" t="str">
        <f>"莫儒慧"</f>
        <v>莫儒慧</v>
      </c>
    </row>
    <row r="444" spans="1:4" ht="30" customHeight="1">
      <c r="A444" s="6">
        <v>442</v>
      </c>
      <c r="B444" s="6" t="str">
        <f>"508120230426005716141690"</f>
        <v>508120230426005716141690</v>
      </c>
      <c r="C444" s="6" t="s">
        <v>5</v>
      </c>
      <c r="D444" s="6" t="str">
        <f>"云鹏"</f>
        <v>云鹏</v>
      </c>
    </row>
    <row r="445" spans="1:4" ht="30" customHeight="1">
      <c r="A445" s="6">
        <v>443</v>
      </c>
      <c r="B445" s="6" t="str">
        <f>"508120230426055210141698"</f>
        <v>508120230426055210141698</v>
      </c>
      <c r="C445" s="6" t="s">
        <v>5</v>
      </c>
      <c r="D445" s="6" t="str">
        <f>"陈乔重"</f>
        <v>陈乔重</v>
      </c>
    </row>
    <row r="446" spans="1:4" ht="30" customHeight="1">
      <c r="A446" s="6">
        <v>444</v>
      </c>
      <c r="B446" s="6" t="str">
        <f>"508120230426081818141706"</f>
        <v>508120230426081818141706</v>
      </c>
      <c r="C446" s="6" t="s">
        <v>5</v>
      </c>
      <c r="D446" s="6" t="str">
        <f>"冯颖"</f>
        <v>冯颖</v>
      </c>
    </row>
    <row r="447" spans="1:4" ht="30" customHeight="1">
      <c r="A447" s="6">
        <v>445</v>
      </c>
      <c r="B447" s="6" t="str">
        <f>"508120230425204912141559"</f>
        <v>508120230425204912141559</v>
      </c>
      <c r="C447" s="6" t="s">
        <v>5</v>
      </c>
      <c r="D447" s="6" t="str">
        <f>"李捷"</f>
        <v>李捷</v>
      </c>
    </row>
    <row r="448" spans="1:4" ht="30" customHeight="1">
      <c r="A448" s="6">
        <v>446</v>
      </c>
      <c r="B448" s="6" t="str">
        <f>"508120230424193027140949"</f>
        <v>508120230424193027140949</v>
      </c>
      <c r="C448" s="6" t="s">
        <v>5</v>
      </c>
      <c r="D448" s="6" t="str">
        <f>"崔道东"</f>
        <v>崔道东</v>
      </c>
    </row>
    <row r="449" spans="1:4" ht="30" customHeight="1">
      <c r="A449" s="6">
        <v>447</v>
      </c>
      <c r="B449" s="6" t="str">
        <f>"508120230425205910141565"</f>
        <v>508120230425205910141565</v>
      </c>
      <c r="C449" s="6" t="s">
        <v>5</v>
      </c>
      <c r="D449" s="6" t="str">
        <f>"唐闻渊"</f>
        <v>唐闻渊</v>
      </c>
    </row>
    <row r="450" spans="1:4" ht="30" customHeight="1">
      <c r="A450" s="6">
        <v>448</v>
      </c>
      <c r="B450" s="6" t="str">
        <f>"508120230421175112138945"</f>
        <v>508120230421175112138945</v>
      </c>
      <c r="C450" s="6" t="s">
        <v>5</v>
      </c>
      <c r="D450" s="6" t="str">
        <f>"陈晓贝"</f>
        <v>陈晓贝</v>
      </c>
    </row>
    <row r="451" spans="1:4" ht="30" customHeight="1">
      <c r="A451" s="6">
        <v>449</v>
      </c>
      <c r="B451" s="6" t="str">
        <f>"508120230426091238141726"</f>
        <v>508120230426091238141726</v>
      </c>
      <c r="C451" s="6" t="s">
        <v>5</v>
      </c>
      <c r="D451" s="6" t="str">
        <f>"陈翰"</f>
        <v>陈翰</v>
      </c>
    </row>
    <row r="452" spans="1:4" ht="30" customHeight="1">
      <c r="A452" s="6">
        <v>450</v>
      </c>
      <c r="B452" s="6" t="str">
        <f>"508120230426100026141752"</f>
        <v>508120230426100026141752</v>
      </c>
      <c r="C452" s="6" t="s">
        <v>5</v>
      </c>
      <c r="D452" s="6" t="str">
        <f>"陈靖昌"</f>
        <v>陈靖昌</v>
      </c>
    </row>
    <row r="453" spans="1:4" ht="30" customHeight="1">
      <c r="A453" s="6">
        <v>451</v>
      </c>
      <c r="B453" s="6" t="str">
        <f>"508120230426102945141779"</f>
        <v>508120230426102945141779</v>
      </c>
      <c r="C453" s="6" t="s">
        <v>5</v>
      </c>
      <c r="D453" s="6" t="str">
        <f>"陈美玉"</f>
        <v>陈美玉</v>
      </c>
    </row>
    <row r="454" spans="1:4" ht="30" customHeight="1">
      <c r="A454" s="6">
        <v>452</v>
      </c>
      <c r="B454" s="6" t="str">
        <f>"508120230425195530141538"</f>
        <v>508120230425195530141538</v>
      </c>
      <c r="C454" s="6" t="s">
        <v>5</v>
      </c>
      <c r="D454" s="6" t="str">
        <f>"吴东海"</f>
        <v>吴东海</v>
      </c>
    </row>
    <row r="455" spans="1:4" ht="30" customHeight="1">
      <c r="A455" s="6">
        <v>453</v>
      </c>
      <c r="B455" s="6" t="str">
        <f>"508120230426092317141733"</f>
        <v>508120230426092317141733</v>
      </c>
      <c r="C455" s="6" t="s">
        <v>5</v>
      </c>
      <c r="D455" s="6" t="str">
        <f>"汤文焘"</f>
        <v>汤文焘</v>
      </c>
    </row>
    <row r="456" spans="1:4" ht="30" customHeight="1">
      <c r="A456" s="6">
        <v>454</v>
      </c>
      <c r="B456" s="6" t="str">
        <f>"508120230423152541140042"</f>
        <v>508120230423152541140042</v>
      </c>
      <c r="C456" s="6" t="s">
        <v>5</v>
      </c>
      <c r="D456" s="6" t="str">
        <f>"冼小娜"</f>
        <v>冼小娜</v>
      </c>
    </row>
    <row r="457" spans="1:4" ht="30" customHeight="1">
      <c r="A457" s="6">
        <v>455</v>
      </c>
      <c r="B457" s="6" t="str">
        <f>"508120230425113112141280"</f>
        <v>508120230425113112141280</v>
      </c>
      <c r="C457" s="6" t="s">
        <v>5</v>
      </c>
      <c r="D457" s="6" t="str">
        <f>"王瑞尾"</f>
        <v>王瑞尾</v>
      </c>
    </row>
    <row r="458" spans="1:4" ht="30" customHeight="1">
      <c r="A458" s="6">
        <v>456</v>
      </c>
      <c r="B458" s="6" t="str">
        <f>"508120230426113742141818"</f>
        <v>508120230426113742141818</v>
      </c>
      <c r="C458" s="6" t="s">
        <v>5</v>
      </c>
      <c r="D458" s="6" t="str">
        <f>"洪武峄"</f>
        <v>洪武峄</v>
      </c>
    </row>
    <row r="459" spans="1:4" ht="30" customHeight="1">
      <c r="A459" s="6">
        <v>457</v>
      </c>
      <c r="B459" s="6" t="str">
        <f>"508120230425174212141479"</f>
        <v>508120230425174212141479</v>
      </c>
      <c r="C459" s="6" t="s">
        <v>5</v>
      </c>
      <c r="D459" s="6" t="str">
        <f>"陈长照"</f>
        <v>陈长照</v>
      </c>
    </row>
    <row r="460" spans="1:4" ht="30" customHeight="1">
      <c r="A460" s="6">
        <v>458</v>
      </c>
      <c r="B460" s="6" t="str">
        <f>"508120230425110120141250"</f>
        <v>508120230425110120141250</v>
      </c>
      <c r="C460" s="6" t="s">
        <v>5</v>
      </c>
      <c r="D460" s="6" t="str">
        <f>"谭照照"</f>
        <v>谭照照</v>
      </c>
    </row>
    <row r="461" spans="1:4" ht="30" customHeight="1">
      <c r="A461" s="6">
        <v>459</v>
      </c>
      <c r="B461" s="6" t="str">
        <f>"508120230425161940141425"</f>
        <v>508120230425161940141425</v>
      </c>
      <c r="C461" s="6" t="s">
        <v>5</v>
      </c>
      <c r="D461" s="6" t="str">
        <f>"林诗浩"</f>
        <v>林诗浩</v>
      </c>
    </row>
    <row r="462" spans="1:4" ht="30" customHeight="1">
      <c r="A462" s="6">
        <v>460</v>
      </c>
      <c r="B462" s="6" t="str">
        <f>"508120230426121421141842"</f>
        <v>508120230426121421141842</v>
      </c>
      <c r="C462" s="6" t="s">
        <v>5</v>
      </c>
      <c r="D462" s="6" t="str">
        <f>"薛旭敏"</f>
        <v>薛旭敏</v>
      </c>
    </row>
    <row r="463" spans="1:4" ht="30" customHeight="1">
      <c r="A463" s="6">
        <v>461</v>
      </c>
      <c r="B463" s="6" t="str">
        <f>"508120230424202113140984"</f>
        <v>508120230424202113140984</v>
      </c>
      <c r="C463" s="6" t="s">
        <v>5</v>
      </c>
      <c r="D463" s="6" t="str">
        <f>"莫淑妮"</f>
        <v>莫淑妮</v>
      </c>
    </row>
    <row r="464" spans="1:4" ht="30" customHeight="1">
      <c r="A464" s="6">
        <v>462</v>
      </c>
      <c r="B464" s="6" t="str">
        <f>"508120230425164925141449"</f>
        <v>508120230425164925141449</v>
      </c>
      <c r="C464" s="6" t="s">
        <v>5</v>
      </c>
      <c r="D464" s="6" t="str">
        <f>"张志博"</f>
        <v>张志博</v>
      </c>
    </row>
    <row r="465" spans="1:4" ht="30" customHeight="1">
      <c r="A465" s="6">
        <v>463</v>
      </c>
      <c r="B465" s="6" t="str">
        <f>"508120230421170557138891"</f>
        <v>508120230421170557138891</v>
      </c>
      <c r="C465" s="6" t="s">
        <v>5</v>
      </c>
      <c r="D465" s="6" t="str">
        <f>"王钦"</f>
        <v>王钦</v>
      </c>
    </row>
    <row r="466" spans="1:4" ht="30" customHeight="1">
      <c r="A466" s="6">
        <v>464</v>
      </c>
      <c r="B466" s="6" t="str">
        <f>"508120230425133651141328"</f>
        <v>508120230425133651141328</v>
      </c>
      <c r="C466" s="6" t="s">
        <v>5</v>
      </c>
      <c r="D466" s="6" t="str">
        <f>"符龙彬"</f>
        <v>符龙彬</v>
      </c>
    </row>
    <row r="467" spans="1:4" ht="30" customHeight="1">
      <c r="A467" s="6">
        <v>465</v>
      </c>
      <c r="B467" s="6" t="str">
        <f>"508120230426004742141687"</f>
        <v>508120230426004742141687</v>
      </c>
      <c r="C467" s="6" t="s">
        <v>5</v>
      </c>
      <c r="D467" s="6" t="str">
        <f>"陈哲"</f>
        <v>陈哲</v>
      </c>
    </row>
    <row r="468" spans="1:4" ht="30" customHeight="1">
      <c r="A468" s="6">
        <v>466</v>
      </c>
      <c r="B468" s="6" t="str">
        <f>"508120230425041007141140"</f>
        <v>508120230425041007141140</v>
      </c>
      <c r="C468" s="6" t="s">
        <v>5</v>
      </c>
      <c r="D468" s="6" t="str">
        <f>"符传盛"</f>
        <v>符传盛</v>
      </c>
    </row>
    <row r="469" spans="1:4" ht="30" customHeight="1">
      <c r="A469" s="6">
        <v>467</v>
      </c>
      <c r="B469" s="6" t="str">
        <f>"508120230426131446141865"</f>
        <v>508120230426131446141865</v>
      </c>
      <c r="C469" s="6" t="s">
        <v>5</v>
      </c>
      <c r="D469" s="6" t="str">
        <f>"王冬栗"</f>
        <v>王冬栗</v>
      </c>
    </row>
    <row r="470" spans="1:4" ht="30" customHeight="1">
      <c r="A470" s="6">
        <v>468</v>
      </c>
      <c r="B470" s="6" t="str">
        <f>"508120230425203926141554"</f>
        <v>508120230425203926141554</v>
      </c>
      <c r="C470" s="6" t="s">
        <v>5</v>
      </c>
      <c r="D470" s="6" t="str">
        <f>"杨依然"</f>
        <v>杨依然</v>
      </c>
    </row>
    <row r="471" spans="1:4" ht="30" customHeight="1">
      <c r="A471" s="6">
        <v>469</v>
      </c>
      <c r="B471" s="6" t="str">
        <f>"508120230426102358141771"</f>
        <v>508120230426102358141771</v>
      </c>
      <c r="C471" s="6" t="s">
        <v>5</v>
      </c>
      <c r="D471" s="6" t="str">
        <f>"陈明林"</f>
        <v>陈明林</v>
      </c>
    </row>
    <row r="472" spans="1:4" ht="30" customHeight="1">
      <c r="A472" s="6">
        <v>470</v>
      </c>
      <c r="B472" s="6" t="str">
        <f>"508120230423105314139842"</f>
        <v>508120230423105314139842</v>
      </c>
      <c r="C472" s="6" t="s">
        <v>5</v>
      </c>
      <c r="D472" s="6" t="str">
        <f>"刘香"</f>
        <v>刘香</v>
      </c>
    </row>
    <row r="473" spans="1:4" ht="30" customHeight="1">
      <c r="A473" s="6">
        <v>471</v>
      </c>
      <c r="B473" s="6" t="str">
        <f>"508120230426144341141897"</f>
        <v>508120230426144341141897</v>
      </c>
      <c r="C473" s="6" t="s">
        <v>5</v>
      </c>
      <c r="D473" s="6" t="str">
        <f>"薛开智"</f>
        <v>薛开智</v>
      </c>
    </row>
    <row r="474" spans="1:4" ht="30" customHeight="1">
      <c r="A474" s="6">
        <v>472</v>
      </c>
      <c r="B474" s="6" t="str">
        <f>"508120230423182037140188"</f>
        <v>508120230423182037140188</v>
      </c>
      <c r="C474" s="6" t="s">
        <v>5</v>
      </c>
      <c r="D474" s="6" t="str">
        <f>"刘瑛"</f>
        <v>刘瑛</v>
      </c>
    </row>
    <row r="475" spans="1:4" ht="30" customHeight="1">
      <c r="A475" s="6">
        <v>473</v>
      </c>
      <c r="B475" s="6" t="str">
        <f>"508120230426151709141922"</f>
        <v>508120230426151709141922</v>
      </c>
      <c r="C475" s="6" t="s">
        <v>5</v>
      </c>
      <c r="D475" s="6" t="str">
        <f>"孙加强"</f>
        <v>孙加强</v>
      </c>
    </row>
    <row r="476" spans="1:4" ht="30" customHeight="1">
      <c r="A476" s="6">
        <v>474</v>
      </c>
      <c r="B476" s="6" t="str">
        <f>"508120230426152211141929"</f>
        <v>508120230426152211141929</v>
      </c>
      <c r="C476" s="6" t="s">
        <v>5</v>
      </c>
      <c r="D476" s="6" t="str">
        <f>"陈辉星"</f>
        <v>陈辉星</v>
      </c>
    </row>
    <row r="477" spans="1:4" ht="30" customHeight="1">
      <c r="A477" s="6">
        <v>475</v>
      </c>
      <c r="B477" s="6" t="str">
        <f>"508120230426154530141947"</f>
        <v>508120230426154530141947</v>
      </c>
      <c r="C477" s="6" t="s">
        <v>5</v>
      </c>
      <c r="D477" s="6" t="str">
        <f>"陈文丰"</f>
        <v>陈文丰</v>
      </c>
    </row>
    <row r="478" spans="1:4" ht="30" customHeight="1">
      <c r="A478" s="6">
        <v>476</v>
      </c>
      <c r="B478" s="6" t="str">
        <f>"508120230426153829141940"</f>
        <v>508120230426153829141940</v>
      </c>
      <c r="C478" s="6" t="s">
        <v>5</v>
      </c>
      <c r="D478" s="6" t="str">
        <f>"王运仟"</f>
        <v>王运仟</v>
      </c>
    </row>
    <row r="479" spans="1:4" ht="30" customHeight="1">
      <c r="A479" s="6">
        <v>477</v>
      </c>
      <c r="B479" s="6" t="str">
        <f>"508120230422211444139583"</f>
        <v>508120230422211444139583</v>
      </c>
      <c r="C479" s="6" t="s">
        <v>5</v>
      </c>
      <c r="D479" s="6" t="str">
        <f>"文承好"</f>
        <v>文承好</v>
      </c>
    </row>
    <row r="480" spans="1:4" ht="30" customHeight="1">
      <c r="A480" s="6">
        <v>478</v>
      </c>
      <c r="B480" s="6" t="str">
        <f>"508120230426155320141955"</f>
        <v>508120230426155320141955</v>
      </c>
      <c r="C480" s="6" t="s">
        <v>5</v>
      </c>
      <c r="D480" s="6" t="str">
        <f>"陈宇航"</f>
        <v>陈宇航</v>
      </c>
    </row>
    <row r="481" spans="1:4" ht="30" customHeight="1">
      <c r="A481" s="6">
        <v>479</v>
      </c>
      <c r="B481" s="6" t="str">
        <f>"508120230426131818141867"</f>
        <v>508120230426131818141867</v>
      </c>
      <c r="C481" s="6" t="s">
        <v>5</v>
      </c>
      <c r="D481" s="6" t="str">
        <f>"薛冰颖"</f>
        <v>薛冰颖</v>
      </c>
    </row>
    <row r="482" spans="1:4" ht="30" customHeight="1">
      <c r="A482" s="6">
        <v>480</v>
      </c>
      <c r="B482" s="6" t="str">
        <f>"508120230424111727140634"</f>
        <v>508120230424111727140634</v>
      </c>
      <c r="C482" s="6" t="s">
        <v>5</v>
      </c>
      <c r="D482" s="6" t="str">
        <f>"王英武"</f>
        <v>王英武</v>
      </c>
    </row>
    <row r="483" spans="1:4" ht="30" customHeight="1">
      <c r="A483" s="6">
        <v>481</v>
      </c>
      <c r="B483" s="6" t="str">
        <f>"508120230426160828141969"</f>
        <v>508120230426160828141969</v>
      </c>
      <c r="C483" s="6" t="s">
        <v>5</v>
      </c>
      <c r="D483" s="6" t="str">
        <f>"田曼琳"</f>
        <v>田曼琳</v>
      </c>
    </row>
    <row r="484" spans="1:4" ht="30" customHeight="1">
      <c r="A484" s="6">
        <v>482</v>
      </c>
      <c r="B484" s="6" t="str">
        <f>"508120230426154605141949"</f>
        <v>508120230426154605141949</v>
      </c>
      <c r="C484" s="6" t="s">
        <v>5</v>
      </c>
      <c r="D484" s="6" t="str">
        <f>"陈文高"</f>
        <v>陈文高</v>
      </c>
    </row>
    <row r="485" spans="1:4" ht="30" customHeight="1">
      <c r="A485" s="6">
        <v>483</v>
      </c>
      <c r="B485" s="6" t="str">
        <f>"508120230421172939138921"</f>
        <v>508120230421172939138921</v>
      </c>
      <c r="C485" s="6" t="s">
        <v>5</v>
      </c>
      <c r="D485" s="6" t="str">
        <f>"潘灵涓"</f>
        <v>潘灵涓</v>
      </c>
    </row>
    <row r="486" spans="1:4" ht="30" customHeight="1">
      <c r="A486" s="6">
        <v>484</v>
      </c>
      <c r="B486" s="6" t="str">
        <f>"508120230425103951141231"</f>
        <v>508120230425103951141231</v>
      </c>
      <c r="C486" s="6" t="s">
        <v>5</v>
      </c>
      <c r="D486" s="6" t="str">
        <f>"陈忠松"</f>
        <v>陈忠松</v>
      </c>
    </row>
    <row r="487" spans="1:4" ht="30" customHeight="1">
      <c r="A487" s="6">
        <v>485</v>
      </c>
      <c r="B487" s="6" t="str">
        <f>"508120230426112638141811"</f>
        <v>508120230426112638141811</v>
      </c>
      <c r="C487" s="6" t="s">
        <v>5</v>
      </c>
      <c r="D487" s="6" t="str">
        <f>"张裕欣"</f>
        <v>张裕欣</v>
      </c>
    </row>
    <row r="488" spans="1:4" ht="30" customHeight="1">
      <c r="A488" s="6">
        <v>486</v>
      </c>
      <c r="B488" s="6" t="str">
        <f>"508120230426155554141959"</f>
        <v>508120230426155554141959</v>
      </c>
      <c r="C488" s="6" t="s">
        <v>5</v>
      </c>
      <c r="D488" s="6" t="str">
        <f>"符晓慧"</f>
        <v>符晓慧</v>
      </c>
    </row>
    <row r="489" spans="1:4" ht="30" customHeight="1">
      <c r="A489" s="6">
        <v>487</v>
      </c>
      <c r="B489" s="6" t="str">
        <f>"508120230426163156141989"</f>
        <v>508120230426163156141989</v>
      </c>
      <c r="C489" s="6" t="s">
        <v>5</v>
      </c>
      <c r="D489" s="6" t="str">
        <f>"李慧"</f>
        <v>李慧</v>
      </c>
    </row>
    <row r="490" spans="1:4" ht="30" customHeight="1">
      <c r="A490" s="6">
        <v>488</v>
      </c>
      <c r="B490" s="6" t="str">
        <f>"508120230425120009141299"</f>
        <v>508120230425120009141299</v>
      </c>
      <c r="C490" s="6" t="s">
        <v>5</v>
      </c>
      <c r="D490" s="6" t="str">
        <f>"唐绍基"</f>
        <v>唐绍基</v>
      </c>
    </row>
    <row r="491" spans="1:4" ht="30" customHeight="1">
      <c r="A491" s="6">
        <v>489</v>
      </c>
      <c r="B491" s="6" t="str">
        <f>"508120230426163712141992"</f>
        <v>508120230426163712141992</v>
      </c>
      <c r="C491" s="6" t="s">
        <v>5</v>
      </c>
      <c r="D491" s="6" t="str">
        <f>"符能远"</f>
        <v>符能远</v>
      </c>
    </row>
    <row r="492" spans="1:4" ht="30" customHeight="1">
      <c r="A492" s="6">
        <v>490</v>
      </c>
      <c r="B492" s="6" t="str">
        <f>"508120230425191853141524"</f>
        <v>508120230425191853141524</v>
      </c>
      <c r="C492" s="6" t="s">
        <v>5</v>
      </c>
      <c r="D492" s="6" t="str">
        <f>"钟文孝"</f>
        <v>钟文孝</v>
      </c>
    </row>
    <row r="493" spans="1:4" ht="30" customHeight="1">
      <c r="A493" s="6">
        <v>491</v>
      </c>
      <c r="B493" s="6" t="str">
        <f>"508120230426163443141991"</f>
        <v>508120230426163443141991</v>
      </c>
      <c r="C493" s="6" t="s">
        <v>5</v>
      </c>
      <c r="D493" s="6" t="str">
        <f>"王其天"</f>
        <v>王其天</v>
      </c>
    </row>
    <row r="494" spans="1:4" ht="30" customHeight="1">
      <c r="A494" s="6">
        <v>492</v>
      </c>
      <c r="B494" s="6" t="str">
        <f>"508120230426161805141980"</f>
        <v>508120230426161805141980</v>
      </c>
      <c r="C494" s="6" t="s">
        <v>5</v>
      </c>
      <c r="D494" s="6" t="str">
        <f>"金文博"</f>
        <v>金文博</v>
      </c>
    </row>
    <row r="495" spans="1:4" ht="30" customHeight="1">
      <c r="A495" s="6">
        <v>493</v>
      </c>
      <c r="B495" s="6" t="str">
        <f>"508120230426171055142029"</f>
        <v>508120230426171055142029</v>
      </c>
      <c r="C495" s="6" t="s">
        <v>5</v>
      </c>
      <c r="D495" s="6" t="str">
        <f>"施俊杉"</f>
        <v>施俊杉</v>
      </c>
    </row>
    <row r="496" spans="1:4" ht="30" customHeight="1">
      <c r="A496" s="6">
        <v>494</v>
      </c>
      <c r="B496" s="6" t="str">
        <f>"508120230426150033141912"</f>
        <v>508120230426150033141912</v>
      </c>
      <c r="C496" s="6" t="s">
        <v>5</v>
      </c>
      <c r="D496" s="6" t="str">
        <f>"郭义浩"</f>
        <v>郭义浩</v>
      </c>
    </row>
    <row r="497" spans="1:4" ht="30" customHeight="1">
      <c r="A497" s="6">
        <v>495</v>
      </c>
      <c r="B497" s="6" t="str">
        <f>"508120230426165045142005"</f>
        <v>508120230426165045142005</v>
      </c>
      <c r="C497" s="6" t="s">
        <v>5</v>
      </c>
      <c r="D497" s="6" t="str">
        <f>"陈贤凡"</f>
        <v>陈贤凡</v>
      </c>
    </row>
    <row r="498" spans="1:4" ht="30" customHeight="1">
      <c r="A498" s="6">
        <v>496</v>
      </c>
      <c r="B498" s="6" t="str">
        <f>"508120230426151720141923"</f>
        <v>508120230426151720141923</v>
      </c>
      <c r="C498" s="6" t="s">
        <v>5</v>
      </c>
      <c r="D498" s="6" t="str">
        <f>"莫忠耿"</f>
        <v>莫忠耿</v>
      </c>
    </row>
    <row r="499" spans="1:4" ht="30" customHeight="1">
      <c r="A499" s="6">
        <v>497</v>
      </c>
      <c r="B499" s="6" t="str">
        <f>"508120230426173505142049"</f>
        <v>508120230426173505142049</v>
      </c>
      <c r="C499" s="6" t="s">
        <v>5</v>
      </c>
      <c r="D499" s="6" t="str">
        <f>"刘磊"</f>
        <v>刘磊</v>
      </c>
    </row>
    <row r="500" spans="1:4" ht="30" customHeight="1">
      <c r="A500" s="6">
        <v>498</v>
      </c>
      <c r="B500" s="6" t="str">
        <f>"508120230426170930142028"</f>
        <v>508120230426170930142028</v>
      </c>
      <c r="C500" s="6" t="s">
        <v>5</v>
      </c>
      <c r="D500" s="6" t="str">
        <f>"刘顺凡"</f>
        <v>刘顺凡</v>
      </c>
    </row>
    <row r="501" spans="1:4" ht="30" customHeight="1">
      <c r="A501" s="6">
        <v>499</v>
      </c>
      <c r="B501" s="6" t="str">
        <f>"508120230426181232142067"</f>
        <v>508120230426181232142067</v>
      </c>
      <c r="C501" s="6" t="s">
        <v>5</v>
      </c>
      <c r="D501" s="6" t="str">
        <f>"吴雨洁"</f>
        <v>吴雨洁</v>
      </c>
    </row>
    <row r="502" spans="1:4" ht="30" customHeight="1">
      <c r="A502" s="6">
        <v>500</v>
      </c>
      <c r="B502" s="6" t="str">
        <f>"508120230426152603141930"</f>
        <v>508120230426152603141930</v>
      </c>
      <c r="C502" s="6" t="s">
        <v>5</v>
      </c>
      <c r="D502" s="6" t="str">
        <f>"林佳悦"</f>
        <v>林佳悦</v>
      </c>
    </row>
    <row r="503" spans="1:4" ht="30" customHeight="1">
      <c r="A503" s="6">
        <v>501</v>
      </c>
      <c r="B503" s="6" t="str">
        <f>"508120230426160647141967"</f>
        <v>508120230426160647141967</v>
      </c>
      <c r="C503" s="6" t="s">
        <v>5</v>
      </c>
      <c r="D503" s="6" t="str">
        <f>"陆海峰"</f>
        <v>陆海峰</v>
      </c>
    </row>
    <row r="504" spans="1:4" ht="30" customHeight="1">
      <c r="A504" s="6">
        <v>502</v>
      </c>
      <c r="B504" s="6" t="str">
        <f>"508120230426163101141988"</f>
        <v>508120230426163101141988</v>
      </c>
      <c r="C504" s="6" t="s">
        <v>5</v>
      </c>
      <c r="D504" s="6" t="str">
        <f>"何青原"</f>
        <v>何青原</v>
      </c>
    </row>
    <row r="505" spans="1:4" ht="30" customHeight="1">
      <c r="A505" s="6">
        <v>503</v>
      </c>
      <c r="B505" s="6" t="str">
        <f>"508120230426064733141699"</f>
        <v>508120230426064733141699</v>
      </c>
      <c r="C505" s="6" t="s">
        <v>5</v>
      </c>
      <c r="D505" s="6" t="str">
        <f>"何瑞佳"</f>
        <v>何瑞佳</v>
      </c>
    </row>
    <row r="506" spans="1:4" ht="30" customHeight="1">
      <c r="A506" s="6">
        <v>504</v>
      </c>
      <c r="B506" s="6" t="str">
        <f>"508120230426102939141778"</f>
        <v>508120230426102939141778</v>
      </c>
      <c r="C506" s="6" t="s">
        <v>5</v>
      </c>
      <c r="D506" s="6" t="str">
        <f>"张谈"</f>
        <v>张谈</v>
      </c>
    </row>
    <row r="507" spans="1:4" ht="30" customHeight="1">
      <c r="A507" s="6">
        <v>505</v>
      </c>
      <c r="B507" s="6" t="str">
        <f>"508120230423194934140238"</f>
        <v>508120230423194934140238</v>
      </c>
      <c r="C507" s="6" t="s">
        <v>5</v>
      </c>
      <c r="D507" s="6" t="str">
        <f>"肖静婷"</f>
        <v>肖静婷</v>
      </c>
    </row>
    <row r="508" spans="1:4" ht="30" customHeight="1">
      <c r="A508" s="6">
        <v>506</v>
      </c>
      <c r="B508" s="6" t="str">
        <f>"508120230426185550142098"</f>
        <v>508120230426185550142098</v>
      </c>
      <c r="C508" s="6" t="s">
        <v>5</v>
      </c>
      <c r="D508" s="6" t="str">
        <f>"李运康"</f>
        <v>李运康</v>
      </c>
    </row>
    <row r="509" spans="1:4" ht="30" customHeight="1">
      <c r="A509" s="6">
        <v>507</v>
      </c>
      <c r="B509" s="6" t="str">
        <f>"508120230426191458142109"</f>
        <v>508120230426191458142109</v>
      </c>
      <c r="C509" s="6" t="s">
        <v>5</v>
      </c>
      <c r="D509" s="6" t="str">
        <f>"文光辉"</f>
        <v>文光辉</v>
      </c>
    </row>
    <row r="510" spans="1:4" ht="30" customHeight="1">
      <c r="A510" s="6">
        <v>508</v>
      </c>
      <c r="B510" s="6" t="str">
        <f>"508120230426192550142119"</f>
        <v>508120230426192550142119</v>
      </c>
      <c r="C510" s="6" t="s">
        <v>5</v>
      </c>
      <c r="D510" s="6" t="str">
        <f>"陶昌立"</f>
        <v>陶昌立</v>
      </c>
    </row>
    <row r="511" spans="1:4" ht="30" customHeight="1">
      <c r="A511" s="6">
        <v>509</v>
      </c>
      <c r="B511" s="6" t="str">
        <f>"508120230426181205142066"</f>
        <v>508120230426181205142066</v>
      </c>
      <c r="C511" s="6" t="s">
        <v>5</v>
      </c>
      <c r="D511" s="6" t="str">
        <f>"陈茜"</f>
        <v>陈茜</v>
      </c>
    </row>
    <row r="512" spans="1:4" ht="30" customHeight="1">
      <c r="A512" s="6">
        <v>510</v>
      </c>
      <c r="B512" s="6" t="str">
        <f>"508120230426190716142106"</f>
        <v>508120230426190716142106</v>
      </c>
      <c r="C512" s="6" t="s">
        <v>5</v>
      </c>
      <c r="D512" s="6" t="str">
        <f>"赵春模"</f>
        <v>赵春模</v>
      </c>
    </row>
    <row r="513" spans="1:4" ht="30" customHeight="1">
      <c r="A513" s="6">
        <v>511</v>
      </c>
      <c r="B513" s="6" t="str">
        <f>"508120230424103242140586"</f>
        <v>508120230424103242140586</v>
      </c>
      <c r="C513" s="6" t="s">
        <v>5</v>
      </c>
      <c r="D513" s="6" t="str">
        <f>"刘小旦"</f>
        <v>刘小旦</v>
      </c>
    </row>
    <row r="514" spans="1:4" ht="30" customHeight="1">
      <c r="A514" s="6">
        <v>512</v>
      </c>
      <c r="B514" s="6" t="str">
        <f>"508120230426173118142047"</f>
        <v>508120230426173118142047</v>
      </c>
      <c r="C514" s="6" t="s">
        <v>5</v>
      </c>
      <c r="D514" s="6" t="str">
        <f>"陈永豪"</f>
        <v>陈永豪</v>
      </c>
    </row>
    <row r="515" spans="1:4" ht="30" customHeight="1">
      <c r="A515" s="6">
        <v>513</v>
      </c>
      <c r="B515" s="6" t="str">
        <f>"508120230422190508139492"</f>
        <v>508120230422190508139492</v>
      </c>
      <c r="C515" s="6" t="s">
        <v>5</v>
      </c>
      <c r="D515" s="6" t="str">
        <f>"陈博强"</f>
        <v>陈博强</v>
      </c>
    </row>
    <row r="516" spans="1:4" ht="30" customHeight="1">
      <c r="A516" s="6">
        <v>514</v>
      </c>
      <c r="B516" s="6" t="str">
        <f>"508120230426194658142132"</f>
        <v>508120230426194658142132</v>
      </c>
      <c r="C516" s="6" t="s">
        <v>5</v>
      </c>
      <c r="D516" s="6" t="str">
        <f>"王范"</f>
        <v>王范</v>
      </c>
    </row>
    <row r="517" spans="1:4" ht="30" customHeight="1">
      <c r="A517" s="6">
        <v>515</v>
      </c>
      <c r="B517" s="6" t="str">
        <f>"508120230426205211142177"</f>
        <v>508120230426205211142177</v>
      </c>
      <c r="C517" s="6" t="s">
        <v>5</v>
      </c>
      <c r="D517" s="6" t="str">
        <f>"陈希越"</f>
        <v>陈希越</v>
      </c>
    </row>
    <row r="518" spans="1:4" ht="30" customHeight="1">
      <c r="A518" s="6">
        <v>516</v>
      </c>
      <c r="B518" s="6" t="str">
        <f>"508120230422195121139519"</f>
        <v>508120230422195121139519</v>
      </c>
      <c r="C518" s="6" t="s">
        <v>5</v>
      </c>
      <c r="D518" s="6" t="str">
        <f>"刘杰鑫"</f>
        <v>刘杰鑫</v>
      </c>
    </row>
    <row r="519" spans="1:4" ht="30" customHeight="1">
      <c r="A519" s="6">
        <v>517</v>
      </c>
      <c r="B519" s="6" t="str">
        <f>"508120230426204903142171"</f>
        <v>508120230426204903142171</v>
      </c>
      <c r="C519" s="6" t="s">
        <v>5</v>
      </c>
      <c r="D519" s="6" t="str">
        <f>"李昀珊"</f>
        <v>李昀珊</v>
      </c>
    </row>
    <row r="520" spans="1:4" ht="30" customHeight="1">
      <c r="A520" s="6">
        <v>518</v>
      </c>
      <c r="B520" s="6" t="str">
        <f>"508120230426165156142007"</f>
        <v>508120230426165156142007</v>
      </c>
      <c r="C520" s="6" t="s">
        <v>5</v>
      </c>
      <c r="D520" s="6" t="str">
        <f>"陈维铭"</f>
        <v>陈维铭</v>
      </c>
    </row>
    <row r="521" spans="1:4" ht="30" customHeight="1">
      <c r="A521" s="6">
        <v>519</v>
      </c>
      <c r="B521" s="6" t="str">
        <f>"508120230426210943142186"</f>
        <v>508120230426210943142186</v>
      </c>
      <c r="C521" s="6" t="s">
        <v>5</v>
      </c>
      <c r="D521" s="6" t="str">
        <f>"符承康"</f>
        <v>符承康</v>
      </c>
    </row>
    <row r="522" spans="1:4" ht="30" customHeight="1">
      <c r="A522" s="6">
        <v>520</v>
      </c>
      <c r="B522" s="6" t="str">
        <f>"508120230426210800142184"</f>
        <v>508120230426210800142184</v>
      </c>
      <c r="C522" s="6" t="s">
        <v>5</v>
      </c>
      <c r="D522" s="6" t="str">
        <f>"陈太子"</f>
        <v>陈太子</v>
      </c>
    </row>
    <row r="523" spans="1:4" ht="30" customHeight="1">
      <c r="A523" s="6">
        <v>521</v>
      </c>
      <c r="B523" s="6" t="str">
        <f>"508120230426211028142187"</f>
        <v>508120230426211028142187</v>
      </c>
      <c r="C523" s="6" t="s">
        <v>5</v>
      </c>
      <c r="D523" s="6" t="str">
        <f>"何永崇"</f>
        <v>何永崇</v>
      </c>
    </row>
    <row r="524" spans="1:4" ht="30" customHeight="1">
      <c r="A524" s="6">
        <v>522</v>
      </c>
      <c r="B524" s="6" t="str">
        <f>"508120230426213623142210"</f>
        <v>508120230426213623142210</v>
      </c>
      <c r="C524" s="6" t="s">
        <v>5</v>
      </c>
      <c r="D524" s="6" t="str">
        <f>"黄婷"</f>
        <v>黄婷</v>
      </c>
    </row>
    <row r="525" spans="1:4" ht="30" customHeight="1">
      <c r="A525" s="6">
        <v>523</v>
      </c>
      <c r="B525" s="6" t="str">
        <f>"508120230422201546139533"</f>
        <v>508120230422201546139533</v>
      </c>
      <c r="C525" s="6" t="s">
        <v>5</v>
      </c>
      <c r="D525" s="6" t="str">
        <f>"陈巨铿"</f>
        <v>陈巨铿</v>
      </c>
    </row>
    <row r="526" spans="1:4" ht="30" customHeight="1">
      <c r="A526" s="6">
        <v>524</v>
      </c>
      <c r="B526" s="6" t="str">
        <f>"508120230426192158142117"</f>
        <v>508120230426192158142117</v>
      </c>
      <c r="C526" s="6" t="s">
        <v>5</v>
      </c>
      <c r="D526" s="6" t="str">
        <f>"吴翔"</f>
        <v>吴翔</v>
      </c>
    </row>
    <row r="527" spans="1:4" ht="30" customHeight="1">
      <c r="A527" s="6">
        <v>525</v>
      </c>
      <c r="B527" s="6" t="str">
        <f>"508120230426203741142167"</f>
        <v>508120230426203741142167</v>
      </c>
      <c r="C527" s="6" t="s">
        <v>5</v>
      </c>
      <c r="D527" s="6" t="str">
        <f>"张文静"</f>
        <v>张文静</v>
      </c>
    </row>
    <row r="528" spans="1:4" ht="30" customHeight="1">
      <c r="A528" s="6">
        <v>526</v>
      </c>
      <c r="B528" s="6" t="str">
        <f>"508120230426213717142211"</f>
        <v>508120230426213717142211</v>
      </c>
      <c r="C528" s="6" t="s">
        <v>5</v>
      </c>
      <c r="D528" s="6" t="str">
        <f>"郝玉洁"</f>
        <v>郝玉洁</v>
      </c>
    </row>
    <row r="529" spans="1:4" ht="30" customHeight="1">
      <c r="A529" s="6">
        <v>527</v>
      </c>
      <c r="B529" s="6" t="str">
        <f>"508120230424215016141044"</f>
        <v>508120230424215016141044</v>
      </c>
      <c r="C529" s="6" t="s">
        <v>5</v>
      </c>
      <c r="D529" s="6" t="str">
        <f>"胡朝妹"</f>
        <v>胡朝妹</v>
      </c>
    </row>
    <row r="530" spans="1:4" ht="30" customHeight="1">
      <c r="A530" s="6">
        <v>528</v>
      </c>
      <c r="B530" s="6" t="str">
        <f>"508120230426162824141987"</f>
        <v>508120230426162824141987</v>
      </c>
      <c r="C530" s="6" t="s">
        <v>5</v>
      </c>
      <c r="D530" s="6" t="str">
        <f>"王林凯"</f>
        <v>王林凯</v>
      </c>
    </row>
    <row r="531" spans="1:4" ht="30" customHeight="1">
      <c r="A531" s="6">
        <v>529</v>
      </c>
      <c r="B531" s="6" t="str">
        <f>"508120230424162213140828"</f>
        <v>508120230424162213140828</v>
      </c>
      <c r="C531" s="6" t="s">
        <v>5</v>
      </c>
      <c r="D531" s="6" t="str">
        <f>"王文利"</f>
        <v>王文利</v>
      </c>
    </row>
    <row r="532" spans="1:4" ht="30" customHeight="1">
      <c r="A532" s="6">
        <v>530</v>
      </c>
      <c r="B532" s="6" t="str">
        <f>"508120230426192110142116"</f>
        <v>508120230426192110142116</v>
      </c>
      <c r="C532" s="6" t="s">
        <v>5</v>
      </c>
      <c r="D532" s="6" t="str">
        <f>"汤平优"</f>
        <v>汤平优</v>
      </c>
    </row>
    <row r="533" spans="1:4" ht="30" customHeight="1">
      <c r="A533" s="6">
        <v>531</v>
      </c>
      <c r="B533" s="6" t="str">
        <f>"508120230425213809141599"</f>
        <v>508120230425213809141599</v>
      </c>
      <c r="C533" s="6" t="s">
        <v>5</v>
      </c>
      <c r="D533" s="6" t="str">
        <f>"徐宁超"</f>
        <v>徐宁超</v>
      </c>
    </row>
    <row r="534" spans="1:4" ht="30" customHeight="1">
      <c r="A534" s="6">
        <v>532</v>
      </c>
      <c r="B534" s="6" t="str">
        <f>"508120230426201027142144"</f>
        <v>508120230426201027142144</v>
      </c>
      <c r="C534" s="6" t="s">
        <v>5</v>
      </c>
      <c r="D534" s="6" t="str">
        <f>"唐华"</f>
        <v>唐华</v>
      </c>
    </row>
    <row r="535" spans="1:4" ht="30" customHeight="1">
      <c r="A535" s="6">
        <v>533</v>
      </c>
      <c r="B535" s="6" t="str">
        <f>"508120230426221418142239"</f>
        <v>508120230426221418142239</v>
      </c>
      <c r="C535" s="6" t="s">
        <v>5</v>
      </c>
      <c r="D535" s="6" t="str">
        <f>"王思凯"</f>
        <v>王思凯</v>
      </c>
    </row>
    <row r="536" spans="1:4" ht="30" customHeight="1">
      <c r="A536" s="6">
        <v>534</v>
      </c>
      <c r="B536" s="6" t="str">
        <f>"508120230425160018141408"</f>
        <v>508120230425160018141408</v>
      </c>
      <c r="C536" s="6" t="s">
        <v>5</v>
      </c>
      <c r="D536" s="6" t="str">
        <f>"邢维智"</f>
        <v>邢维智</v>
      </c>
    </row>
    <row r="537" spans="1:4" ht="30" customHeight="1">
      <c r="A537" s="6">
        <v>535</v>
      </c>
      <c r="B537" s="6" t="str">
        <f>"508120230426122552141844"</f>
        <v>508120230426122552141844</v>
      </c>
      <c r="C537" s="6" t="s">
        <v>5</v>
      </c>
      <c r="D537" s="6" t="str">
        <f>"王培旭"</f>
        <v>王培旭</v>
      </c>
    </row>
    <row r="538" spans="1:4" ht="30" customHeight="1">
      <c r="A538" s="6">
        <v>536</v>
      </c>
      <c r="B538" s="6" t="str">
        <f>"508120230426084641141716"</f>
        <v>508120230426084641141716</v>
      </c>
      <c r="C538" s="6" t="s">
        <v>5</v>
      </c>
      <c r="D538" s="6" t="str">
        <f>"卢水帅"</f>
        <v>卢水帅</v>
      </c>
    </row>
    <row r="539" spans="1:4" ht="30" customHeight="1">
      <c r="A539" s="6">
        <v>537</v>
      </c>
      <c r="B539" s="6" t="str">
        <f>"508120230425215554141612"</f>
        <v>508120230425215554141612</v>
      </c>
      <c r="C539" s="6" t="s">
        <v>5</v>
      </c>
      <c r="D539" s="6" t="str">
        <f>"郭垂忠"</f>
        <v>郭垂忠</v>
      </c>
    </row>
    <row r="540" spans="1:4" ht="30" customHeight="1">
      <c r="A540" s="6">
        <v>538</v>
      </c>
      <c r="B540" s="6" t="str">
        <f>"508120230423145452140004"</f>
        <v>508120230423145452140004</v>
      </c>
      <c r="C540" s="6" t="s">
        <v>5</v>
      </c>
      <c r="D540" s="6" t="str">
        <f>"何儒宣"</f>
        <v>何儒宣</v>
      </c>
    </row>
    <row r="541" spans="1:4" ht="30" customHeight="1">
      <c r="A541" s="6">
        <v>539</v>
      </c>
      <c r="B541" s="6" t="str">
        <f>"508120230426231857142298"</f>
        <v>508120230426231857142298</v>
      </c>
      <c r="C541" s="6" t="s">
        <v>5</v>
      </c>
      <c r="D541" s="6" t="str">
        <f>"曾宪鹏"</f>
        <v>曾宪鹏</v>
      </c>
    </row>
    <row r="542" spans="1:4" ht="30" customHeight="1">
      <c r="A542" s="6">
        <v>540</v>
      </c>
      <c r="B542" s="6" t="str">
        <f>"508120230426225424142280"</f>
        <v>508120230426225424142280</v>
      </c>
      <c r="C542" s="6" t="s">
        <v>5</v>
      </c>
      <c r="D542" s="6" t="str">
        <f>"王乾泰"</f>
        <v>王乾泰</v>
      </c>
    </row>
    <row r="543" spans="1:4" ht="30" customHeight="1">
      <c r="A543" s="6">
        <v>541</v>
      </c>
      <c r="B543" s="6" t="str">
        <f>"508120230426213750142212"</f>
        <v>508120230426213750142212</v>
      </c>
      <c r="C543" s="6" t="s">
        <v>5</v>
      </c>
      <c r="D543" s="6" t="str">
        <f>"陈朴"</f>
        <v>陈朴</v>
      </c>
    </row>
    <row r="544" spans="1:4" ht="30" customHeight="1">
      <c r="A544" s="6">
        <v>542</v>
      </c>
      <c r="B544" s="6" t="str">
        <f>"508120230426231920142299"</f>
        <v>508120230426231920142299</v>
      </c>
      <c r="C544" s="6" t="s">
        <v>5</v>
      </c>
      <c r="D544" s="6" t="str">
        <f>"李仕江"</f>
        <v>李仕江</v>
      </c>
    </row>
    <row r="545" spans="1:4" ht="30" customHeight="1">
      <c r="A545" s="6">
        <v>543</v>
      </c>
      <c r="B545" s="6" t="str">
        <f>"508120230422202303139540"</f>
        <v>508120230422202303139540</v>
      </c>
      <c r="C545" s="6" t="s">
        <v>5</v>
      </c>
      <c r="D545" s="6" t="str">
        <f>"吴俊德"</f>
        <v>吴俊德</v>
      </c>
    </row>
    <row r="546" spans="1:4" ht="30" customHeight="1">
      <c r="A546" s="6">
        <v>544</v>
      </c>
      <c r="B546" s="6" t="str">
        <f>"508120230426224102142266"</f>
        <v>508120230426224102142266</v>
      </c>
      <c r="C546" s="6" t="s">
        <v>5</v>
      </c>
      <c r="D546" s="6" t="str">
        <f>"周寿尧"</f>
        <v>周寿尧</v>
      </c>
    </row>
    <row r="547" spans="1:4" ht="30" customHeight="1">
      <c r="A547" s="6">
        <v>545</v>
      </c>
      <c r="B547" s="6" t="str">
        <f>"508120230426233803142313"</f>
        <v>508120230426233803142313</v>
      </c>
      <c r="C547" s="6" t="s">
        <v>5</v>
      </c>
      <c r="D547" s="6" t="str">
        <f>"吴婉敏"</f>
        <v>吴婉敏</v>
      </c>
    </row>
    <row r="548" spans="1:4" ht="30" customHeight="1">
      <c r="A548" s="6">
        <v>546</v>
      </c>
      <c r="B548" s="6" t="str">
        <f>"508120230427001436142334"</f>
        <v>508120230427001436142334</v>
      </c>
      <c r="C548" s="6" t="s">
        <v>5</v>
      </c>
      <c r="D548" s="6" t="str">
        <f>"李通"</f>
        <v>李通</v>
      </c>
    </row>
    <row r="549" spans="1:4" ht="30" customHeight="1">
      <c r="A549" s="6">
        <v>547</v>
      </c>
      <c r="B549" s="6" t="str">
        <f>"508120230427001626142335"</f>
        <v>508120230427001626142335</v>
      </c>
      <c r="C549" s="6" t="s">
        <v>5</v>
      </c>
      <c r="D549" s="6" t="str">
        <f>"赵仁武"</f>
        <v>赵仁武</v>
      </c>
    </row>
    <row r="550" spans="1:4" ht="30" customHeight="1">
      <c r="A550" s="6">
        <v>548</v>
      </c>
      <c r="B550" s="6" t="str">
        <f>"508120230426141126141886"</f>
        <v>508120230426141126141886</v>
      </c>
      <c r="C550" s="6" t="s">
        <v>5</v>
      </c>
      <c r="D550" s="6" t="str">
        <f>"李双双"</f>
        <v>李双双</v>
      </c>
    </row>
    <row r="551" spans="1:4" ht="30" customHeight="1">
      <c r="A551" s="6">
        <v>549</v>
      </c>
      <c r="B551" s="6" t="str">
        <f>"508120230427015816142362"</f>
        <v>508120230427015816142362</v>
      </c>
      <c r="C551" s="6" t="s">
        <v>5</v>
      </c>
      <c r="D551" s="6" t="str">
        <f>"陈名亮"</f>
        <v>陈名亮</v>
      </c>
    </row>
    <row r="552" spans="1:4" ht="30" customHeight="1">
      <c r="A552" s="6">
        <v>550</v>
      </c>
      <c r="B552" s="6" t="str">
        <f>"508120230427020527142365"</f>
        <v>508120230427020527142365</v>
      </c>
      <c r="C552" s="6" t="s">
        <v>5</v>
      </c>
      <c r="D552" s="6" t="str">
        <f>"张昭财"</f>
        <v>张昭财</v>
      </c>
    </row>
    <row r="553" spans="1:4" ht="30" customHeight="1">
      <c r="A553" s="6">
        <v>551</v>
      </c>
      <c r="B553" s="6" t="str">
        <f>"508120230426162810141986"</f>
        <v>508120230426162810141986</v>
      </c>
      <c r="C553" s="6" t="s">
        <v>5</v>
      </c>
      <c r="D553" s="6" t="str">
        <f>"王家博"</f>
        <v>王家博</v>
      </c>
    </row>
    <row r="554" spans="1:4" ht="30" customHeight="1">
      <c r="A554" s="6">
        <v>552</v>
      </c>
      <c r="B554" s="6" t="str">
        <f>"508120230426184400142094"</f>
        <v>508120230426184400142094</v>
      </c>
      <c r="C554" s="6" t="s">
        <v>5</v>
      </c>
      <c r="D554" s="6" t="str">
        <f>"文英政"</f>
        <v>文英政</v>
      </c>
    </row>
    <row r="555" spans="1:4" ht="30" customHeight="1">
      <c r="A555" s="6">
        <v>553</v>
      </c>
      <c r="B555" s="6" t="str">
        <f>"508120230426205743142180"</f>
        <v>508120230426205743142180</v>
      </c>
      <c r="C555" s="6" t="s">
        <v>5</v>
      </c>
      <c r="D555" s="6" t="str">
        <f>"陈秋"</f>
        <v>陈秋</v>
      </c>
    </row>
    <row r="556" spans="1:4" ht="30" customHeight="1">
      <c r="A556" s="6">
        <v>554</v>
      </c>
      <c r="B556" s="6" t="str">
        <f>"508120230427085526142410"</f>
        <v>508120230427085526142410</v>
      </c>
      <c r="C556" s="6" t="s">
        <v>5</v>
      </c>
      <c r="D556" s="6" t="str">
        <f>"王小妹"</f>
        <v>王小妹</v>
      </c>
    </row>
    <row r="557" spans="1:4" ht="30" customHeight="1">
      <c r="A557" s="6">
        <v>555</v>
      </c>
      <c r="B557" s="6" t="str">
        <f>"508120230421110936138438"</f>
        <v>508120230421110936138438</v>
      </c>
      <c r="C557" s="6" t="s">
        <v>5</v>
      </c>
      <c r="D557" s="6" t="str">
        <f>"吴佳慧"</f>
        <v>吴佳慧</v>
      </c>
    </row>
    <row r="558" spans="1:4" ht="30" customHeight="1">
      <c r="A558" s="6">
        <v>556</v>
      </c>
      <c r="B558" s="6" t="str">
        <f>"508120230427084341142401"</f>
        <v>508120230427084341142401</v>
      </c>
      <c r="C558" s="6" t="s">
        <v>5</v>
      </c>
      <c r="D558" s="6" t="str">
        <f>"朱欣"</f>
        <v>朱欣</v>
      </c>
    </row>
    <row r="559" spans="1:4" ht="30" customHeight="1">
      <c r="A559" s="6">
        <v>557</v>
      </c>
      <c r="B559" s="6" t="str">
        <f>"508120230426182901142084"</f>
        <v>508120230426182901142084</v>
      </c>
      <c r="C559" s="6" t="s">
        <v>5</v>
      </c>
      <c r="D559" s="6" t="str">
        <f>"陈腾"</f>
        <v>陈腾</v>
      </c>
    </row>
    <row r="560" spans="1:4" ht="30" customHeight="1">
      <c r="A560" s="6">
        <v>558</v>
      </c>
      <c r="B560" s="6" t="str">
        <f>"508120230424115549140673"</f>
        <v>508120230424115549140673</v>
      </c>
      <c r="C560" s="6" t="s">
        <v>5</v>
      </c>
      <c r="D560" s="6" t="str">
        <f>"张欣"</f>
        <v>张欣</v>
      </c>
    </row>
    <row r="561" spans="1:4" ht="30" customHeight="1">
      <c r="A561" s="6">
        <v>559</v>
      </c>
      <c r="B561" s="6" t="str">
        <f>"508120230427085517142409"</f>
        <v>508120230427085517142409</v>
      </c>
      <c r="C561" s="6" t="s">
        <v>5</v>
      </c>
      <c r="D561" s="6" t="str">
        <f>"叶仪薇"</f>
        <v>叶仪薇</v>
      </c>
    </row>
    <row r="562" spans="1:4" ht="30" customHeight="1">
      <c r="A562" s="6">
        <v>560</v>
      </c>
      <c r="B562" s="6" t="str">
        <f>"508120230427083921142398"</f>
        <v>508120230427083921142398</v>
      </c>
      <c r="C562" s="6" t="s">
        <v>5</v>
      </c>
      <c r="D562" s="6" t="str">
        <f>"吴海琳"</f>
        <v>吴海琳</v>
      </c>
    </row>
    <row r="563" spans="1:4" ht="30" customHeight="1">
      <c r="A563" s="6">
        <v>561</v>
      </c>
      <c r="B563" s="6" t="str">
        <f>"508120230426224125142267"</f>
        <v>508120230426224125142267</v>
      </c>
      <c r="C563" s="6" t="s">
        <v>5</v>
      </c>
      <c r="D563" s="6" t="str">
        <f>"钟晓雨"</f>
        <v>钟晓雨</v>
      </c>
    </row>
    <row r="564" spans="1:4" ht="30" customHeight="1">
      <c r="A564" s="6">
        <v>562</v>
      </c>
      <c r="B564" s="6" t="str">
        <f>"508120230426184653142095"</f>
        <v>508120230426184653142095</v>
      </c>
      <c r="C564" s="6" t="s">
        <v>5</v>
      </c>
      <c r="D564" s="6" t="str">
        <f>"罗祖威"</f>
        <v>罗祖威</v>
      </c>
    </row>
    <row r="565" spans="1:4" ht="30" customHeight="1">
      <c r="A565" s="6">
        <v>563</v>
      </c>
      <c r="B565" s="6" t="str">
        <f>"508120230427084548142404"</f>
        <v>508120230427084548142404</v>
      </c>
      <c r="C565" s="6" t="s">
        <v>5</v>
      </c>
      <c r="D565" s="6" t="str">
        <f>"王曼"</f>
        <v>王曼</v>
      </c>
    </row>
    <row r="566" spans="1:4" ht="30" customHeight="1">
      <c r="A566" s="6">
        <v>564</v>
      </c>
      <c r="B566" s="6" t="str">
        <f>"508120230427092805142436"</f>
        <v>508120230427092805142436</v>
      </c>
      <c r="C566" s="6" t="s">
        <v>5</v>
      </c>
      <c r="D566" s="6" t="str">
        <f>"符路思"</f>
        <v>符路思</v>
      </c>
    </row>
    <row r="567" spans="1:4" ht="30" customHeight="1">
      <c r="A567" s="6">
        <v>565</v>
      </c>
      <c r="B567" s="6" t="str">
        <f>"508120230427082929142391"</f>
        <v>508120230427082929142391</v>
      </c>
      <c r="C567" s="6" t="s">
        <v>5</v>
      </c>
      <c r="D567" s="6" t="str">
        <f>"高国平"</f>
        <v>高国平</v>
      </c>
    </row>
    <row r="568" spans="1:4" ht="30" customHeight="1">
      <c r="A568" s="6">
        <v>566</v>
      </c>
      <c r="B568" s="6" t="str">
        <f>"508120230427091644142424"</f>
        <v>508120230427091644142424</v>
      </c>
      <c r="C568" s="6" t="s">
        <v>5</v>
      </c>
      <c r="D568" s="6" t="str">
        <f>"赵廷"</f>
        <v>赵廷</v>
      </c>
    </row>
    <row r="569" spans="1:4" ht="30" customHeight="1">
      <c r="A569" s="6">
        <v>567</v>
      </c>
      <c r="B569" s="6" t="str">
        <f>"508120230427091135142421"</f>
        <v>508120230427091135142421</v>
      </c>
      <c r="C569" s="6" t="s">
        <v>5</v>
      </c>
      <c r="D569" s="6" t="str">
        <f>"薛家兴"</f>
        <v>薛家兴</v>
      </c>
    </row>
    <row r="570" spans="1:4" ht="30" customHeight="1">
      <c r="A570" s="6">
        <v>568</v>
      </c>
      <c r="B570" s="6" t="str">
        <f>"508120230426170628142024"</f>
        <v>508120230426170628142024</v>
      </c>
      <c r="C570" s="6" t="s">
        <v>5</v>
      </c>
      <c r="D570" s="6" t="str">
        <f>"王凯"</f>
        <v>王凯</v>
      </c>
    </row>
    <row r="571" spans="1:4" ht="30" customHeight="1">
      <c r="A571" s="6">
        <v>569</v>
      </c>
      <c r="B571" s="6" t="str">
        <f>"508120230426170432142022"</f>
        <v>508120230426170432142022</v>
      </c>
      <c r="C571" s="6" t="s">
        <v>5</v>
      </c>
      <c r="D571" s="6" t="str">
        <f>"李彤"</f>
        <v>李彤</v>
      </c>
    </row>
    <row r="572" spans="1:4" ht="30" customHeight="1">
      <c r="A572" s="6">
        <v>570</v>
      </c>
      <c r="B572" s="6" t="str">
        <f>"508120230427092938142439"</f>
        <v>508120230427092938142439</v>
      </c>
      <c r="C572" s="6" t="s">
        <v>5</v>
      </c>
      <c r="D572" s="6" t="str">
        <f>"吴海波"</f>
        <v>吴海波</v>
      </c>
    </row>
    <row r="573" spans="1:4" ht="30" customHeight="1">
      <c r="A573" s="6">
        <v>571</v>
      </c>
      <c r="B573" s="6" t="str">
        <f>"508120230424185519140934"</f>
        <v>508120230424185519140934</v>
      </c>
      <c r="C573" s="6" t="s">
        <v>5</v>
      </c>
      <c r="D573" s="6" t="str">
        <f>"陈亚"</f>
        <v>陈亚</v>
      </c>
    </row>
    <row r="574" spans="1:4" ht="30" customHeight="1">
      <c r="A574" s="6">
        <v>572</v>
      </c>
      <c r="B574" s="6" t="str">
        <f>"508120230427093442142444"</f>
        <v>508120230427093442142444</v>
      </c>
      <c r="C574" s="6" t="s">
        <v>5</v>
      </c>
      <c r="D574" s="6" t="str">
        <f>"祝婕"</f>
        <v>祝婕</v>
      </c>
    </row>
    <row r="575" spans="1:4" ht="30" customHeight="1">
      <c r="A575" s="6">
        <v>573</v>
      </c>
      <c r="B575" s="6" t="str">
        <f>"508120230427082649142387"</f>
        <v>508120230427082649142387</v>
      </c>
      <c r="C575" s="6" t="s">
        <v>5</v>
      </c>
      <c r="D575" s="6" t="str">
        <f>"冯佳霖"</f>
        <v>冯佳霖</v>
      </c>
    </row>
    <row r="576" spans="1:4" ht="30" customHeight="1">
      <c r="A576" s="6">
        <v>574</v>
      </c>
      <c r="B576" s="6" t="str">
        <f>"508120230427101545142498"</f>
        <v>508120230427101545142498</v>
      </c>
      <c r="C576" s="6" t="s">
        <v>5</v>
      </c>
      <c r="D576" s="6" t="str">
        <f>"翁仕"</f>
        <v>翁仕</v>
      </c>
    </row>
    <row r="577" spans="1:4" ht="30" customHeight="1">
      <c r="A577" s="6">
        <v>575</v>
      </c>
      <c r="B577" s="6" t="str">
        <f>"508120230427094702142464"</f>
        <v>508120230427094702142464</v>
      </c>
      <c r="C577" s="6" t="s">
        <v>5</v>
      </c>
      <c r="D577" s="6" t="str">
        <f>"龙宏政"</f>
        <v>龙宏政</v>
      </c>
    </row>
    <row r="578" spans="1:4" ht="30" customHeight="1">
      <c r="A578" s="6">
        <v>576</v>
      </c>
      <c r="B578" s="6" t="str">
        <f>"508120230427095937142481"</f>
        <v>508120230427095937142481</v>
      </c>
      <c r="C578" s="6" t="s">
        <v>5</v>
      </c>
      <c r="D578" s="6" t="str">
        <f>"张费帅"</f>
        <v>张费帅</v>
      </c>
    </row>
    <row r="579" spans="1:4" ht="30" customHeight="1">
      <c r="A579" s="6">
        <v>577</v>
      </c>
      <c r="B579" s="6" t="str">
        <f>"508120230427100005142482"</f>
        <v>508120230427100005142482</v>
      </c>
      <c r="C579" s="6" t="s">
        <v>5</v>
      </c>
      <c r="D579" s="6" t="str">
        <f>"王云芳"</f>
        <v>王云芳</v>
      </c>
    </row>
    <row r="580" spans="1:4" ht="30" customHeight="1">
      <c r="A580" s="6">
        <v>578</v>
      </c>
      <c r="B580" s="6" t="str">
        <f>"508120230427005635142350"</f>
        <v>508120230427005635142350</v>
      </c>
      <c r="C580" s="6" t="s">
        <v>5</v>
      </c>
      <c r="D580" s="6" t="str">
        <f>"陆飞"</f>
        <v>陆飞</v>
      </c>
    </row>
    <row r="581" spans="1:4" ht="30" customHeight="1">
      <c r="A581" s="6">
        <v>579</v>
      </c>
      <c r="B581" s="6" t="str">
        <f>"508120230426231854142297"</f>
        <v>508120230426231854142297</v>
      </c>
      <c r="C581" s="6" t="s">
        <v>5</v>
      </c>
      <c r="D581" s="6" t="str">
        <f>"符义泽"</f>
        <v>符义泽</v>
      </c>
    </row>
    <row r="582" spans="1:4" ht="30" customHeight="1">
      <c r="A582" s="6">
        <v>580</v>
      </c>
      <c r="B582" s="6" t="str">
        <f>"508120230424220008141049"</f>
        <v>508120230424220008141049</v>
      </c>
      <c r="C582" s="6" t="s">
        <v>5</v>
      </c>
      <c r="D582" s="6" t="str">
        <f>"秦飞龙"</f>
        <v>秦飞龙</v>
      </c>
    </row>
    <row r="583" spans="1:4" ht="30" customHeight="1">
      <c r="A583" s="6">
        <v>581</v>
      </c>
      <c r="B583" s="6" t="str">
        <f>"508120230427095828142478"</f>
        <v>508120230427095828142478</v>
      </c>
      <c r="C583" s="6" t="s">
        <v>5</v>
      </c>
      <c r="D583" s="6" t="str">
        <f>"潘丹"</f>
        <v>潘丹</v>
      </c>
    </row>
    <row r="584" spans="1:4" ht="30" customHeight="1">
      <c r="A584" s="6">
        <v>582</v>
      </c>
      <c r="B584" s="6" t="str">
        <f>"508120230424093849140517"</f>
        <v>508120230424093849140517</v>
      </c>
      <c r="C584" s="6" t="s">
        <v>5</v>
      </c>
      <c r="D584" s="6" t="str">
        <f>"李圣彬"</f>
        <v>李圣彬</v>
      </c>
    </row>
    <row r="585" spans="1:4" ht="30" customHeight="1">
      <c r="A585" s="6">
        <v>583</v>
      </c>
      <c r="B585" s="6" t="str">
        <f>"508120230426212502142198"</f>
        <v>508120230426212502142198</v>
      </c>
      <c r="C585" s="6" t="s">
        <v>5</v>
      </c>
      <c r="D585" s="6" t="str">
        <f>"赵永通"</f>
        <v>赵永通</v>
      </c>
    </row>
    <row r="586" spans="1:4" ht="30" customHeight="1">
      <c r="A586" s="6">
        <v>584</v>
      </c>
      <c r="B586" s="6" t="str">
        <f>"508120230427093455142445"</f>
        <v>508120230427093455142445</v>
      </c>
      <c r="C586" s="6" t="s">
        <v>5</v>
      </c>
      <c r="D586" s="6" t="str">
        <f>"刘晓琳"</f>
        <v>刘晓琳</v>
      </c>
    </row>
    <row r="587" spans="1:4" ht="30" customHeight="1">
      <c r="A587" s="6">
        <v>585</v>
      </c>
      <c r="B587" s="6" t="str">
        <f>"508120230426231556142295"</f>
        <v>508120230426231556142295</v>
      </c>
      <c r="C587" s="6" t="s">
        <v>5</v>
      </c>
      <c r="D587" s="6" t="str">
        <f>"叶靖"</f>
        <v>叶靖</v>
      </c>
    </row>
    <row r="588" spans="1:4" ht="30" customHeight="1">
      <c r="A588" s="6">
        <v>586</v>
      </c>
      <c r="B588" s="6" t="str">
        <f>"508120230427104101142526"</f>
        <v>508120230427104101142526</v>
      </c>
      <c r="C588" s="6" t="s">
        <v>5</v>
      </c>
      <c r="D588" s="6" t="str">
        <f>"赫丹阳"</f>
        <v>赫丹阳</v>
      </c>
    </row>
    <row r="589" spans="1:4" ht="30" customHeight="1">
      <c r="A589" s="6">
        <v>587</v>
      </c>
      <c r="B589" s="6" t="str">
        <f>"508120230427104044142525"</f>
        <v>508120230427104044142525</v>
      </c>
      <c r="C589" s="6" t="s">
        <v>5</v>
      </c>
      <c r="D589" s="6" t="str">
        <f>"陈博伟"</f>
        <v>陈博伟</v>
      </c>
    </row>
    <row r="590" spans="1:4" ht="30" customHeight="1">
      <c r="A590" s="6">
        <v>588</v>
      </c>
      <c r="B590" s="6" t="str">
        <f>"508120230425150630141364"</f>
        <v>508120230425150630141364</v>
      </c>
      <c r="C590" s="6" t="s">
        <v>5</v>
      </c>
      <c r="D590" s="6" t="str">
        <f>"林宏鸿"</f>
        <v>林宏鸿</v>
      </c>
    </row>
    <row r="591" spans="1:4" ht="30" customHeight="1">
      <c r="A591" s="6">
        <v>589</v>
      </c>
      <c r="B591" s="6" t="str">
        <f>"508120230427100633142492"</f>
        <v>508120230427100633142492</v>
      </c>
      <c r="C591" s="6" t="s">
        <v>5</v>
      </c>
      <c r="D591" s="6" t="str">
        <f>"陈泰洋"</f>
        <v>陈泰洋</v>
      </c>
    </row>
    <row r="592" spans="1:4" ht="30" customHeight="1">
      <c r="A592" s="6">
        <v>590</v>
      </c>
      <c r="B592" s="6" t="str">
        <f>"508120230427104640142531"</f>
        <v>508120230427104640142531</v>
      </c>
      <c r="C592" s="6" t="s">
        <v>5</v>
      </c>
      <c r="D592" s="6" t="str">
        <f>"周环"</f>
        <v>周环</v>
      </c>
    </row>
    <row r="593" spans="1:4" ht="30" customHeight="1">
      <c r="A593" s="6">
        <v>591</v>
      </c>
      <c r="B593" s="6" t="str">
        <f>"508120230427104911142534"</f>
        <v>508120230427104911142534</v>
      </c>
      <c r="C593" s="6" t="s">
        <v>5</v>
      </c>
      <c r="D593" s="6" t="str">
        <f>"李广民"</f>
        <v>李广民</v>
      </c>
    </row>
    <row r="594" spans="1:4" ht="30" customHeight="1">
      <c r="A594" s="6">
        <v>592</v>
      </c>
      <c r="B594" s="6" t="str">
        <f>"508120230424210628141016"</f>
        <v>508120230424210628141016</v>
      </c>
      <c r="C594" s="6" t="s">
        <v>5</v>
      </c>
      <c r="D594" s="6" t="str">
        <f>"陈名秋"</f>
        <v>陈名秋</v>
      </c>
    </row>
    <row r="595" spans="1:4" ht="30" customHeight="1">
      <c r="A595" s="6">
        <v>593</v>
      </c>
      <c r="B595" s="6" t="str">
        <f>"508120230427112231142558"</f>
        <v>508120230427112231142558</v>
      </c>
      <c r="C595" s="6" t="s">
        <v>5</v>
      </c>
      <c r="D595" s="6" t="str">
        <f>"郑金花"</f>
        <v>郑金花</v>
      </c>
    </row>
    <row r="596" spans="1:4" ht="30" customHeight="1">
      <c r="A596" s="6">
        <v>594</v>
      </c>
      <c r="B596" s="6" t="str">
        <f>"508120230427111434142552"</f>
        <v>508120230427111434142552</v>
      </c>
      <c r="C596" s="6" t="s">
        <v>5</v>
      </c>
      <c r="D596" s="6" t="str">
        <f>"杨煜程"</f>
        <v>杨煜程</v>
      </c>
    </row>
    <row r="597" spans="1:4" ht="30" customHeight="1">
      <c r="A597" s="6">
        <v>595</v>
      </c>
      <c r="B597" s="6" t="str">
        <f>"508120230427095537142475"</f>
        <v>508120230427095537142475</v>
      </c>
      <c r="C597" s="6" t="s">
        <v>5</v>
      </c>
      <c r="D597" s="6" t="str">
        <f>"林蝶"</f>
        <v>林蝶</v>
      </c>
    </row>
    <row r="598" spans="1:4" ht="30" customHeight="1">
      <c r="A598" s="6">
        <v>596</v>
      </c>
      <c r="B598" s="6" t="str">
        <f>"508120230427110547142545"</f>
        <v>508120230427110547142545</v>
      </c>
      <c r="C598" s="6" t="s">
        <v>5</v>
      </c>
      <c r="D598" s="6" t="str">
        <f>"李晓东"</f>
        <v>李晓东</v>
      </c>
    </row>
    <row r="599" spans="1:4" ht="30" customHeight="1">
      <c r="A599" s="6">
        <v>597</v>
      </c>
      <c r="B599" s="6" t="str">
        <f>"508120230427091906142429"</f>
        <v>508120230427091906142429</v>
      </c>
      <c r="C599" s="6" t="s">
        <v>5</v>
      </c>
      <c r="D599" s="6" t="str">
        <f>"赵阳慧"</f>
        <v>赵阳慧</v>
      </c>
    </row>
    <row r="600" spans="1:4" ht="30" customHeight="1">
      <c r="A600" s="6">
        <v>598</v>
      </c>
      <c r="B600" s="6" t="str">
        <f>"508120230426205004142172"</f>
        <v>508120230426205004142172</v>
      </c>
      <c r="C600" s="6" t="s">
        <v>5</v>
      </c>
      <c r="D600" s="6" t="str">
        <f>"林道伟"</f>
        <v>林道伟</v>
      </c>
    </row>
    <row r="601" spans="1:4" ht="30" customHeight="1">
      <c r="A601" s="6">
        <v>599</v>
      </c>
      <c r="B601" s="6" t="str">
        <f>"508120230424190155140938"</f>
        <v>508120230424190155140938</v>
      </c>
      <c r="C601" s="6" t="s">
        <v>5</v>
      </c>
      <c r="D601" s="6" t="str">
        <f>"粟航"</f>
        <v>粟航</v>
      </c>
    </row>
    <row r="602" spans="1:4" ht="30" customHeight="1">
      <c r="A602" s="6">
        <v>600</v>
      </c>
      <c r="B602" s="6" t="str">
        <f>"508120230421090723138108"</f>
        <v>508120230421090723138108</v>
      </c>
      <c r="C602" s="6" t="s">
        <v>6</v>
      </c>
      <c r="D602" s="6" t="str">
        <f>"王佳颖"</f>
        <v>王佳颖</v>
      </c>
    </row>
    <row r="603" spans="1:4" ht="30" customHeight="1">
      <c r="A603" s="6">
        <v>601</v>
      </c>
      <c r="B603" s="6" t="str">
        <f>"508120230421090239138088"</f>
        <v>508120230421090239138088</v>
      </c>
      <c r="C603" s="6" t="s">
        <v>6</v>
      </c>
      <c r="D603" s="6" t="str">
        <f>"陈其峰"</f>
        <v>陈其峰</v>
      </c>
    </row>
    <row r="604" spans="1:4" ht="30" customHeight="1">
      <c r="A604" s="6">
        <v>602</v>
      </c>
      <c r="B604" s="6" t="str">
        <f>"508120230421092949138181"</f>
        <v>508120230421092949138181</v>
      </c>
      <c r="C604" s="6" t="s">
        <v>6</v>
      </c>
      <c r="D604" s="6" t="str">
        <f>"卢方帅"</f>
        <v>卢方帅</v>
      </c>
    </row>
    <row r="605" spans="1:4" ht="30" customHeight="1">
      <c r="A605" s="6">
        <v>603</v>
      </c>
      <c r="B605" s="6" t="str">
        <f>"508120230421091009138120"</f>
        <v>508120230421091009138120</v>
      </c>
      <c r="C605" s="6" t="s">
        <v>6</v>
      </c>
      <c r="D605" s="6" t="str">
        <f>"韦宗宏"</f>
        <v>韦宗宏</v>
      </c>
    </row>
    <row r="606" spans="1:4" ht="30" customHeight="1">
      <c r="A606" s="6">
        <v>604</v>
      </c>
      <c r="B606" s="6" t="str">
        <f>"508120230421102009138314"</f>
        <v>508120230421102009138314</v>
      </c>
      <c r="C606" s="6" t="s">
        <v>6</v>
      </c>
      <c r="D606" s="6" t="str">
        <f>"王小强"</f>
        <v>王小强</v>
      </c>
    </row>
    <row r="607" spans="1:4" ht="30" customHeight="1">
      <c r="A607" s="6">
        <v>605</v>
      </c>
      <c r="B607" s="6" t="str">
        <f>"508120230421103300138357"</f>
        <v>508120230421103300138357</v>
      </c>
      <c r="C607" s="6" t="s">
        <v>6</v>
      </c>
      <c r="D607" s="6" t="str">
        <f>"陈道兴"</f>
        <v>陈道兴</v>
      </c>
    </row>
    <row r="608" spans="1:4" ht="30" customHeight="1">
      <c r="A608" s="6">
        <v>606</v>
      </c>
      <c r="B608" s="6" t="str">
        <f>"508120230421104414138384"</f>
        <v>508120230421104414138384</v>
      </c>
      <c r="C608" s="6" t="s">
        <v>6</v>
      </c>
      <c r="D608" s="6" t="str">
        <f>"潘家利"</f>
        <v>潘家利</v>
      </c>
    </row>
    <row r="609" spans="1:4" ht="30" customHeight="1">
      <c r="A609" s="6">
        <v>607</v>
      </c>
      <c r="B609" s="6" t="str">
        <f>"508120230421102948138347"</f>
        <v>508120230421102948138347</v>
      </c>
      <c r="C609" s="6" t="s">
        <v>6</v>
      </c>
      <c r="D609" s="6" t="str">
        <f>"李定高"</f>
        <v>李定高</v>
      </c>
    </row>
    <row r="610" spans="1:4" ht="30" customHeight="1">
      <c r="A610" s="6">
        <v>608</v>
      </c>
      <c r="B610" s="6" t="str">
        <f>"508120230421104253138380"</f>
        <v>508120230421104253138380</v>
      </c>
      <c r="C610" s="6" t="s">
        <v>6</v>
      </c>
      <c r="D610" s="6" t="str">
        <f>"李能"</f>
        <v>李能</v>
      </c>
    </row>
    <row r="611" spans="1:4" ht="30" customHeight="1">
      <c r="A611" s="6">
        <v>609</v>
      </c>
      <c r="B611" s="6" t="str">
        <f>"508120230421103550138362"</f>
        <v>508120230421103550138362</v>
      </c>
      <c r="C611" s="6" t="s">
        <v>6</v>
      </c>
      <c r="D611" s="6" t="str">
        <f>"马少杰"</f>
        <v>马少杰</v>
      </c>
    </row>
    <row r="612" spans="1:4" ht="30" customHeight="1">
      <c r="A612" s="6">
        <v>610</v>
      </c>
      <c r="B612" s="6" t="str">
        <f>"508120230421100805138288"</f>
        <v>508120230421100805138288</v>
      </c>
      <c r="C612" s="6" t="s">
        <v>6</v>
      </c>
      <c r="D612" s="6" t="str">
        <f>"黎宏望"</f>
        <v>黎宏望</v>
      </c>
    </row>
    <row r="613" spans="1:4" ht="30" customHeight="1">
      <c r="A613" s="6">
        <v>611</v>
      </c>
      <c r="B613" s="6" t="str">
        <f>"508120230421095926138266"</f>
        <v>508120230421095926138266</v>
      </c>
      <c r="C613" s="6" t="s">
        <v>6</v>
      </c>
      <c r="D613" s="6" t="str">
        <f>"高克君"</f>
        <v>高克君</v>
      </c>
    </row>
    <row r="614" spans="1:4" ht="30" customHeight="1">
      <c r="A614" s="6">
        <v>612</v>
      </c>
      <c r="B614" s="6" t="str">
        <f>"508120230421112044138456"</f>
        <v>508120230421112044138456</v>
      </c>
      <c r="C614" s="6" t="s">
        <v>6</v>
      </c>
      <c r="D614" s="6" t="str">
        <f>"赵春婧"</f>
        <v>赵春婧</v>
      </c>
    </row>
    <row r="615" spans="1:4" ht="30" customHeight="1">
      <c r="A615" s="6">
        <v>613</v>
      </c>
      <c r="B615" s="6" t="str">
        <f>"508120230421112510138459"</f>
        <v>508120230421112510138459</v>
      </c>
      <c r="C615" s="6" t="s">
        <v>6</v>
      </c>
      <c r="D615" s="6" t="str">
        <f>"文周彬"</f>
        <v>文周彬</v>
      </c>
    </row>
    <row r="616" spans="1:4" ht="30" customHeight="1">
      <c r="A616" s="6">
        <v>614</v>
      </c>
      <c r="B616" s="6" t="str">
        <f>"508120230421102756138337"</f>
        <v>508120230421102756138337</v>
      </c>
      <c r="C616" s="6" t="s">
        <v>6</v>
      </c>
      <c r="D616" s="6" t="str">
        <f>"苏塬"</f>
        <v>苏塬</v>
      </c>
    </row>
    <row r="617" spans="1:4" ht="30" customHeight="1">
      <c r="A617" s="6">
        <v>615</v>
      </c>
      <c r="B617" s="6" t="str">
        <f>"508120230421121747138547"</f>
        <v>508120230421121747138547</v>
      </c>
      <c r="C617" s="6" t="s">
        <v>6</v>
      </c>
      <c r="D617" s="6" t="str">
        <f>"吴李保"</f>
        <v>吴李保</v>
      </c>
    </row>
    <row r="618" spans="1:4" ht="30" customHeight="1">
      <c r="A618" s="6">
        <v>616</v>
      </c>
      <c r="B618" s="6" t="str">
        <f>"508120230421115139138513"</f>
        <v>508120230421115139138513</v>
      </c>
      <c r="C618" s="6" t="s">
        <v>6</v>
      </c>
      <c r="D618" s="6" t="str">
        <f>"郭秀齐"</f>
        <v>郭秀齐</v>
      </c>
    </row>
    <row r="619" spans="1:4" ht="30" customHeight="1">
      <c r="A619" s="6">
        <v>617</v>
      </c>
      <c r="B619" s="6" t="str">
        <f>"508120230421112510138460"</f>
        <v>508120230421112510138460</v>
      </c>
      <c r="C619" s="6" t="s">
        <v>6</v>
      </c>
      <c r="D619" s="6" t="str">
        <f>"艾子淳"</f>
        <v>艾子淳</v>
      </c>
    </row>
    <row r="620" spans="1:4" ht="30" customHeight="1">
      <c r="A620" s="6">
        <v>618</v>
      </c>
      <c r="B620" s="6" t="str">
        <f>"508120230421092534138169"</f>
        <v>508120230421092534138169</v>
      </c>
      <c r="C620" s="6" t="s">
        <v>6</v>
      </c>
      <c r="D620" s="6" t="str">
        <f>"吴澄波"</f>
        <v>吴澄波</v>
      </c>
    </row>
    <row r="621" spans="1:4" ht="30" customHeight="1">
      <c r="A621" s="6">
        <v>619</v>
      </c>
      <c r="B621" s="6" t="str">
        <f>"508120230421125536138591"</f>
        <v>508120230421125536138591</v>
      </c>
      <c r="C621" s="6" t="s">
        <v>6</v>
      </c>
      <c r="D621" s="6" t="str">
        <f>"王健男"</f>
        <v>王健男</v>
      </c>
    </row>
    <row r="622" spans="1:4" ht="30" customHeight="1">
      <c r="A622" s="6">
        <v>620</v>
      </c>
      <c r="B622" s="6" t="str">
        <f>"508120230421122954138566"</f>
        <v>508120230421122954138566</v>
      </c>
      <c r="C622" s="6" t="s">
        <v>6</v>
      </c>
      <c r="D622" s="6" t="str">
        <f>"谢岳明"</f>
        <v>谢岳明</v>
      </c>
    </row>
    <row r="623" spans="1:4" ht="30" customHeight="1">
      <c r="A623" s="6">
        <v>621</v>
      </c>
      <c r="B623" s="6" t="str">
        <f>"508120230421131006138599"</f>
        <v>508120230421131006138599</v>
      </c>
      <c r="C623" s="6" t="s">
        <v>6</v>
      </c>
      <c r="D623" s="6" t="str">
        <f>"陈邦浪"</f>
        <v>陈邦浪</v>
      </c>
    </row>
    <row r="624" spans="1:4" ht="30" customHeight="1">
      <c r="A624" s="6">
        <v>622</v>
      </c>
      <c r="B624" s="6" t="str">
        <f>"508120230421133910138619"</f>
        <v>508120230421133910138619</v>
      </c>
      <c r="C624" s="6" t="s">
        <v>6</v>
      </c>
      <c r="D624" s="6" t="str">
        <f>"陈之岳"</f>
        <v>陈之岳</v>
      </c>
    </row>
    <row r="625" spans="1:4" ht="30" customHeight="1">
      <c r="A625" s="6">
        <v>623</v>
      </c>
      <c r="B625" s="6" t="str">
        <f>"508120230421103215138354"</f>
        <v>508120230421103215138354</v>
      </c>
      <c r="C625" s="6" t="s">
        <v>6</v>
      </c>
      <c r="D625" s="6" t="str">
        <f>"李嘉豪"</f>
        <v>李嘉豪</v>
      </c>
    </row>
    <row r="626" spans="1:4" ht="30" customHeight="1">
      <c r="A626" s="6">
        <v>624</v>
      </c>
      <c r="B626" s="6" t="str">
        <f>"508120230421114042138491"</f>
        <v>508120230421114042138491</v>
      </c>
      <c r="C626" s="6" t="s">
        <v>6</v>
      </c>
      <c r="D626" s="6" t="str">
        <f>"罗誉"</f>
        <v>罗誉</v>
      </c>
    </row>
    <row r="627" spans="1:4" ht="30" customHeight="1">
      <c r="A627" s="6">
        <v>625</v>
      </c>
      <c r="B627" s="6" t="str">
        <f>"508120230421092609138173"</f>
        <v>508120230421092609138173</v>
      </c>
      <c r="C627" s="6" t="s">
        <v>6</v>
      </c>
      <c r="D627" s="6" t="str">
        <f>"田泽镇"</f>
        <v>田泽镇</v>
      </c>
    </row>
    <row r="628" spans="1:4" ht="30" customHeight="1">
      <c r="A628" s="6">
        <v>626</v>
      </c>
      <c r="B628" s="6" t="str">
        <f>"508120230421135040138629"</f>
        <v>508120230421135040138629</v>
      </c>
      <c r="C628" s="6" t="s">
        <v>6</v>
      </c>
      <c r="D628" s="6" t="str">
        <f>"周凯"</f>
        <v>周凯</v>
      </c>
    </row>
    <row r="629" spans="1:4" ht="30" customHeight="1">
      <c r="A629" s="6">
        <v>627</v>
      </c>
      <c r="B629" s="6" t="str">
        <f>"508120230421120112138528"</f>
        <v>508120230421120112138528</v>
      </c>
      <c r="C629" s="6" t="s">
        <v>6</v>
      </c>
      <c r="D629" s="6" t="str">
        <f>"周仲海"</f>
        <v>周仲海</v>
      </c>
    </row>
    <row r="630" spans="1:4" ht="30" customHeight="1">
      <c r="A630" s="6">
        <v>628</v>
      </c>
      <c r="B630" s="6" t="str">
        <f>"508120230421090105138081"</f>
        <v>508120230421090105138081</v>
      </c>
      <c r="C630" s="6" t="s">
        <v>6</v>
      </c>
      <c r="D630" s="6" t="str">
        <f>"王陛群"</f>
        <v>王陛群</v>
      </c>
    </row>
    <row r="631" spans="1:4" ht="30" customHeight="1">
      <c r="A631" s="6">
        <v>629</v>
      </c>
      <c r="B631" s="6" t="str">
        <f>"508120230421142034138653"</f>
        <v>508120230421142034138653</v>
      </c>
      <c r="C631" s="6" t="s">
        <v>6</v>
      </c>
      <c r="D631" s="6" t="str">
        <f>"降福东"</f>
        <v>降福东</v>
      </c>
    </row>
    <row r="632" spans="1:4" ht="30" customHeight="1">
      <c r="A632" s="6">
        <v>630</v>
      </c>
      <c r="B632" s="6" t="str">
        <f>"508120230421122220138556"</f>
        <v>508120230421122220138556</v>
      </c>
      <c r="C632" s="6" t="s">
        <v>6</v>
      </c>
      <c r="D632" s="6" t="str">
        <f>"王刚"</f>
        <v>王刚</v>
      </c>
    </row>
    <row r="633" spans="1:4" ht="30" customHeight="1">
      <c r="A633" s="6">
        <v>631</v>
      </c>
      <c r="B633" s="6" t="str">
        <f>"508120230421111410138442"</f>
        <v>508120230421111410138442</v>
      </c>
      <c r="C633" s="6" t="s">
        <v>6</v>
      </c>
      <c r="D633" s="6" t="str">
        <f>"曾祥玮"</f>
        <v>曾祥玮</v>
      </c>
    </row>
    <row r="634" spans="1:4" ht="30" customHeight="1">
      <c r="A634" s="6">
        <v>632</v>
      </c>
      <c r="B634" s="6" t="str">
        <f>"508120230421144201138678"</f>
        <v>508120230421144201138678</v>
      </c>
      <c r="C634" s="6" t="s">
        <v>6</v>
      </c>
      <c r="D634" s="6" t="str">
        <f>"岑选明"</f>
        <v>岑选明</v>
      </c>
    </row>
    <row r="635" spans="1:4" ht="30" customHeight="1">
      <c r="A635" s="6">
        <v>633</v>
      </c>
      <c r="B635" s="6" t="str">
        <f>"508120230421102016138315"</f>
        <v>508120230421102016138315</v>
      </c>
      <c r="C635" s="6" t="s">
        <v>6</v>
      </c>
      <c r="D635" s="6" t="str">
        <f>"李琦"</f>
        <v>李琦</v>
      </c>
    </row>
    <row r="636" spans="1:4" ht="30" customHeight="1">
      <c r="A636" s="6">
        <v>634</v>
      </c>
      <c r="B636" s="6" t="str">
        <f>"508120230421115037138510"</f>
        <v>508120230421115037138510</v>
      </c>
      <c r="C636" s="6" t="s">
        <v>6</v>
      </c>
      <c r="D636" s="6" t="str">
        <f>"郑星"</f>
        <v>郑星</v>
      </c>
    </row>
    <row r="637" spans="1:4" ht="30" customHeight="1">
      <c r="A637" s="6">
        <v>635</v>
      </c>
      <c r="B637" s="6" t="str">
        <f>"508120230421153740138774"</f>
        <v>508120230421153740138774</v>
      </c>
      <c r="C637" s="6" t="s">
        <v>6</v>
      </c>
      <c r="D637" s="6" t="str">
        <f>"邱明师"</f>
        <v>邱明师</v>
      </c>
    </row>
    <row r="638" spans="1:4" ht="30" customHeight="1">
      <c r="A638" s="6">
        <v>636</v>
      </c>
      <c r="B638" s="6" t="str">
        <f>"508120230421161637138834"</f>
        <v>508120230421161637138834</v>
      </c>
      <c r="C638" s="6" t="s">
        <v>6</v>
      </c>
      <c r="D638" s="6" t="str">
        <f>"张乐经"</f>
        <v>张乐经</v>
      </c>
    </row>
    <row r="639" spans="1:4" ht="30" customHeight="1">
      <c r="A639" s="6">
        <v>637</v>
      </c>
      <c r="B639" s="6" t="str">
        <f>"508120230421115233138515"</f>
        <v>508120230421115233138515</v>
      </c>
      <c r="C639" s="6" t="s">
        <v>6</v>
      </c>
      <c r="D639" s="6" t="str">
        <f>"孔繁华"</f>
        <v>孔繁华</v>
      </c>
    </row>
    <row r="640" spans="1:4" ht="30" customHeight="1">
      <c r="A640" s="6">
        <v>638</v>
      </c>
      <c r="B640" s="6" t="str">
        <f>"508120230421091025138121"</f>
        <v>508120230421091025138121</v>
      </c>
      <c r="C640" s="6" t="s">
        <v>6</v>
      </c>
      <c r="D640" s="6" t="str">
        <f>"吴英旭"</f>
        <v>吴英旭</v>
      </c>
    </row>
    <row r="641" spans="1:4" ht="30" customHeight="1">
      <c r="A641" s="6">
        <v>639</v>
      </c>
      <c r="B641" s="6" t="str">
        <f>"508120230421171336138904"</f>
        <v>508120230421171336138904</v>
      </c>
      <c r="C641" s="6" t="s">
        <v>6</v>
      </c>
      <c r="D641" s="6" t="str">
        <f>"薛蔚芳"</f>
        <v>薛蔚芳</v>
      </c>
    </row>
    <row r="642" spans="1:4" ht="30" customHeight="1">
      <c r="A642" s="6">
        <v>640</v>
      </c>
      <c r="B642" s="6" t="str">
        <f>"508120230421181931138967"</f>
        <v>508120230421181931138967</v>
      </c>
      <c r="C642" s="6" t="s">
        <v>6</v>
      </c>
      <c r="D642" s="6" t="str">
        <f>"陈小良"</f>
        <v>陈小良</v>
      </c>
    </row>
    <row r="643" spans="1:4" ht="30" customHeight="1">
      <c r="A643" s="6">
        <v>641</v>
      </c>
      <c r="B643" s="6" t="str">
        <f>"508120230421160715138819"</f>
        <v>508120230421160715138819</v>
      </c>
      <c r="C643" s="6" t="s">
        <v>6</v>
      </c>
      <c r="D643" s="6" t="str">
        <f>"梁程杰"</f>
        <v>梁程杰</v>
      </c>
    </row>
    <row r="644" spans="1:4" ht="30" customHeight="1">
      <c r="A644" s="6">
        <v>642</v>
      </c>
      <c r="B644" s="6" t="str">
        <f>"508120230421184751138990"</f>
        <v>508120230421184751138990</v>
      </c>
      <c r="C644" s="6" t="s">
        <v>6</v>
      </c>
      <c r="D644" s="6" t="str">
        <f>"符宸硕"</f>
        <v>符宸硕</v>
      </c>
    </row>
    <row r="645" spans="1:4" ht="30" customHeight="1">
      <c r="A645" s="6">
        <v>643</v>
      </c>
      <c r="B645" s="6" t="str">
        <f>"508120230421181422138961"</f>
        <v>508120230421181422138961</v>
      </c>
      <c r="C645" s="6" t="s">
        <v>6</v>
      </c>
      <c r="D645" s="6" t="str">
        <f>"何启民"</f>
        <v>何启民</v>
      </c>
    </row>
    <row r="646" spans="1:4" ht="30" customHeight="1">
      <c r="A646" s="6">
        <v>644</v>
      </c>
      <c r="B646" s="6" t="str">
        <f>"508120230421094404138225"</f>
        <v>508120230421094404138225</v>
      </c>
      <c r="C646" s="6" t="s">
        <v>6</v>
      </c>
      <c r="D646" s="6" t="str">
        <f>"吴清科"</f>
        <v>吴清科</v>
      </c>
    </row>
    <row r="647" spans="1:4" ht="30" customHeight="1">
      <c r="A647" s="6">
        <v>645</v>
      </c>
      <c r="B647" s="6" t="str">
        <f>"508120230421122034138552"</f>
        <v>508120230421122034138552</v>
      </c>
      <c r="C647" s="6" t="s">
        <v>6</v>
      </c>
      <c r="D647" s="6" t="str">
        <f>"刘广毅"</f>
        <v>刘广毅</v>
      </c>
    </row>
    <row r="648" spans="1:4" ht="30" customHeight="1">
      <c r="A648" s="6">
        <v>646</v>
      </c>
      <c r="B648" s="6" t="str">
        <f>"508120230421185341138994"</f>
        <v>508120230421185341138994</v>
      </c>
      <c r="C648" s="6" t="s">
        <v>6</v>
      </c>
      <c r="D648" s="6" t="str">
        <f>"王壮兴"</f>
        <v>王壮兴</v>
      </c>
    </row>
    <row r="649" spans="1:4" ht="30" customHeight="1">
      <c r="A649" s="6">
        <v>647</v>
      </c>
      <c r="B649" s="6" t="str">
        <f>"508120230421194326139021"</f>
        <v>508120230421194326139021</v>
      </c>
      <c r="C649" s="6" t="s">
        <v>6</v>
      </c>
      <c r="D649" s="6" t="str">
        <f>"卢伟"</f>
        <v>卢伟</v>
      </c>
    </row>
    <row r="650" spans="1:4" ht="30" customHeight="1">
      <c r="A650" s="6">
        <v>648</v>
      </c>
      <c r="B650" s="6" t="str">
        <f>"508120230421201628139042"</f>
        <v>508120230421201628139042</v>
      </c>
      <c r="C650" s="6" t="s">
        <v>6</v>
      </c>
      <c r="D650" s="6" t="str">
        <f>"李子薇"</f>
        <v>李子薇</v>
      </c>
    </row>
    <row r="651" spans="1:4" ht="30" customHeight="1">
      <c r="A651" s="6">
        <v>649</v>
      </c>
      <c r="B651" s="6" t="str">
        <f>"508120230421192014139008"</f>
        <v>508120230421192014139008</v>
      </c>
      <c r="C651" s="6" t="s">
        <v>6</v>
      </c>
      <c r="D651" s="6" t="str">
        <f>"陈贤周"</f>
        <v>陈贤周</v>
      </c>
    </row>
    <row r="652" spans="1:4" ht="30" customHeight="1">
      <c r="A652" s="6">
        <v>650</v>
      </c>
      <c r="B652" s="6" t="str">
        <f>"508120230421203528139056"</f>
        <v>508120230421203528139056</v>
      </c>
      <c r="C652" s="6" t="s">
        <v>6</v>
      </c>
      <c r="D652" s="6" t="str">
        <f>"黄佳敏"</f>
        <v>黄佳敏</v>
      </c>
    </row>
    <row r="653" spans="1:4" ht="30" customHeight="1">
      <c r="A653" s="6">
        <v>651</v>
      </c>
      <c r="B653" s="6" t="str">
        <f>"508120230421211620139075"</f>
        <v>508120230421211620139075</v>
      </c>
      <c r="C653" s="6" t="s">
        <v>6</v>
      </c>
      <c r="D653" s="6" t="str">
        <f>"王小勇"</f>
        <v>王小勇</v>
      </c>
    </row>
    <row r="654" spans="1:4" ht="30" customHeight="1">
      <c r="A654" s="6">
        <v>652</v>
      </c>
      <c r="B654" s="6" t="str">
        <f>"508120230421201811139044"</f>
        <v>508120230421201811139044</v>
      </c>
      <c r="C654" s="6" t="s">
        <v>6</v>
      </c>
      <c r="D654" s="6" t="str">
        <f>"罗成奎"</f>
        <v>罗成奎</v>
      </c>
    </row>
    <row r="655" spans="1:4" ht="30" customHeight="1">
      <c r="A655" s="6">
        <v>653</v>
      </c>
      <c r="B655" s="6" t="str">
        <f>"508120230421210339139070"</f>
        <v>508120230421210339139070</v>
      </c>
      <c r="C655" s="6" t="s">
        <v>6</v>
      </c>
      <c r="D655" s="6" t="str">
        <f>"林先照"</f>
        <v>林先照</v>
      </c>
    </row>
    <row r="656" spans="1:4" ht="30" customHeight="1">
      <c r="A656" s="6">
        <v>654</v>
      </c>
      <c r="B656" s="6" t="str">
        <f>"508120230421165224138878"</f>
        <v>508120230421165224138878</v>
      </c>
      <c r="C656" s="6" t="s">
        <v>6</v>
      </c>
      <c r="D656" s="6" t="str">
        <f>"林洗鹏"</f>
        <v>林洗鹏</v>
      </c>
    </row>
    <row r="657" spans="1:4" ht="30" customHeight="1">
      <c r="A657" s="6">
        <v>655</v>
      </c>
      <c r="B657" s="6" t="str">
        <f>"508120230421145730138701"</f>
        <v>508120230421145730138701</v>
      </c>
      <c r="C657" s="6" t="s">
        <v>6</v>
      </c>
      <c r="D657" s="6" t="str">
        <f>"韦韬"</f>
        <v>韦韬</v>
      </c>
    </row>
    <row r="658" spans="1:4" ht="30" customHeight="1">
      <c r="A658" s="6">
        <v>656</v>
      </c>
      <c r="B658" s="6" t="str">
        <f>"508120230421151758138738"</f>
        <v>508120230421151758138738</v>
      </c>
      <c r="C658" s="6" t="s">
        <v>6</v>
      </c>
      <c r="D658" s="6" t="str">
        <f>"周争珂"</f>
        <v>周争珂</v>
      </c>
    </row>
    <row r="659" spans="1:4" ht="30" customHeight="1">
      <c r="A659" s="6">
        <v>657</v>
      </c>
      <c r="B659" s="6" t="str">
        <f>"508120230421202300139046"</f>
        <v>508120230421202300139046</v>
      </c>
      <c r="C659" s="6" t="s">
        <v>6</v>
      </c>
      <c r="D659" s="6" t="str">
        <f>"林方匡"</f>
        <v>林方匡</v>
      </c>
    </row>
    <row r="660" spans="1:4" ht="30" customHeight="1">
      <c r="A660" s="6">
        <v>658</v>
      </c>
      <c r="B660" s="6" t="str">
        <f>"508120230421215634139091"</f>
        <v>508120230421215634139091</v>
      </c>
      <c r="C660" s="6" t="s">
        <v>6</v>
      </c>
      <c r="D660" s="6" t="str">
        <f>"黄键"</f>
        <v>黄键</v>
      </c>
    </row>
    <row r="661" spans="1:4" ht="30" customHeight="1">
      <c r="A661" s="6">
        <v>659</v>
      </c>
      <c r="B661" s="6" t="str">
        <f>"508120230421222644139110"</f>
        <v>508120230421222644139110</v>
      </c>
      <c r="C661" s="6" t="s">
        <v>6</v>
      </c>
      <c r="D661" s="6" t="str">
        <f>"王乙润"</f>
        <v>王乙润</v>
      </c>
    </row>
    <row r="662" spans="1:4" ht="30" customHeight="1">
      <c r="A662" s="6">
        <v>660</v>
      </c>
      <c r="B662" s="6" t="str">
        <f>"508120230421230203139124"</f>
        <v>508120230421230203139124</v>
      </c>
      <c r="C662" s="6" t="s">
        <v>6</v>
      </c>
      <c r="D662" s="6" t="str">
        <f>"卢悦生"</f>
        <v>卢悦生</v>
      </c>
    </row>
    <row r="663" spans="1:4" ht="30" customHeight="1">
      <c r="A663" s="6">
        <v>661</v>
      </c>
      <c r="B663" s="6" t="str">
        <f>"508120230421223454139115"</f>
        <v>508120230421223454139115</v>
      </c>
      <c r="C663" s="6" t="s">
        <v>6</v>
      </c>
      <c r="D663" s="6" t="str">
        <f>"赵仲多"</f>
        <v>赵仲多</v>
      </c>
    </row>
    <row r="664" spans="1:4" ht="30" customHeight="1">
      <c r="A664" s="6">
        <v>662</v>
      </c>
      <c r="B664" s="6" t="str">
        <f>"508120230421230147139123"</f>
        <v>508120230421230147139123</v>
      </c>
      <c r="C664" s="6" t="s">
        <v>6</v>
      </c>
      <c r="D664" s="6" t="str">
        <f>"郭淼"</f>
        <v>郭淼</v>
      </c>
    </row>
    <row r="665" spans="1:4" ht="30" customHeight="1">
      <c r="A665" s="6">
        <v>663</v>
      </c>
      <c r="B665" s="6" t="str">
        <f>"508120230421090442138099"</f>
        <v>508120230421090442138099</v>
      </c>
      <c r="C665" s="6" t="s">
        <v>6</v>
      </c>
      <c r="D665" s="6" t="str">
        <f>"张娴"</f>
        <v>张娴</v>
      </c>
    </row>
    <row r="666" spans="1:4" ht="30" customHeight="1">
      <c r="A666" s="6">
        <v>664</v>
      </c>
      <c r="B666" s="6" t="str">
        <f>"508120230421235530139138"</f>
        <v>508120230421235530139138</v>
      </c>
      <c r="C666" s="6" t="s">
        <v>6</v>
      </c>
      <c r="D666" s="6" t="str">
        <f>"李实壮"</f>
        <v>李实壮</v>
      </c>
    </row>
    <row r="667" spans="1:4" ht="30" customHeight="1">
      <c r="A667" s="6">
        <v>665</v>
      </c>
      <c r="B667" s="6" t="str">
        <f>"508120230422050315139159"</f>
        <v>508120230422050315139159</v>
      </c>
      <c r="C667" s="6" t="s">
        <v>6</v>
      </c>
      <c r="D667" s="6" t="str">
        <f>"蔡飞"</f>
        <v>蔡飞</v>
      </c>
    </row>
    <row r="668" spans="1:4" ht="30" customHeight="1">
      <c r="A668" s="6">
        <v>666</v>
      </c>
      <c r="B668" s="6" t="str">
        <f>"508120230422093959139194"</f>
        <v>508120230422093959139194</v>
      </c>
      <c r="C668" s="6" t="s">
        <v>6</v>
      </c>
      <c r="D668" s="6" t="str">
        <f>"李仲卿"</f>
        <v>李仲卿</v>
      </c>
    </row>
    <row r="669" spans="1:4" ht="30" customHeight="1">
      <c r="A669" s="6">
        <v>667</v>
      </c>
      <c r="B669" s="6" t="str">
        <f>"508120230421101805138309"</f>
        <v>508120230421101805138309</v>
      </c>
      <c r="C669" s="6" t="s">
        <v>6</v>
      </c>
      <c r="D669" s="6" t="str">
        <f>"陈居宁"</f>
        <v>陈居宁</v>
      </c>
    </row>
    <row r="670" spans="1:4" ht="30" customHeight="1">
      <c r="A670" s="6">
        <v>668</v>
      </c>
      <c r="B670" s="6" t="str">
        <f>"508120230421203016139052"</f>
        <v>508120230421203016139052</v>
      </c>
      <c r="C670" s="6" t="s">
        <v>6</v>
      </c>
      <c r="D670" s="6" t="str">
        <f>"王竹彬"</f>
        <v>王竹彬</v>
      </c>
    </row>
    <row r="671" spans="1:4" ht="30" customHeight="1">
      <c r="A671" s="6">
        <v>669</v>
      </c>
      <c r="B671" s="6" t="str">
        <f>"508120230422113744139267"</f>
        <v>508120230422113744139267</v>
      </c>
      <c r="C671" s="6" t="s">
        <v>6</v>
      </c>
      <c r="D671" s="6" t="str">
        <f>"张诗裕"</f>
        <v>张诗裕</v>
      </c>
    </row>
    <row r="672" spans="1:4" ht="30" customHeight="1">
      <c r="A672" s="6">
        <v>670</v>
      </c>
      <c r="B672" s="6" t="str">
        <f>"508120230422140547139352"</f>
        <v>508120230422140547139352</v>
      </c>
      <c r="C672" s="6" t="s">
        <v>6</v>
      </c>
      <c r="D672" s="6" t="str">
        <f>"陈益鹏"</f>
        <v>陈益鹏</v>
      </c>
    </row>
    <row r="673" spans="1:4" ht="30" customHeight="1">
      <c r="A673" s="6">
        <v>671</v>
      </c>
      <c r="B673" s="6" t="str">
        <f>"508120230422144437139363"</f>
        <v>508120230422144437139363</v>
      </c>
      <c r="C673" s="6" t="s">
        <v>6</v>
      </c>
      <c r="D673" s="6" t="str">
        <f>"王少妮"</f>
        <v>王少妮</v>
      </c>
    </row>
    <row r="674" spans="1:4" ht="30" customHeight="1">
      <c r="A674" s="6">
        <v>672</v>
      </c>
      <c r="B674" s="6" t="str">
        <f>"508120230422154854139395"</f>
        <v>508120230422154854139395</v>
      </c>
      <c r="C674" s="6" t="s">
        <v>6</v>
      </c>
      <c r="D674" s="6" t="str">
        <f>"曾凡亮"</f>
        <v>曾凡亮</v>
      </c>
    </row>
    <row r="675" spans="1:4" ht="30" customHeight="1">
      <c r="A675" s="6">
        <v>673</v>
      </c>
      <c r="B675" s="6" t="str">
        <f>"508120230421094837138233"</f>
        <v>508120230421094837138233</v>
      </c>
      <c r="C675" s="6" t="s">
        <v>6</v>
      </c>
      <c r="D675" s="6" t="str">
        <f>"王永达"</f>
        <v>王永达</v>
      </c>
    </row>
    <row r="676" spans="1:4" ht="30" customHeight="1">
      <c r="A676" s="6">
        <v>674</v>
      </c>
      <c r="B676" s="6" t="str">
        <f>"508120230422164755139420"</f>
        <v>508120230422164755139420</v>
      </c>
      <c r="C676" s="6" t="s">
        <v>6</v>
      </c>
      <c r="D676" s="6" t="str">
        <f>"黎岳恒"</f>
        <v>黎岳恒</v>
      </c>
    </row>
    <row r="677" spans="1:4" ht="30" customHeight="1">
      <c r="A677" s="6">
        <v>675</v>
      </c>
      <c r="B677" s="6" t="str">
        <f>"508120230422173231139448"</f>
        <v>508120230422173231139448</v>
      </c>
      <c r="C677" s="6" t="s">
        <v>6</v>
      </c>
      <c r="D677" s="6" t="str">
        <f>"曾文波"</f>
        <v>曾文波</v>
      </c>
    </row>
    <row r="678" spans="1:4" ht="30" customHeight="1">
      <c r="A678" s="6">
        <v>676</v>
      </c>
      <c r="B678" s="6" t="str">
        <f>"508120230422165723139426"</f>
        <v>508120230422165723139426</v>
      </c>
      <c r="C678" s="6" t="s">
        <v>6</v>
      </c>
      <c r="D678" s="6" t="str">
        <f>"郑同政"</f>
        <v>郑同政</v>
      </c>
    </row>
    <row r="679" spans="1:4" ht="30" customHeight="1">
      <c r="A679" s="6">
        <v>677</v>
      </c>
      <c r="B679" s="6" t="str">
        <f>"508120230422164603139419"</f>
        <v>508120230422164603139419</v>
      </c>
      <c r="C679" s="6" t="s">
        <v>6</v>
      </c>
      <c r="D679" s="6" t="str">
        <f>"唐觉雄"</f>
        <v>唐觉雄</v>
      </c>
    </row>
    <row r="680" spans="1:4" ht="30" customHeight="1">
      <c r="A680" s="6">
        <v>678</v>
      </c>
      <c r="B680" s="6" t="str">
        <f>"508120230422172132139439"</f>
        <v>508120230422172132139439</v>
      </c>
      <c r="C680" s="6" t="s">
        <v>6</v>
      </c>
      <c r="D680" s="6" t="str">
        <f>"邓欣婕"</f>
        <v>邓欣婕</v>
      </c>
    </row>
    <row r="681" spans="1:4" ht="30" customHeight="1">
      <c r="A681" s="6">
        <v>679</v>
      </c>
      <c r="B681" s="6" t="str">
        <f>"508120230422172853139445"</f>
        <v>508120230422172853139445</v>
      </c>
      <c r="C681" s="6" t="s">
        <v>6</v>
      </c>
      <c r="D681" s="6" t="str">
        <f>"王振达"</f>
        <v>王振达</v>
      </c>
    </row>
    <row r="682" spans="1:4" ht="30" customHeight="1">
      <c r="A682" s="6">
        <v>680</v>
      </c>
      <c r="B682" s="6" t="str">
        <f>"508120230422125443139322"</f>
        <v>508120230422125443139322</v>
      </c>
      <c r="C682" s="6" t="s">
        <v>6</v>
      </c>
      <c r="D682" s="6" t="str">
        <f>"梁其津"</f>
        <v>梁其津</v>
      </c>
    </row>
    <row r="683" spans="1:4" ht="30" customHeight="1">
      <c r="A683" s="6">
        <v>681</v>
      </c>
      <c r="B683" s="6" t="str">
        <f>"508120230422191308139497"</f>
        <v>508120230422191308139497</v>
      </c>
      <c r="C683" s="6" t="s">
        <v>6</v>
      </c>
      <c r="D683" s="6" t="str">
        <f>"黄声"</f>
        <v>黄声</v>
      </c>
    </row>
    <row r="684" spans="1:4" ht="30" customHeight="1">
      <c r="A684" s="6">
        <v>682</v>
      </c>
      <c r="B684" s="6" t="str">
        <f>"508120230421124923138587"</f>
        <v>508120230421124923138587</v>
      </c>
      <c r="C684" s="6" t="s">
        <v>6</v>
      </c>
      <c r="D684" s="6" t="str">
        <f>"王尤乐"</f>
        <v>王尤乐</v>
      </c>
    </row>
    <row r="685" spans="1:4" ht="30" customHeight="1">
      <c r="A685" s="6">
        <v>683</v>
      </c>
      <c r="B685" s="6" t="str">
        <f>"508120230421200656139037"</f>
        <v>508120230421200656139037</v>
      </c>
      <c r="C685" s="6" t="s">
        <v>6</v>
      </c>
      <c r="D685" s="6" t="str">
        <f>"谢于松"</f>
        <v>谢于松</v>
      </c>
    </row>
    <row r="686" spans="1:4" ht="30" customHeight="1">
      <c r="A686" s="6">
        <v>684</v>
      </c>
      <c r="B686" s="6" t="str">
        <f>"508120230421154352138783"</f>
        <v>508120230421154352138783</v>
      </c>
      <c r="C686" s="6" t="s">
        <v>6</v>
      </c>
      <c r="D686" s="6" t="str">
        <f>"陈德隆"</f>
        <v>陈德隆</v>
      </c>
    </row>
    <row r="687" spans="1:4" ht="30" customHeight="1">
      <c r="A687" s="6">
        <v>685</v>
      </c>
      <c r="B687" s="6" t="str">
        <f>"508120230421154910138790"</f>
        <v>508120230421154910138790</v>
      </c>
      <c r="C687" s="6" t="s">
        <v>6</v>
      </c>
      <c r="D687" s="6" t="str">
        <f>"王仁巨"</f>
        <v>王仁巨</v>
      </c>
    </row>
    <row r="688" spans="1:4" ht="30" customHeight="1">
      <c r="A688" s="6">
        <v>686</v>
      </c>
      <c r="B688" s="6" t="str">
        <f>"508120230422202953139547"</f>
        <v>508120230422202953139547</v>
      </c>
      <c r="C688" s="6" t="s">
        <v>6</v>
      </c>
      <c r="D688" s="6" t="str">
        <f>"陈上丰"</f>
        <v>陈上丰</v>
      </c>
    </row>
    <row r="689" spans="1:4" ht="30" customHeight="1">
      <c r="A689" s="6">
        <v>687</v>
      </c>
      <c r="B689" s="6" t="str">
        <f>"508120230422150857139373"</f>
        <v>508120230422150857139373</v>
      </c>
      <c r="C689" s="6" t="s">
        <v>6</v>
      </c>
      <c r="D689" s="6" t="str">
        <f>"陈威"</f>
        <v>陈威</v>
      </c>
    </row>
    <row r="690" spans="1:4" ht="30" customHeight="1">
      <c r="A690" s="6">
        <v>688</v>
      </c>
      <c r="B690" s="6" t="str">
        <f>"508120230422122741139297"</f>
        <v>508120230422122741139297</v>
      </c>
      <c r="C690" s="6" t="s">
        <v>6</v>
      </c>
      <c r="D690" s="6" t="str">
        <f>"陈龙"</f>
        <v>陈龙</v>
      </c>
    </row>
    <row r="691" spans="1:4" ht="30" customHeight="1">
      <c r="A691" s="6">
        <v>689</v>
      </c>
      <c r="B691" s="6" t="str">
        <f>"508120230422211942139585"</f>
        <v>508120230422211942139585</v>
      </c>
      <c r="C691" s="6" t="s">
        <v>6</v>
      </c>
      <c r="D691" s="6" t="str">
        <f>"黄钊权"</f>
        <v>黄钊权</v>
      </c>
    </row>
    <row r="692" spans="1:4" ht="30" customHeight="1">
      <c r="A692" s="6">
        <v>690</v>
      </c>
      <c r="B692" s="6" t="str">
        <f>"508120230422205755139574"</f>
        <v>508120230422205755139574</v>
      </c>
      <c r="C692" s="6" t="s">
        <v>6</v>
      </c>
      <c r="D692" s="6" t="str">
        <f>"吴忠森"</f>
        <v>吴忠森</v>
      </c>
    </row>
    <row r="693" spans="1:4" ht="30" customHeight="1">
      <c r="A693" s="6">
        <v>691</v>
      </c>
      <c r="B693" s="6" t="str">
        <f>"508120230422212218139587"</f>
        <v>508120230422212218139587</v>
      </c>
      <c r="C693" s="6" t="s">
        <v>6</v>
      </c>
      <c r="D693" s="6" t="str">
        <f>"邓剑华"</f>
        <v>邓剑华</v>
      </c>
    </row>
    <row r="694" spans="1:4" ht="30" customHeight="1">
      <c r="A694" s="6">
        <v>692</v>
      </c>
      <c r="B694" s="6" t="str">
        <f>"508120230421211847139077"</f>
        <v>508120230421211847139077</v>
      </c>
      <c r="C694" s="6" t="s">
        <v>6</v>
      </c>
      <c r="D694" s="6" t="str">
        <f>"符金海"</f>
        <v>符金海</v>
      </c>
    </row>
    <row r="695" spans="1:4" ht="30" customHeight="1">
      <c r="A695" s="6">
        <v>693</v>
      </c>
      <c r="B695" s="6" t="str">
        <f>"508120230422230438139651"</f>
        <v>508120230422230438139651</v>
      </c>
      <c r="C695" s="6" t="s">
        <v>6</v>
      </c>
      <c r="D695" s="6" t="str">
        <f>"丁群"</f>
        <v>丁群</v>
      </c>
    </row>
    <row r="696" spans="1:4" ht="30" customHeight="1">
      <c r="A696" s="6">
        <v>694</v>
      </c>
      <c r="B696" s="6" t="str">
        <f>"508120230422232133139664"</f>
        <v>508120230422232133139664</v>
      </c>
      <c r="C696" s="6" t="s">
        <v>6</v>
      </c>
      <c r="D696" s="6" t="str">
        <f>"许治照"</f>
        <v>许治照</v>
      </c>
    </row>
    <row r="697" spans="1:4" ht="30" customHeight="1">
      <c r="A697" s="6">
        <v>695</v>
      </c>
      <c r="B697" s="6" t="str">
        <f>"508120230422053625139160"</f>
        <v>508120230422053625139160</v>
      </c>
      <c r="C697" s="6" t="s">
        <v>6</v>
      </c>
      <c r="D697" s="6" t="str">
        <f>"黄大彪"</f>
        <v>黄大彪</v>
      </c>
    </row>
    <row r="698" spans="1:4" ht="30" customHeight="1">
      <c r="A698" s="6">
        <v>696</v>
      </c>
      <c r="B698" s="6" t="str">
        <f>"508120230422234008139672"</f>
        <v>508120230422234008139672</v>
      </c>
      <c r="C698" s="6" t="s">
        <v>6</v>
      </c>
      <c r="D698" s="6" t="str">
        <f>"曾智鹏"</f>
        <v>曾智鹏</v>
      </c>
    </row>
    <row r="699" spans="1:4" ht="30" customHeight="1">
      <c r="A699" s="6">
        <v>697</v>
      </c>
      <c r="B699" s="6" t="str">
        <f>"508120230422234802139674"</f>
        <v>508120230422234802139674</v>
      </c>
      <c r="C699" s="6" t="s">
        <v>6</v>
      </c>
      <c r="D699" s="6" t="str">
        <f>"梁翔"</f>
        <v>梁翔</v>
      </c>
    </row>
    <row r="700" spans="1:4" ht="30" customHeight="1">
      <c r="A700" s="6">
        <v>698</v>
      </c>
      <c r="B700" s="6" t="str">
        <f>"508120230422235906139678"</f>
        <v>508120230422235906139678</v>
      </c>
      <c r="C700" s="6" t="s">
        <v>6</v>
      </c>
      <c r="D700" s="6" t="str">
        <f>"王川铸"</f>
        <v>王川铸</v>
      </c>
    </row>
    <row r="701" spans="1:4" ht="30" customHeight="1">
      <c r="A701" s="6">
        <v>699</v>
      </c>
      <c r="B701" s="6" t="str">
        <f>"508120230422221311139620"</f>
        <v>508120230422221311139620</v>
      </c>
      <c r="C701" s="6" t="s">
        <v>6</v>
      </c>
      <c r="D701" s="6" t="str">
        <f>"洪少东"</f>
        <v>洪少东</v>
      </c>
    </row>
    <row r="702" spans="1:4" ht="30" customHeight="1">
      <c r="A702" s="6">
        <v>700</v>
      </c>
      <c r="B702" s="6" t="str">
        <f>"508120230423093559139774"</f>
        <v>508120230423093559139774</v>
      </c>
      <c r="C702" s="6" t="s">
        <v>6</v>
      </c>
      <c r="D702" s="6" t="str">
        <f>"王金成"</f>
        <v>王金成</v>
      </c>
    </row>
    <row r="703" spans="1:4" ht="30" customHeight="1">
      <c r="A703" s="6">
        <v>701</v>
      </c>
      <c r="B703" s="6" t="str">
        <f>"508120230422190920139495"</f>
        <v>508120230422190920139495</v>
      </c>
      <c r="C703" s="6" t="s">
        <v>6</v>
      </c>
      <c r="D703" s="6" t="str">
        <f>"陈洁"</f>
        <v>陈洁</v>
      </c>
    </row>
    <row r="704" spans="1:4" ht="30" customHeight="1">
      <c r="A704" s="6">
        <v>702</v>
      </c>
      <c r="B704" s="6" t="str">
        <f>"508120230423094420139788"</f>
        <v>508120230423094420139788</v>
      </c>
      <c r="C704" s="6" t="s">
        <v>6</v>
      </c>
      <c r="D704" s="6" t="str">
        <f>"陈文垂"</f>
        <v>陈文垂</v>
      </c>
    </row>
    <row r="705" spans="1:4" ht="30" customHeight="1">
      <c r="A705" s="6">
        <v>703</v>
      </c>
      <c r="B705" s="6" t="str">
        <f>"508120230422112745139256"</f>
        <v>508120230422112745139256</v>
      </c>
      <c r="C705" s="6" t="s">
        <v>6</v>
      </c>
      <c r="D705" s="6" t="str">
        <f>"李源诗"</f>
        <v>李源诗</v>
      </c>
    </row>
    <row r="706" spans="1:4" ht="30" customHeight="1">
      <c r="A706" s="6">
        <v>704</v>
      </c>
      <c r="B706" s="6" t="str">
        <f>"508120230423084652139715"</f>
        <v>508120230423084652139715</v>
      </c>
      <c r="C706" s="6" t="s">
        <v>6</v>
      </c>
      <c r="D706" s="6" t="str">
        <f>"王敏南"</f>
        <v>王敏南</v>
      </c>
    </row>
    <row r="707" spans="1:4" ht="30" customHeight="1">
      <c r="A707" s="6">
        <v>705</v>
      </c>
      <c r="B707" s="6" t="str">
        <f>"508120230421092403138165"</f>
        <v>508120230421092403138165</v>
      </c>
      <c r="C707" s="6" t="s">
        <v>6</v>
      </c>
      <c r="D707" s="6" t="str">
        <f>"许治孝"</f>
        <v>许治孝</v>
      </c>
    </row>
    <row r="708" spans="1:4" ht="30" customHeight="1">
      <c r="A708" s="6">
        <v>706</v>
      </c>
      <c r="B708" s="6" t="str">
        <f>"508120230421182910138978"</f>
        <v>508120230421182910138978</v>
      </c>
      <c r="C708" s="6" t="s">
        <v>6</v>
      </c>
      <c r="D708" s="6" t="str">
        <f>"符泽宇"</f>
        <v>符泽宇</v>
      </c>
    </row>
    <row r="709" spans="1:4" ht="30" customHeight="1">
      <c r="A709" s="6">
        <v>707</v>
      </c>
      <c r="B709" s="6" t="str">
        <f>"508120230421133235138615"</f>
        <v>508120230421133235138615</v>
      </c>
      <c r="C709" s="6" t="s">
        <v>6</v>
      </c>
      <c r="D709" s="6" t="str">
        <f>"张将"</f>
        <v>张将</v>
      </c>
    </row>
    <row r="710" spans="1:4" ht="30" customHeight="1">
      <c r="A710" s="6">
        <v>708</v>
      </c>
      <c r="B710" s="6" t="str">
        <f>"508120230423101646139814"</f>
        <v>508120230423101646139814</v>
      </c>
      <c r="C710" s="6" t="s">
        <v>6</v>
      </c>
      <c r="D710" s="6" t="str">
        <f>"麦依依"</f>
        <v>麦依依</v>
      </c>
    </row>
    <row r="711" spans="1:4" ht="30" customHeight="1">
      <c r="A711" s="6">
        <v>709</v>
      </c>
      <c r="B711" s="6" t="str">
        <f>"508120230423104209139829"</f>
        <v>508120230423104209139829</v>
      </c>
      <c r="C711" s="6" t="s">
        <v>6</v>
      </c>
      <c r="D711" s="6" t="str">
        <f>"覃思霖"</f>
        <v>覃思霖</v>
      </c>
    </row>
    <row r="712" spans="1:4" ht="30" customHeight="1">
      <c r="A712" s="6">
        <v>710</v>
      </c>
      <c r="B712" s="6" t="str">
        <f>"508120230423093828139778"</f>
        <v>508120230423093828139778</v>
      </c>
      <c r="C712" s="6" t="s">
        <v>6</v>
      </c>
      <c r="D712" s="6" t="str">
        <f>"曾良政"</f>
        <v>曾良政</v>
      </c>
    </row>
    <row r="713" spans="1:4" ht="30" customHeight="1">
      <c r="A713" s="6">
        <v>711</v>
      </c>
      <c r="B713" s="6" t="str">
        <f>"508120230423092044139751"</f>
        <v>508120230423092044139751</v>
      </c>
      <c r="C713" s="6" t="s">
        <v>6</v>
      </c>
      <c r="D713" s="6" t="str">
        <f>"吴鹏"</f>
        <v>吴鹏</v>
      </c>
    </row>
    <row r="714" spans="1:4" ht="30" customHeight="1">
      <c r="A714" s="6">
        <v>712</v>
      </c>
      <c r="B714" s="6" t="str">
        <f>"508120230421093931138209"</f>
        <v>508120230421093931138209</v>
      </c>
      <c r="C714" s="6" t="s">
        <v>6</v>
      </c>
      <c r="D714" s="6" t="str">
        <f>"王照博"</f>
        <v>王照博</v>
      </c>
    </row>
    <row r="715" spans="1:4" ht="30" customHeight="1">
      <c r="A715" s="6">
        <v>713</v>
      </c>
      <c r="B715" s="6" t="str">
        <f>"508120230423105207139840"</f>
        <v>508120230423105207139840</v>
      </c>
      <c r="C715" s="6" t="s">
        <v>6</v>
      </c>
      <c r="D715" s="6" t="str">
        <f>"王如玲"</f>
        <v>王如玲</v>
      </c>
    </row>
    <row r="716" spans="1:4" ht="30" customHeight="1">
      <c r="A716" s="6">
        <v>714</v>
      </c>
      <c r="B716" s="6" t="str">
        <f>"508120230423111903139882"</f>
        <v>508120230423111903139882</v>
      </c>
      <c r="C716" s="6" t="s">
        <v>6</v>
      </c>
      <c r="D716" s="6" t="str">
        <f>"杜昕洋"</f>
        <v>杜昕洋</v>
      </c>
    </row>
    <row r="717" spans="1:4" ht="30" customHeight="1">
      <c r="A717" s="6">
        <v>715</v>
      </c>
      <c r="B717" s="6" t="str">
        <f>"508120230422203611139554"</f>
        <v>508120230422203611139554</v>
      </c>
      <c r="C717" s="6" t="s">
        <v>6</v>
      </c>
      <c r="D717" s="6" t="str">
        <f>"董家江"</f>
        <v>董家江</v>
      </c>
    </row>
    <row r="718" spans="1:4" ht="30" customHeight="1">
      <c r="A718" s="6">
        <v>716</v>
      </c>
      <c r="B718" s="6" t="str">
        <f>"508120230423120526139921"</f>
        <v>508120230423120526139921</v>
      </c>
      <c r="C718" s="6" t="s">
        <v>6</v>
      </c>
      <c r="D718" s="6" t="str">
        <f>"洪道俊"</f>
        <v>洪道俊</v>
      </c>
    </row>
    <row r="719" spans="1:4" ht="30" customHeight="1">
      <c r="A719" s="6">
        <v>717</v>
      </c>
      <c r="B719" s="6" t="str">
        <f>"508120230423134645139964"</f>
        <v>508120230423134645139964</v>
      </c>
      <c r="C719" s="6" t="s">
        <v>6</v>
      </c>
      <c r="D719" s="6" t="str">
        <f>"杨正"</f>
        <v>杨正</v>
      </c>
    </row>
    <row r="720" spans="1:4" ht="30" customHeight="1">
      <c r="A720" s="6">
        <v>718</v>
      </c>
      <c r="B720" s="6" t="str">
        <f>"508120230423150915140022"</f>
        <v>508120230423150915140022</v>
      </c>
      <c r="C720" s="6" t="s">
        <v>6</v>
      </c>
      <c r="D720" s="6" t="str">
        <f>"王龙惠"</f>
        <v>王龙惠</v>
      </c>
    </row>
    <row r="721" spans="1:4" ht="30" customHeight="1">
      <c r="A721" s="6">
        <v>719</v>
      </c>
      <c r="B721" s="6" t="str">
        <f>"508120230423151937140037"</f>
        <v>508120230423151937140037</v>
      </c>
      <c r="C721" s="6" t="s">
        <v>6</v>
      </c>
      <c r="D721" s="6" t="str">
        <f>"黄旭宇"</f>
        <v>黄旭宇</v>
      </c>
    </row>
    <row r="722" spans="1:4" ht="30" customHeight="1">
      <c r="A722" s="6">
        <v>720</v>
      </c>
      <c r="B722" s="6" t="str">
        <f>"508120230423093915139780"</f>
        <v>508120230423093915139780</v>
      </c>
      <c r="C722" s="6" t="s">
        <v>6</v>
      </c>
      <c r="D722" s="6" t="str">
        <f>"陈振豪"</f>
        <v>陈振豪</v>
      </c>
    </row>
    <row r="723" spans="1:4" ht="30" customHeight="1">
      <c r="A723" s="6">
        <v>721</v>
      </c>
      <c r="B723" s="6" t="str">
        <f>"508120230421174953138942"</f>
        <v>508120230421174953138942</v>
      </c>
      <c r="C723" s="6" t="s">
        <v>6</v>
      </c>
      <c r="D723" s="6" t="str">
        <f>"符展砚"</f>
        <v>符展砚</v>
      </c>
    </row>
    <row r="724" spans="1:4" ht="30" customHeight="1">
      <c r="A724" s="6">
        <v>722</v>
      </c>
      <c r="B724" s="6" t="str">
        <f>"508120230423153837140049"</f>
        <v>508120230423153837140049</v>
      </c>
      <c r="C724" s="6" t="s">
        <v>6</v>
      </c>
      <c r="D724" s="6" t="str">
        <f>"黄鸿"</f>
        <v>黄鸿</v>
      </c>
    </row>
    <row r="725" spans="1:4" ht="30" customHeight="1">
      <c r="A725" s="6">
        <v>723</v>
      </c>
      <c r="B725" s="6" t="str">
        <f>"508120230423163537140115"</f>
        <v>508120230423163537140115</v>
      </c>
      <c r="C725" s="6" t="s">
        <v>6</v>
      </c>
      <c r="D725" s="6" t="str">
        <f>"谭常烜"</f>
        <v>谭常烜</v>
      </c>
    </row>
    <row r="726" spans="1:4" ht="30" customHeight="1">
      <c r="A726" s="6">
        <v>724</v>
      </c>
      <c r="B726" s="6" t="str">
        <f>"508120230423110703139868"</f>
        <v>508120230423110703139868</v>
      </c>
      <c r="C726" s="6" t="s">
        <v>6</v>
      </c>
      <c r="D726" s="6" t="str">
        <f>"文泽晓"</f>
        <v>文泽晓</v>
      </c>
    </row>
    <row r="727" spans="1:4" ht="30" customHeight="1">
      <c r="A727" s="6">
        <v>725</v>
      </c>
      <c r="B727" s="6" t="str">
        <f>"508120230423091405139743"</f>
        <v>508120230423091405139743</v>
      </c>
      <c r="C727" s="6" t="s">
        <v>6</v>
      </c>
      <c r="D727" s="6" t="str">
        <f>"黄祥翔"</f>
        <v>黄祥翔</v>
      </c>
    </row>
    <row r="728" spans="1:4" ht="30" customHeight="1">
      <c r="A728" s="6">
        <v>726</v>
      </c>
      <c r="B728" s="6" t="str">
        <f>"508120230423164608140125"</f>
        <v>508120230423164608140125</v>
      </c>
      <c r="C728" s="6" t="s">
        <v>6</v>
      </c>
      <c r="D728" s="6" t="str">
        <f>"王胜"</f>
        <v>王胜</v>
      </c>
    </row>
    <row r="729" spans="1:4" ht="30" customHeight="1">
      <c r="A729" s="6">
        <v>727</v>
      </c>
      <c r="B729" s="6" t="str">
        <f>"508120230423165621140139"</f>
        <v>508120230423165621140139</v>
      </c>
      <c r="C729" s="6" t="s">
        <v>6</v>
      </c>
      <c r="D729" s="6" t="str">
        <f>"王嘉怡"</f>
        <v>王嘉怡</v>
      </c>
    </row>
    <row r="730" spans="1:4" ht="30" customHeight="1">
      <c r="A730" s="6">
        <v>728</v>
      </c>
      <c r="B730" s="6" t="str">
        <f>"508120230423094840139794"</f>
        <v>508120230423094840139794</v>
      </c>
      <c r="C730" s="6" t="s">
        <v>6</v>
      </c>
      <c r="D730" s="6" t="str">
        <f>"吴淑麒"</f>
        <v>吴淑麒</v>
      </c>
    </row>
    <row r="731" spans="1:4" ht="30" customHeight="1">
      <c r="A731" s="6">
        <v>729</v>
      </c>
      <c r="B731" s="6" t="str">
        <f>"508120230423132806139957"</f>
        <v>508120230423132806139957</v>
      </c>
      <c r="C731" s="6" t="s">
        <v>6</v>
      </c>
      <c r="D731" s="6" t="str">
        <f>"王承昆"</f>
        <v>王承昆</v>
      </c>
    </row>
    <row r="732" spans="1:4" ht="30" customHeight="1">
      <c r="A732" s="6">
        <v>730</v>
      </c>
      <c r="B732" s="6" t="str">
        <f>"508120230423091912139750"</f>
        <v>508120230423091912139750</v>
      </c>
      <c r="C732" s="6" t="s">
        <v>6</v>
      </c>
      <c r="D732" s="6" t="str">
        <f>"林喜霖"</f>
        <v>林喜霖</v>
      </c>
    </row>
    <row r="733" spans="1:4" ht="30" customHeight="1">
      <c r="A733" s="6">
        <v>731</v>
      </c>
      <c r="B733" s="6" t="str">
        <f>"508120230423190845140218"</f>
        <v>508120230423190845140218</v>
      </c>
      <c r="C733" s="6" t="s">
        <v>6</v>
      </c>
      <c r="D733" s="6" t="str">
        <f>"王名圣"</f>
        <v>王名圣</v>
      </c>
    </row>
    <row r="734" spans="1:4" ht="30" customHeight="1">
      <c r="A734" s="6">
        <v>732</v>
      </c>
      <c r="B734" s="6" t="str">
        <f>"508120230422204505139565"</f>
        <v>508120230422204505139565</v>
      </c>
      <c r="C734" s="6" t="s">
        <v>6</v>
      </c>
      <c r="D734" s="6" t="str">
        <f>"卢阮鑫"</f>
        <v>卢阮鑫</v>
      </c>
    </row>
    <row r="735" spans="1:4" ht="30" customHeight="1">
      <c r="A735" s="6">
        <v>733</v>
      </c>
      <c r="B735" s="6" t="str">
        <f>"508120230421095941138269"</f>
        <v>508120230421095941138269</v>
      </c>
      <c r="C735" s="6" t="s">
        <v>6</v>
      </c>
      <c r="D735" s="6" t="str">
        <f>"刘岳阳"</f>
        <v>刘岳阳</v>
      </c>
    </row>
    <row r="736" spans="1:4" ht="30" customHeight="1">
      <c r="A736" s="6">
        <v>734</v>
      </c>
      <c r="B736" s="6" t="str">
        <f>"508120230422140313139351"</f>
        <v>508120230422140313139351</v>
      </c>
      <c r="C736" s="6" t="s">
        <v>6</v>
      </c>
      <c r="D736" s="6" t="str">
        <f>"符开广"</f>
        <v>符开广</v>
      </c>
    </row>
    <row r="737" spans="1:4" ht="30" customHeight="1">
      <c r="A737" s="6">
        <v>735</v>
      </c>
      <c r="B737" s="6" t="str">
        <f>"508120230422112053139253"</f>
        <v>508120230422112053139253</v>
      </c>
      <c r="C737" s="6" t="s">
        <v>6</v>
      </c>
      <c r="D737" s="6" t="str">
        <f>"蔡亲达"</f>
        <v>蔡亲达</v>
      </c>
    </row>
    <row r="738" spans="1:4" ht="30" customHeight="1">
      <c r="A738" s="6">
        <v>736</v>
      </c>
      <c r="B738" s="6" t="str">
        <f>"508120230421222958139113"</f>
        <v>508120230421222958139113</v>
      </c>
      <c r="C738" s="6" t="s">
        <v>6</v>
      </c>
      <c r="D738" s="6" t="str">
        <f>"黄冠武"</f>
        <v>黄冠武</v>
      </c>
    </row>
    <row r="739" spans="1:4" ht="30" customHeight="1">
      <c r="A739" s="6">
        <v>737</v>
      </c>
      <c r="B739" s="6" t="str">
        <f>"508120230421103617138363"</f>
        <v>508120230421103617138363</v>
      </c>
      <c r="C739" s="6" t="s">
        <v>6</v>
      </c>
      <c r="D739" s="6" t="str">
        <f>"李德民"</f>
        <v>李德民</v>
      </c>
    </row>
    <row r="740" spans="1:4" ht="30" customHeight="1">
      <c r="A740" s="6">
        <v>738</v>
      </c>
      <c r="B740" s="6" t="str">
        <f>"508120230421143059138663"</f>
        <v>508120230421143059138663</v>
      </c>
      <c r="C740" s="6" t="s">
        <v>6</v>
      </c>
      <c r="D740" s="6" t="str">
        <f>"吴为精"</f>
        <v>吴为精</v>
      </c>
    </row>
    <row r="741" spans="1:4" ht="30" customHeight="1">
      <c r="A741" s="6">
        <v>739</v>
      </c>
      <c r="B741" s="6" t="str">
        <f>"508120230423190842140217"</f>
        <v>508120230423190842140217</v>
      </c>
      <c r="C741" s="6" t="s">
        <v>6</v>
      </c>
      <c r="D741" s="6" t="str">
        <f>"林番基"</f>
        <v>林番基</v>
      </c>
    </row>
    <row r="742" spans="1:4" ht="30" customHeight="1">
      <c r="A742" s="6">
        <v>740</v>
      </c>
      <c r="B742" s="6" t="str">
        <f>"508120230423211833140319"</f>
        <v>508120230423211833140319</v>
      </c>
      <c r="C742" s="6" t="s">
        <v>6</v>
      </c>
      <c r="D742" s="6" t="str">
        <f>"王青青"</f>
        <v>王青青</v>
      </c>
    </row>
    <row r="743" spans="1:4" ht="30" customHeight="1">
      <c r="A743" s="6">
        <v>741</v>
      </c>
      <c r="B743" s="6" t="str">
        <f>"508120230423211505140314"</f>
        <v>508120230423211505140314</v>
      </c>
      <c r="C743" s="6" t="s">
        <v>6</v>
      </c>
      <c r="D743" s="6" t="str">
        <f>"林国炜"</f>
        <v>林国炜</v>
      </c>
    </row>
    <row r="744" spans="1:4" ht="30" customHeight="1">
      <c r="A744" s="6">
        <v>742</v>
      </c>
      <c r="B744" s="6" t="str">
        <f>"508120230421222537139109"</f>
        <v>508120230421222537139109</v>
      </c>
      <c r="C744" s="6" t="s">
        <v>6</v>
      </c>
      <c r="D744" s="6" t="str">
        <f>"陈益海"</f>
        <v>陈益海</v>
      </c>
    </row>
    <row r="745" spans="1:4" ht="30" customHeight="1">
      <c r="A745" s="6">
        <v>743</v>
      </c>
      <c r="B745" s="6" t="str">
        <f>"508120230423214611140337"</f>
        <v>508120230423214611140337</v>
      </c>
      <c r="C745" s="6" t="s">
        <v>6</v>
      </c>
      <c r="D745" s="6" t="str">
        <f>"王琳"</f>
        <v>王琳</v>
      </c>
    </row>
    <row r="746" spans="1:4" ht="30" customHeight="1">
      <c r="A746" s="6">
        <v>744</v>
      </c>
      <c r="B746" s="6" t="str">
        <f>"508120230423222655140374"</f>
        <v>508120230423222655140374</v>
      </c>
      <c r="C746" s="6" t="s">
        <v>6</v>
      </c>
      <c r="D746" s="6" t="str">
        <f>"李祥军"</f>
        <v>李祥军</v>
      </c>
    </row>
    <row r="747" spans="1:4" ht="30" customHeight="1">
      <c r="A747" s="6">
        <v>745</v>
      </c>
      <c r="B747" s="6" t="str">
        <f>"508120230423222649140373"</f>
        <v>508120230423222649140373</v>
      </c>
      <c r="C747" s="6" t="s">
        <v>6</v>
      </c>
      <c r="D747" s="6" t="str">
        <f>"李芳继"</f>
        <v>李芳继</v>
      </c>
    </row>
    <row r="748" spans="1:4" ht="30" customHeight="1">
      <c r="A748" s="6">
        <v>746</v>
      </c>
      <c r="B748" s="6" t="str">
        <f>"508120230422225908139649"</f>
        <v>508120230422225908139649</v>
      </c>
      <c r="C748" s="6" t="s">
        <v>6</v>
      </c>
      <c r="D748" s="6" t="str">
        <f>"符玉"</f>
        <v>符玉</v>
      </c>
    </row>
    <row r="749" spans="1:4" ht="30" customHeight="1">
      <c r="A749" s="6">
        <v>747</v>
      </c>
      <c r="B749" s="6" t="str">
        <f>"508120230423221337140365"</f>
        <v>508120230423221337140365</v>
      </c>
      <c r="C749" s="6" t="s">
        <v>6</v>
      </c>
      <c r="D749" s="6" t="str">
        <f>"陈尚邦"</f>
        <v>陈尚邦</v>
      </c>
    </row>
    <row r="750" spans="1:4" ht="30" customHeight="1">
      <c r="A750" s="6">
        <v>748</v>
      </c>
      <c r="B750" s="6" t="str">
        <f>"508120230422204501139564"</f>
        <v>508120230422204501139564</v>
      </c>
      <c r="C750" s="6" t="s">
        <v>6</v>
      </c>
      <c r="D750" s="6" t="str">
        <f>"唐国凯"</f>
        <v>唐国凯</v>
      </c>
    </row>
    <row r="751" spans="1:4" ht="30" customHeight="1">
      <c r="A751" s="6">
        <v>749</v>
      </c>
      <c r="B751" s="6" t="str">
        <f>"508120230424010832140435"</f>
        <v>508120230424010832140435</v>
      </c>
      <c r="C751" s="6" t="s">
        <v>6</v>
      </c>
      <c r="D751" s="6" t="str">
        <f>"陈东"</f>
        <v>陈东</v>
      </c>
    </row>
    <row r="752" spans="1:4" ht="30" customHeight="1">
      <c r="A752" s="6">
        <v>750</v>
      </c>
      <c r="B752" s="6" t="str">
        <f>"508120230421143831138674"</f>
        <v>508120230421143831138674</v>
      </c>
      <c r="C752" s="6" t="s">
        <v>6</v>
      </c>
      <c r="D752" s="6" t="str">
        <f>"黄武智"</f>
        <v>黄武智</v>
      </c>
    </row>
    <row r="753" spans="1:4" ht="30" customHeight="1">
      <c r="A753" s="6">
        <v>751</v>
      </c>
      <c r="B753" s="6" t="str">
        <f>"508120230424083015140461"</f>
        <v>508120230424083015140461</v>
      </c>
      <c r="C753" s="6" t="s">
        <v>6</v>
      </c>
      <c r="D753" s="6" t="str">
        <f>"黄肖文"</f>
        <v>黄肖文</v>
      </c>
    </row>
    <row r="754" spans="1:4" ht="30" customHeight="1">
      <c r="A754" s="6">
        <v>752</v>
      </c>
      <c r="B754" s="6" t="str">
        <f>"508120230423162113140096"</f>
        <v>508120230423162113140096</v>
      </c>
      <c r="C754" s="6" t="s">
        <v>6</v>
      </c>
      <c r="D754" s="6" t="str">
        <f>"何受冠"</f>
        <v>何受冠</v>
      </c>
    </row>
    <row r="755" spans="1:4" ht="30" customHeight="1">
      <c r="A755" s="6">
        <v>753</v>
      </c>
      <c r="B755" s="6" t="str">
        <f>"508120230423162926140107"</f>
        <v>508120230423162926140107</v>
      </c>
      <c r="C755" s="6" t="s">
        <v>6</v>
      </c>
      <c r="D755" s="6" t="str">
        <f>"文臻"</f>
        <v>文臻</v>
      </c>
    </row>
    <row r="756" spans="1:4" ht="30" customHeight="1">
      <c r="A756" s="6">
        <v>754</v>
      </c>
      <c r="B756" s="6" t="str">
        <f>"508120230424094916140539"</f>
        <v>508120230424094916140539</v>
      </c>
      <c r="C756" s="6" t="s">
        <v>6</v>
      </c>
      <c r="D756" s="6" t="str">
        <f>"何翔"</f>
        <v>何翔</v>
      </c>
    </row>
    <row r="757" spans="1:4" ht="30" customHeight="1">
      <c r="A757" s="6">
        <v>755</v>
      </c>
      <c r="B757" s="6" t="str">
        <f>"508120230423090703139736"</f>
        <v>508120230423090703139736</v>
      </c>
      <c r="C757" s="6" t="s">
        <v>6</v>
      </c>
      <c r="D757" s="6" t="str">
        <f>"谭家宝"</f>
        <v>谭家宝</v>
      </c>
    </row>
    <row r="758" spans="1:4" ht="30" customHeight="1">
      <c r="A758" s="6">
        <v>756</v>
      </c>
      <c r="B758" s="6" t="str">
        <f>"508120230422085037139173"</f>
        <v>508120230422085037139173</v>
      </c>
      <c r="C758" s="6" t="s">
        <v>6</v>
      </c>
      <c r="D758" s="6" t="str">
        <f>"李莹"</f>
        <v>李莹</v>
      </c>
    </row>
    <row r="759" spans="1:4" ht="30" customHeight="1">
      <c r="A759" s="6">
        <v>757</v>
      </c>
      <c r="B759" s="6" t="str">
        <f>"508120230424102049140575"</f>
        <v>508120230424102049140575</v>
      </c>
      <c r="C759" s="6" t="s">
        <v>6</v>
      </c>
      <c r="D759" s="6" t="str">
        <f>"陈振驰"</f>
        <v>陈振驰</v>
      </c>
    </row>
    <row r="760" spans="1:4" ht="30" customHeight="1">
      <c r="A760" s="6">
        <v>758</v>
      </c>
      <c r="B760" s="6" t="str">
        <f>"508120230424103438140594"</f>
        <v>508120230424103438140594</v>
      </c>
      <c r="C760" s="6" t="s">
        <v>6</v>
      </c>
      <c r="D760" s="6" t="str">
        <f>"蔡笃颖"</f>
        <v>蔡笃颖</v>
      </c>
    </row>
    <row r="761" spans="1:4" ht="30" customHeight="1">
      <c r="A761" s="6">
        <v>759</v>
      </c>
      <c r="B761" s="6" t="str">
        <f>"508120230424092924140509"</f>
        <v>508120230424092924140509</v>
      </c>
      <c r="C761" s="6" t="s">
        <v>6</v>
      </c>
      <c r="D761" s="6" t="str">
        <f>"王志伟"</f>
        <v>王志伟</v>
      </c>
    </row>
    <row r="762" spans="1:4" ht="30" customHeight="1">
      <c r="A762" s="6">
        <v>760</v>
      </c>
      <c r="B762" s="6" t="str">
        <f>"508120230424100758140557"</f>
        <v>508120230424100758140557</v>
      </c>
      <c r="C762" s="6" t="s">
        <v>6</v>
      </c>
      <c r="D762" s="6" t="str">
        <f>"杨彩虹"</f>
        <v>杨彩虹</v>
      </c>
    </row>
    <row r="763" spans="1:4" ht="30" customHeight="1">
      <c r="A763" s="6">
        <v>761</v>
      </c>
      <c r="B763" s="6" t="str">
        <f>"508120230424094135140522"</f>
        <v>508120230424094135140522</v>
      </c>
      <c r="C763" s="6" t="s">
        <v>6</v>
      </c>
      <c r="D763" s="6" t="str">
        <f>"林成龙"</f>
        <v>林成龙</v>
      </c>
    </row>
    <row r="764" spans="1:4" ht="30" customHeight="1">
      <c r="A764" s="6">
        <v>762</v>
      </c>
      <c r="B764" s="6" t="str">
        <f>"508120230423150605140016"</f>
        <v>508120230423150605140016</v>
      </c>
      <c r="C764" s="6" t="s">
        <v>6</v>
      </c>
      <c r="D764" s="6" t="str">
        <f>"吴克先"</f>
        <v>吴克先</v>
      </c>
    </row>
    <row r="765" spans="1:4" ht="30" customHeight="1">
      <c r="A765" s="6">
        <v>763</v>
      </c>
      <c r="B765" s="6" t="str">
        <f>"508120230421142445138658"</f>
        <v>508120230421142445138658</v>
      </c>
      <c r="C765" s="6" t="s">
        <v>6</v>
      </c>
      <c r="D765" s="6" t="str">
        <f>"汪渊"</f>
        <v>汪渊</v>
      </c>
    </row>
    <row r="766" spans="1:4" ht="30" customHeight="1">
      <c r="A766" s="6">
        <v>764</v>
      </c>
      <c r="B766" s="6" t="str">
        <f>"508120230422195218139521"</f>
        <v>508120230422195218139521</v>
      </c>
      <c r="C766" s="6" t="s">
        <v>6</v>
      </c>
      <c r="D766" s="6" t="str">
        <f>"邢增俊"</f>
        <v>邢增俊</v>
      </c>
    </row>
    <row r="767" spans="1:4" ht="30" customHeight="1">
      <c r="A767" s="6">
        <v>765</v>
      </c>
      <c r="B767" s="6" t="str">
        <f>"508120230422175050139461"</f>
        <v>508120230422175050139461</v>
      </c>
      <c r="C767" s="6" t="s">
        <v>6</v>
      </c>
      <c r="D767" s="6" t="str">
        <f>"林声佳"</f>
        <v>林声佳</v>
      </c>
    </row>
    <row r="768" spans="1:4" ht="30" customHeight="1">
      <c r="A768" s="6">
        <v>766</v>
      </c>
      <c r="B768" s="6" t="str">
        <f>"508120230424110702140624"</f>
        <v>508120230424110702140624</v>
      </c>
      <c r="C768" s="6" t="s">
        <v>6</v>
      </c>
      <c r="D768" s="6" t="str">
        <f>"彭荣善"</f>
        <v>彭荣善</v>
      </c>
    </row>
    <row r="769" spans="1:4" ht="30" customHeight="1">
      <c r="A769" s="6">
        <v>767</v>
      </c>
      <c r="B769" s="6" t="str">
        <f>"508120230421121106138538"</f>
        <v>508120230421121106138538</v>
      </c>
      <c r="C769" s="6" t="s">
        <v>6</v>
      </c>
      <c r="D769" s="6" t="str">
        <f>"黎经武"</f>
        <v>黎经武</v>
      </c>
    </row>
    <row r="770" spans="1:4" ht="30" customHeight="1">
      <c r="A770" s="6">
        <v>768</v>
      </c>
      <c r="B770" s="6" t="str">
        <f>"508120230423131034139951"</f>
        <v>508120230423131034139951</v>
      </c>
      <c r="C770" s="6" t="s">
        <v>6</v>
      </c>
      <c r="D770" s="6" t="str">
        <f>"林绍龙"</f>
        <v>林绍龙</v>
      </c>
    </row>
    <row r="771" spans="1:4" ht="30" customHeight="1">
      <c r="A771" s="6">
        <v>769</v>
      </c>
      <c r="B771" s="6" t="str">
        <f>"508120230424125143140701"</f>
        <v>508120230424125143140701</v>
      </c>
      <c r="C771" s="6" t="s">
        <v>6</v>
      </c>
      <c r="D771" s="6" t="str">
        <f>"李佳锡"</f>
        <v>李佳锡</v>
      </c>
    </row>
    <row r="772" spans="1:4" ht="30" customHeight="1">
      <c r="A772" s="6">
        <v>770</v>
      </c>
      <c r="B772" s="6" t="str">
        <f>"508120230423211309140310"</f>
        <v>508120230423211309140310</v>
      </c>
      <c r="C772" s="6" t="s">
        <v>6</v>
      </c>
      <c r="D772" s="6" t="str">
        <f>"王开群"</f>
        <v>王开群</v>
      </c>
    </row>
    <row r="773" spans="1:4" ht="30" customHeight="1">
      <c r="A773" s="6">
        <v>771</v>
      </c>
      <c r="B773" s="6" t="str">
        <f>"508120230423211715140318"</f>
        <v>508120230423211715140318</v>
      </c>
      <c r="C773" s="6" t="s">
        <v>6</v>
      </c>
      <c r="D773" s="6" t="str">
        <f>"周光倩"</f>
        <v>周光倩</v>
      </c>
    </row>
    <row r="774" spans="1:4" ht="30" customHeight="1">
      <c r="A774" s="6">
        <v>772</v>
      </c>
      <c r="B774" s="6" t="str">
        <f>"508120230424110400140622"</f>
        <v>508120230424110400140622</v>
      </c>
      <c r="C774" s="6" t="s">
        <v>6</v>
      </c>
      <c r="D774" s="6" t="str">
        <f>"颜辉德"</f>
        <v>颜辉德</v>
      </c>
    </row>
    <row r="775" spans="1:4" ht="30" customHeight="1">
      <c r="A775" s="6">
        <v>773</v>
      </c>
      <c r="B775" s="6" t="str">
        <f>"508120230424085138140477"</f>
        <v>508120230424085138140477</v>
      </c>
      <c r="C775" s="6" t="s">
        <v>6</v>
      </c>
      <c r="D775" s="6" t="str">
        <f>"羊余阳"</f>
        <v>羊余阳</v>
      </c>
    </row>
    <row r="776" spans="1:4" ht="30" customHeight="1">
      <c r="A776" s="6">
        <v>774</v>
      </c>
      <c r="B776" s="6" t="str">
        <f>"508120230421092119138156"</f>
        <v>508120230421092119138156</v>
      </c>
      <c r="C776" s="6" t="s">
        <v>6</v>
      </c>
      <c r="D776" s="6" t="str">
        <f>"宁婉婷"</f>
        <v>宁婉婷</v>
      </c>
    </row>
    <row r="777" spans="1:4" ht="30" customHeight="1">
      <c r="A777" s="6">
        <v>775</v>
      </c>
      <c r="B777" s="6" t="str">
        <f>"508120230424112835140645"</f>
        <v>508120230424112835140645</v>
      </c>
      <c r="C777" s="6" t="s">
        <v>6</v>
      </c>
      <c r="D777" s="6" t="str">
        <f>"黎吉成"</f>
        <v>黎吉成</v>
      </c>
    </row>
    <row r="778" spans="1:4" ht="30" customHeight="1">
      <c r="A778" s="6">
        <v>776</v>
      </c>
      <c r="B778" s="6" t="str">
        <f>"508120230423085354139723"</f>
        <v>508120230423085354139723</v>
      </c>
      <c r="C778" s="6" t="s">
        <v>6</v>
      </c>
      <c r="D778" s="6" t="str">
        <f>"刘辉"</f>
        <v>刘辉</v>
      </c>
    </row>
    <row r="779" spans="1:4" ht="30" customHeight="1">
      <c r="A779" s="6">
        <v>777</v>
      </c>
      <c r="B779" s="6" t="str">
        <f>"508120230424135303140733"</f>
        <v>508120230424135303140733</v>
      </c>
      <c r="C779" s="6" t="s">
        <v>6</v>
      </c>
      <c r="D779" s="6" t="str">
        <f>"莫明伟"</f>
        <v>莫明伟</v>
      </c>
    </row>
    <row r="780" spans="1:4" ht="30" customHeight="1">
      <c r="A780" s="6">
        <v>778</v>
      </c>
      <c r="B780" s="6" t="str">
        <f>"508120230421112547138461"</f>
        <v>508120230421112547138461</v>
      </c>
      <c r="C780" s="6" t="s">
        <v>6</v>
      </c>
      <c r="D780" s="6" t="str">
        <f>"符永松"</f>
        <v>符永松</v>
      </c>
    </row>
    <row r="781" spans="1:4" ht="30" customHeight="1">
      <c r="A781" s="6">
        <v>779</v>
      </c>
      <c r="B781" s="6" t="str">
        <f>"508120230424143949140745"</f>
        <v>508120230424143949140745</v>
      </c>
      <c r="C781" s="6" t="s">
        <v>6</v>
      </c>
      <c r="D781" s="6" t="str">
        <f>"符晨荟"</f>
        <v>符晨荟</v>
      </c>
    </row>
    <row r="782" spans="1:4" ht="30" customHeight="1">
      <c r="A782" s="6">
        <v>780</v>
      </c>
      <c r="B782" s="6" t="str">
        <f>"508120230423210807140305"</f>
        <v>508120230423210807140305</v>
      </c>
      <c r="C782" s="6" t="s">
        <v>6</v>
      </c>
      <c r="D782" s="6" t="str">
        <f>"吴峥"</f>
        <v>吴峥</v>
      </c>
    </row>
    <row r="783" spans="1:4" ht="30" customHeight="1">
      <c r="A783" s="6">
        <v>781</v>
      </c>
      <c r="B783" s="6" t="str">
        <f>"508120230424152809140779"</f>
        <v>508120230424152809140779</v>
      </c>
      <c r="C783" s="6" t="s">
        <v>6</v>
      </c>
      <c r="D783" s="6" t="str">
        <f>"符昌博"</f>
        <v>符昌博</v>
      </c>
    </row>
    <row r="784" spans="1:4" ht="30" customHeight="1">
      <c r="A784" s="6">
        <v>782</v>
      </c>
      <c r="B784" s="6" t="str">
        <f>"508120230424145231140751"</f>
        <v>508120230424145231140751</v>
      </c>
      <c r="C784" s="6" t="s">
        <v>6</v>
      </c>
      <c r="D784" s="6" t="str">
        <f>"黄裕佳"</f>
        <v>黄裕佳</v>
      </c>
    </row>
    <row r="785" spans="1:4" ht="30" customHeight="1">
      <c r="A785" s="6">
        <v>783</v>
      </c>
      <c r="B785" s="6" t="str">
        <f>"508120230424155334140801"</f>
        <v>508120230424155334140801</v>
      </c>
      <c r="C785" s="6" t="s">
        <v>6</v>
      </c>
      <c r="D785" s="6" t="str">
        <f>"李开华"</f>
        <v>李开华</v>
      </c>
    </row>
    <row r="786" spans="1:4" ht="30" customHeight="1">
      <c r="A786" s="6">
        <v>784</v>
      </c>
      <c r="B786" s="6" t="str">
        <f>"508120230424153857140786"</f>
        <v>508120230424153857140786</v>
      </c>
      <c r="C786" s="6" t="s">
        <v>6</v>
      </c>
      <c r="D786" s="6" t="str">
        <f>"陈生武"</f>
        <v>陈生武</v>
      </c>
    </row>
    <row r="787" spans="1:4" ht="30" customHeight="1">
      <c r="A787" s="6">
        <v>785</v>
      </c>
      <c r="B787" s="6" t="str">
        <f>"508120230421221318139099"</f>
        <v>508120230421221318139099</v>
      </c>
      <c r="C787" s="6" t="s">
        <v>6</v>
      </c>
      <c r="D787" s="6" t="str">
        <f>"占骐铭"</f>
        <v>占骐铭</v>
      </c>
    </row>
    <row r="788" spans="1:4" ht="30" customHeight="1">
      <c r="A788" s="6">
        <v>786</v>
      </c>
      <c r="B788" s="6" t="str">
        <f>"508120230424165604140858"</f>
        <v>508120230424165604140858</v>
      </c>
      <c r="C788" s="6" t="s">
        <v>6</v>
      </c>
      <c r="D788" s="6" t="str">
        <f>"林文桥"</f>
        <v>林文桥</v>
      </c>
    </row>
    <row r="789" spans="1:4" ht="30" customHeight="1">
      <c r="A789" s="6">
        <v>787</v>
      </c>
      <c r="B789" s="6" t="str">
        <f>"508120230424112843140647"</f>
        <v>508120230424112843140647</v>
      </c>
      <c r="C789" s="6" t="s">
        <v>6</v>
      </c>
      <c r="D789" s="6" t="str">
        <f>"吴淑孝"</f>
        <v>吴淑孝</v>
      </c>
    </row>
    <row r="790" spans="1:4" ht="30" customHeight="1">
      <c r="A790" s="6">
        <v>788</v>
      </c>
      <c r="B790" s="6" t="str">
        <f>"508120230424141837140739"</f>
        <v>508120230424141837140739</v>
      </c>
      <c r="C790" s="6" t="s">
        <v>6</v>
      </c>
      <c r="D790" s="6" t="str">
        <f>"李新君"</f>
        <v>李新君</v>
      </c>
    </row>
    <row r="791" spans="1:4" ht="30" customHeight="1">
      <c r="A791" s="6">
        <v>789</v>
      </c>
      <c r="B791" s="6" t="str">
        <f>"508120230424162612140833"</f>
        <v>508120230424162612140833</v>
      </c>
      <c r="C791" s="6" t="s">
        <v>6</v>
      </c>
      <c r="D791" s="6" t="str">
        <f>"康欢欢"</f>
        <v>康欢欢</v>
      </c>
    </row>
    <row r="792" spans="1:4" ht="30" customHeight="1">
      <c r="A792" s="6">
        <v>790</v>
      </c>
      <c r="B792" s="6" t="str">
        <f>"508120230424130011140709"</f>
        <v>508120230424130011140709</v>
      </c>
      <c r="C792" s="6" t="s">
        <v>6</v>
      </c>
      <c r="D792" s="6" t="str">
        <f>"符俊杰"</f>
        <v>符俊杰</v>
      </c>
    </row>
    <row r="793" spans="1:4" ht="30" customHeight="1">
      <c r="A793" s="6">
        <v>791</v>
      </c>
      <c r="B793" s="6" t="str">
        <f>"508120230423191946140220"</f>
        <v>508120230423191946140220</v>
      </c>
      <c r="C793" s="6" t="s">
        <v>6</v>
      </c>
      <c r="D793" s="6" t="str">
        <f>"黄潇"</f>
        <v>黄潇</v>
      </c>
    </row>
    <row r="794" spans="1:4" ht="30" customHeight="1">
      <c r="A794" s="6">
        <v>792</v>
      </c>
      <c r="B794" s="6" t="str">
        <f>"508120230424184605140930"</f>
        <v>508120230424184605140930</v>
      </c>
      <c r="C794" s="6" t="s">
        <v>6</v>
      </c>
      <c r="D794" s="6" t="str">
        <f>"吴礼万"</f>
        <v>吴礼万</v>
      </c>
    </row>
    <row r="795" spans="1:4" ht="30" customHeight="1">
      <c r="A795" s="6">
        <v>793</v>
      </c>
      <c r="B795" s="6" t="str">
        <f>"508120230423214314140334"</f>
        <v>508120230423214314140334</v>
      </c>
      <c r="C795" s="6" t="s">
        <v>6</v>
      </c>
      <c r="D795" s="6" t="str">
        <f>"匡俊辉"</f>
        <v>匡俊辉</v>
      </c>
    </row>
    <row r="796" spans="1:4" ht="30" customHeight="1">
      <c r="A796" s="6">
        <v>794</v>
      </c>
      <c r="B796" s="6" t="str">
        <f>"508120230424183306140920"</f>
        <v>508120230424183306140920</v>
      </c>
      <c r="C796" s="6" t="s">
        <v>6</v>
      </c>
      <c r="D796" s="6" t="str">
        <f>"肖澳楠"</f>
        <v>肖澳楠</v>
      </c>
    </row>
    <row r="797" spans="1:4" ht="30" customHeight="1">
      <c r="A797" s="6">
        <v>795</v>
      </c>
      <c r="B797" s="6" t="str">
        <f>"508120230424113131140649"</f>
        <v>508120230424113131140649</v>
      </c>
      <c r="C797" s="6" t="s">
        <v>6</v>
      </c>
      <c r="D797" s="6" t="str">
        <f>"林书伟"</f>
        <v>林书伟</v>
      </c>
    </row>
    <row r="798" spans="1:4" ht="30" customHeight="1">
      <c r="A798" s="6">
        <v>796</v>
      </c>
      <c r="B798" s="6" t="str">
        <f>"508120230421204054139059"</f>
        <v>508120230421204054139059</v>
      </c>
      <c r="C798" s="6" t="s">
        <v>6</v>
      </c>
      <c r="D798" s="6" t="str">
        <f>"何勃毅"</f>
        <v>何勃毅</v>
      </c>
    </row>
    <row r="799" spans="1:4" ht="30" customHeight="1">
      <c r="A799" s="6">
        <v>797</v>
      </c>
      <c r="B799" s="6" t="str">
        <f>"508120230424193147140950"</f>
        <v>508120230424193147140950</v>
      </c>
      <c r="C799" s="6" t="s">
        <v>6</v>
      </c>
      <c r="D799" s="6" t="str">
        <f>"郭义华"</f>
        <v>郭义华</v>
      </c>
    </row>
    <row r="800" spans="1:4" ht="30" customHeight="1">
      <c r="A800" s="6">
        <v>798</v>
      </c>
      <c r="B800" s="6" t="str">
        <f>"508120230422204247139560"</f>
        <v>508120230422204247139560</v>
      </c>
      <c r="C800" s="6" t="s">
        <v>6</v>
      </c>
      <c r="D800" s="6" t="str">
        <f>"彭诗凤"</f>
        <v>彭诗凤</v>
      </c>
    </row>
    <row r="801" spans="1:4" ht="30" customHeight="1">
      <c r="A801" s="6">
        <v>799</v>
      </c>
      <c r="B801" s="6" t="str">
        <f>"508120230424144710140748"</f>
        <v>508120230424144710140748</v>
      </c>
      <c r="C801" s="6" t="s">
        <v>6</v>
      </c>
      <c r="D801" s="6" t="str">
        <f>"陈哲震"</f>
        <v>陈哲震</v>
      </c>
    </row>
    <row r="802" spans="1:4" ht="30" customHeight="1">
      <c r="A802" s="6">
        <v>800</v>
      </c>
      <c r="B802" s="6" t="str">
        <f>"508120230424213642141033"</f>
        <v>508120230424213642141033</v>
      </c>
      <c r="C802" s="6" t="s">
        <v>6</v>
      </c>
      <c r="D802" s="6" t="str">
        <f>"许旭东"</f>
        <v>许旭东</v>
      </c>
    </row>
    <row r="803" spans="1:4" ht="30" customHeight="1">
      <c r="A803" s="6">
        <v>801</v>
      </c>
      <c r="B803" s="6" t="str">
        <f>"508120230422124403139309"</f>
        <v>508120230422124403139309</v>
      </c>
      <c r="C803" s="6" t="s">
        <v>6</v>
      </c>
      <c r="D803" s="6" t="str">
        <f>"林芳在"</f>
        <v>林芳在</v>
      </c>
    </row>
    <row r="804" spans="1:4" ht="30" customHeight="1">
      <c r="A804" s="6">
        <v>802</v>
      </c>
      <c r="B804" s="6" t="str">
        <f>"508120230424220012141050"</f>
        <v>508120230424220012141050</v>
      </c>
      <c r="C804" s="6" t="s">
        <v>6</v>
      </c>
      <c r="D804" s="6" t="str">
        <f>"麦蕾"</f>
        <v>麦蕾</v>
      </c>
    </row>
    <row r="805" spans="1:4" ht="30" customHeight="1">
      <c r="A805" s="6">
        <v>803</v>
      </c>
      <c r="B805" s="6" t="str">
        <f>"508120230424220152141053"</f>
        <v>508120230424220152141053</v>
      </c>
      <c r="C805" s="6" t="s">
        <v>6</v>
      </c>
      <c r="D805" s="6" t="str">
        <f>"程小姿"</f>
        <v>程小姿</v>
      </c>
    </row>
    <row r="806" spans="1:4" ht="30" customHeight="1">
      <c r="A806" s="6">
        <v>804</v>
      </c>
      <c r="B806" s="6" t="str">
        <f>"508120230424230212141100"</f>
        <v>508120230424230212141100</v>
      </c>
      <c r="C806" s="6" t="s">
        <v>6</v>
      </c>
      <c r="D806" s="6" t="str">
        <f>"李子骥"</f>
        <v>李子骥</v>
      </c>
    </row>
    <row r="807" spans="1:4" ht="30" customHeight="1">
      <c r="A807" s="6">
        <v>805</v>
      </c>
      <c r="B807" s="6" t="str">
        <f>"508120230423123639139936"</f>
        <v>508120230423123639139936</v>
      </c>
      <c r="C807" s="6" t="s">
        <v>6</v>
      </c>
      <c r="D807" s="6" t="str">
        <f>"徐文强"</f>
        <v>徐文强</v>
      </c>
    </row>
    <row r="808" spans="1:4" ht="30" customHeight="1">
      <c r="A808" s="6">
        <v>806</v>
      </c>
      <c r="B808" s="6" t="str">
        <f>"508120230424235023141118"</f>
        <v>508120230424235023141118</v>
      </c>
      <c r="C808" s="6" t="s">
        <v>6</v>
      </c>
      <c r="D808" s="6" t="str">
        <f>"李齐"</f>
        <v>李齐</v>
      </c>
    </row>
    <row r="809" spans="1:4" ht="30" customHeight="1">
      <c r="A809" s="6">
        <v>807</v>
      </c>
      <c r="B809" s="6" t="str">
        <f>"508120230423215503140348"</f>
        <v>508120230423215503140348</v>
      </c>
      <c r="C809" s="6" t="s">
        <v>6</v>
      </c>
      <c r="D809" s="6" t="str">
        <f>"梁居承"</f>
        <v>梁居承</v>
      </c>
    </row>
    <row r="810" spans="1:4" ht="30" customHeight="1">
      <c r="A810" s="6">
        <v>808</v>
      </c>
      <c r="B810" s="6" t="str">
        <f>"508120230425015517141135"</f>
        <v>508120230425015517141135</v>
      </c>
      <c r="C810" s="6" t="s">
        <v>6</v>
      </c>
      <c r="D810" s="6" t="str">
        <f>"戴奇江"</f>
        <v>戴奇江</v>
      </c>
    </row>
    <row r="811" spans="1:4" ht="30" customHeight="1">
      <c r="A811" s="6">
        <v>809</v>
      </c>
      <c r="B811" s="6" t="str">
        <f>"508120230425082140141148"</f>
        <v>508120230425082140141148</v>
      </c>
      <c r="C811" s="6" t="s">
        <v>6</v>
      </c>
      <c r="D811" s="6" t="str">
        <f>"唐紫腾"</f>
        <v>唐紫腾</v>
      </c>
    </row>
    <row r="812" spans="1:4" ht="30" customHeight="1">
      <c r="A812" s="6">
        <v>810</v>
      </c>
      <c r="B812" s="6" t="str">
        <f>"508120230425083958141157"</f>
        <v>508120230425083958141157</v>
      </c>
      <c r="C812" s="6" t="s">
        <v>6</v>
      </c>
      <c r="D812" s="6" t="str">
        <f>"朱伯文"</f>
        <v>朱伯文</v>
      </c>
    </row>
    <row r="813" spans="1:4" ht="30" customHeight="1">
      <c r="A813" s="6">
        <v>811</v>
      </c>
      <c r="B813" s="6" t="str">
        <f>"508120230424230238141101"</f>
        <v>508120230424230238141101</v>
      </c>
      <c r="C813" s="6" t="s">
        <v>6</v>
      </c>
      <c r="D813" s="6" t="str">
        <f>"秦昌浩"</f>
        <v>秦昌浩</v>
      </c>
    </row>
    <row r="814" spans="1:4" ht="30" customHeight="1">
      <c r="A814" s="6">
        <v>812</v>
      </c>
      <c r="B814" s="6" t="str">
        <f>"508120230424204118140996"</f>
        <v>508120230424204118140996</v>
      </c>
      <c r="C814" s="6" t="s">
        <v>6</v>
      </c>
      <c r="D814" s="6" t="str">
        <f>"吴斌"</f>
        <v>吴斌</v>
      </c>
    </row>
    <row r="815" spans="1:4" ht="30" customHeight="1">
      <c r="A815" s="6">
        <v>813</v>
      </c>
      <c r="B815" s="6" t="str">
        <f>"508120230425095653141197"</f>
        <v>508120230425095653141197</v>
      </c>
      <c r="C815" s="6" t="s">
        <v>6</v>
      </c>
      <c r="D815" s="6" t="str">
        <f>"曾令顺"</f>
        <v>曾令顺</v>
      </c>
    </row>
    <row r="816" spans="1:4" ht="30" customHeight="1">
      <c r="A816" s="6">
        <v>814</v>
      </c>
      <c r="B816" s="6" t="str">
        <f>"508120230425103658141227"</f>
        <v>508120230425103658141227</v>
      </c>
      <c r="C816" s="6" t="s">
        <v>6</v>
      </c>
      <c r="D816" s="6" t="str">
        <f>"李朝权"</f>
        <v>李朝权</v>
      </c>
    </row>
    <row r="817" spans="1:4" ht="30" customHeight="1">
      <c r="A817" s="6">
        <v>815</v>
      </c>
      <c r="B817" s="6" t="str">
        <f>"508120230424191957140948"</f>
        <v>508120230424191957140948</v>
      </c>
      <c r="C817" s="6" t="s">
        <v>6</v>
      </c>
      <c r="D817" s="6" t="str">
        <f>"陈海珊"</f>
        <v>陈海珊</v>
      </c>
    </row>
    <row r="818" spans="1:4" ht="30" customHeight="1">
      <c r="A818" s="6">
        <v>816</v>
      </c>
      <c r="B818" s="6" t="str">
        <f>"508120230422114240139272"</f>
        <v>508120230422114240139272</v>
      </c>
      <c r="C818" s="6" t="s">
        <v>6</v>
      </c>
      <c r="D818" s="6" t="str">
        <f>"李博文"</f>
        <v>李博文</v>
      </c>
    </row>
    <row r="819" spans="1:4" ht="30" customHeight="1">
      <c r="A819" s="6">
        <v>817</v>
      </c>
      <c r="B819" s="6" t="str">
        <f>"508120230425093442141183"</f>
        <v>508120230425093442141183</v>
      </c>
      <c r="C819" s="6" t="s">
        <v>6</v>
      </c>
      <c r="D819" s="6" t="str">
        <f>"唐圣沅"</f>
        <v>唐圣沅</v>
      </c>
    </row>
    <row r="820" spans="1:4" ht="30" customHeight="1">
      <c r="A820" s="6">
        <v>818</v>
      </c>
      <c r="B820" s="6" t="str">
        <f>"508120230425105318141242"</f>
        <v>508120230425105318141242</v>
      </c>
      <c r="C820" s="6" t="s">
        <v>6</v>
      </c>
      <c r="D820" s="6" t="str">
        <f>"冯业超"</f>
        <v>冯业超</v>
      </c>
    </row>
    <row r="821" spans="1:4" ht="30" customHeight="1">
      <c r="A821" s="6">
        <v>819</v>
      </c>
      <c r="B821" s="6" t="str">
        <f>"508120230424075410140447"</f>
        <v>508120230424075410140447</v>
      </c>
      <c r="C821" s="6" t="s">
        <v>6</v>
      </c>
      <c r="D821" s="6" t="str">
        <f>"吴川銮"</f>
        <v>吴川銮</v>
      </c>
    </row>
    <row r="822" spans="1:4" ht="30" customHeight="1">
      <c r="A822" s="6">
        <v>820</v>
      </c>
      <c r="B822" s="6" t="str">
        <f>"508120230422232830139666"</f>
        <v>508120230422232830139666</v>
      </c>
      <c r="C822" s="6" t="s">
        <v>6</v>
      </c>
      <c r="D822" s="6" t="str">
        <f>"郑鑫康"</f>
        <v>郑鑫康</v>
      </c>
    </row>
    <row r="823" spans="1:4" ht="30" customHeight="1">
      <c r="A823" s="6">
        <v>821</v>
      </c>
      <c r="B823" s="6" t="str">
        <f>"508120230425120143141300"</f>
        <v>508120230425120143141300</v>
      </c>
      <c r="C823" s="6" t="s">
        <v>6</v>
      </c>
      <c r="D823" s="6" t="str">
        <f>"李名江"</f>
        <v>李名江</v>
      </c>
    </row>
    <row r="824" spans="1:4" ht="30" customHeight="1">
      <c r="A824" s="6">
        <v>822</v>
      </c>
      <c r="B824" s="6" t="str">
        <f>"508120230423215602140349"</f>
        <v>508120230423215602140349</v>
      </c>
      <c r="C824" s="6" t="s">
        <v>6</v>
      </c>
      <c r="D824" s="6" t="str">
        <f>"苏之毅"</f>
        <v>苏之毅</v>
      </c>
    </row>
    <row r="825" spans="1:4" ht="30" customHeight="1">
      <c r="A825" s="6">
        <v>823</v>
      </c>
      <c r="B825" s="6" t="str">
        <f>"508120230424130624140711"</f>
        <v>508120230424130624140711</v>
      </c>
      <c r="C825" s="6" t="s">
        <v>6</v>
      </c>
      <c r="D825" s="6" t="str">
        <f>"叶轲"</f>
        <v>叶轲</v>
      </c>
    </row>
    <row r="826" spans="1:4" ht="30" customHeight="1">
      <c r="A826" s="6">
        <v>824</v>
      </c>
      <c r="B826" s="6" t="str">
        <f>"508120230424180238140898"</f>
        <v>508120230424180238140898</v>
      </c>
      <c r="C826" s="6" t="s">
        <v>6</v>
      </c>
      <c r="D826" s="6" t="str">
        <f>"钟圣波"</f>
        <v>钟圣波</v>
      </c>
    </row>
    <row r="827" spans="1:4" ht="30" customHeight="1">
      <c r="A827" s="6">
        <v>825</v>
      </c>
      <c r="B827" s="6" t="str">
        <f>"508120230422101721139217"</f>
        <v>508120230422101721139217</v>
      </c>
      <c r="C827" s="6" t="s">
        <v>6</v>
      </c>
      <c r="D827" s="6" t="str">
        <f>"李子君"</f>
        <v>李子君</v>
      </c>
    </row>
    <row r="828" spans="1:4" ht="30" customHeight="1">
      <c r="A828" s="6">
        <v>826</v>
      </c>
      <c r="B828" s="6" t="str">
        <f>"508120230421163910138860"</f>
        <v>508120230421163910138860</v>
      </c>
      <c r="C828" s="6" t="s">
        <v>6</v>
      </c>
      <c r="D828" s="6" t="str">
        <f>"王琼靠"</f>
        <v>王琼靠</v>
      </c>
    </row>
    <row r="829" spans="1:4" ht="30" customHeight="1">
      <c r="A829" s="6">
        <v>827</v>
      </c>
      <c r="B829" s="6" t="str">
        <f>"508120230421164746138871"</f>
        <v>508120230421164746138871</v>
      </c>
      <c r="C829" s="6" t="s">
        <v>6</v>
      </c>
      <c r="D829" s="6" t="str">
        <f>"任双林"</f>
        <v>任双林</v>
      </c>
    </row>
    <row r="830" spans="1:4" ht="30" customHeight="1">
      <c r="A830" s="6">
        <v>828</v>
      </c>
      <c r="B830" s="6" t="str">
        <f>"508120230424120258140676"</f>
        <v>508120230424120258140676</v>
      </c>
      <c r="C830" s="6" t="s">
        <v>6</v>
      </c>
      <c r="D830" s="6" t="str">
        <f>"王云杰"</f>
        <v>王云杰</v>
      </c>
    </row>
    <row r="831" spans="1:4" ht="30" customHeight="1">
      <c r="A831" s="6">
        <v>829</v>
      </c>
      <c r="B831" s="6" t="str">
        <f>"508120230425153424141392"</f>
        <v>508120230425153424141392</v>
      </c>
      <c r="C831" s="6" t="s">
        <v>6</v>
      </c>
      <c r="D831" s="6" t="str">
        <f>"钟俊伟"</f>
        <v>钟俊伟</v>
      </c>
    </row>
    <row r="832" spans="1:4" ht="30" customHeight="1">
      <c r="A832" s="6">
        <v>830</v>
      </c>
      <c r="B832" s="6" t="str">
        <f>"508120230421172957138923"</f>
        <v>508120230421172957138923</v>
      </c>
      <c r="C832" s="6" t="s">
        <v>6</v>
      </c>
      <c r="D832" s="6" t="str">
        <f>"严居青"</f>
        <v>严居青</v>
      </c>
    </row>
    <row r="833" spans="1:4" ht="30" customHeight="1">
      <c r="A833" s="6">
        <v>831</v>
      </c>
      <c r="B833" s="6" t="str">
        <f>"508120230425151147141368"</f>
        <v>508120230425151147141368</v>
      </c>
      <c r="C833" s="6" t="s">
        <v>6</v>
      </c>
      <c r="D833" s="6" t="str">
        <f>"文爽"</f>
        <v>文爽</v>
      </c>
    </row>
    <row r="834" spans="1:4" ht="30" customHeight="1">
      <c r="A834" s="6">
        <v>832</v>
      </c>
      <c r="B834" s="6" t="str">
        <f>"508120230425155931141407"</f>
        <v>508120230425155931141407</v>
      </c>
      <c r="C834" s="6" t="s">
        <v>6</v>
      </c>
      <c r="D834" s="6" t="str">
        <f>"林建国"</f>
        <v>林建国</v>
      </c>
    </row>
    <row r="835" spans="1:4" ht="30" customHeight="1">
      <c r="A835" s="6">
        <v>833</v>
      </c>
      <c r="B835" s="6" t="str">
        <f>"508120230425162847141432"</f>
        <v>508120230425162847141432</v>
      </c>
      <c r="C835" s="6" t="s">
        <v>6</v>
      </c>
      <c r="D835" s="6" t="str">
        <f>"熊章喜"</f>
        <v>熊章喜</v>
      </c>
    </row>
    <row r="836" spans="1:4" ht="30" customHeight="1">
      <c r="A836" s="6">
        <v>834</v>
      </c>
      <c r="B836" s="6" t="str">
        <f>"508120230424101014140563"</f>
        <v>508120230424101014140563</v>
      </c>
      <c r="C836" s="6" t="s">
        <v>6</v>
      </c>
      <c r="D836" s="6" t="str">
        <f>"王春梅"</f>
        <v>王春梅</v>
      </c>
    </row>
    <row r="837" spans="1:4" ht="30" customHeight="1">
      <c r="A837" s="6">
        <v>835</v>
      </c>
      <c r="B837" s="6" t="str">
        <f>"508120230422153706139389"</f>
        <v>508120230422153706139389</v>
      </c>
      <c r="C837" s="6" t="s">
        <v>6</v>
      </c>
      <c r="D837" s="6" t="str">
        <f>"莫文斌"</f>
        <v>莫文斌</v>
      </c>
    </row>
    <row r="838" spans="1:4" ht="30" customHeight="1">
      <c r="A838" s="6">
        <v>836</v>
      </c>
      <c r="B838" s="6" t="str">
        <f>"508120230424170226140860"</f>
        <v>508120230424170226140860</v>
      </c>
      <c r="C838" s="6" t="s">
        <v>6</v>
      </c>
      <c r="D838" s="6" t="str">
        <f>"李向杰"</f>
        <v>李向杰</v>
      </c>
    </row>
    <row r="839" spans="1:4" ht="30" customHeight="1">
      <c r="A839" s="6">
        <v>837</v>
      </c>
      <c r="B839" s="6" t="str">
        <f>"508120230421160531138816"</f>
        <v>508120230421160531138816</v>
      </c>
      <c r="C839" s="6" t="s">
        <v>6</v>
      </c>
      <c r="D839" s="6" t="str">
        <f>"李柏君"</f>
        <v>李柏君</v>
      </c>
    </row>
    <row r="840" spans="1:4" ht="30" customHeight="1">
      <c r="A840" s="6">
        <v>838</v>
      </c>
      <c r="B840" s="6" t="str">
        <f>"508120230425164103141441"</f>
        <v>508120230425164103141441</v>
      </c>
      <c r="C840" s="6" t="s">
        <v>6</v>
      </c>
      <c r="D840" s="6" t="str">
        <f>"王敏先"</f>
        <v>王敏先</v>
      </c>
    </row>
    <row r="841" spans="1:4" ht="30" customHeight="1">
      <c r="A841" s="6">
        <v>839</v>
      </c>
      <c r="B841" s="6" t="str">
        <f>"508120230425160515141413"</f>
        <v>508120230425160515141413</v>
      </c>
      <c r="C841" s="6" t="s">
        <v>6</v>
      </c>
      <c r="D841" s="6" t="str">
        <f>"麦志忠"</f>
        <v>麦志忠</v>
      </c>
    </row>
    <row r="842" spans="1:4" ht="30" customHeight="1">
      <c r="A842" s="6">
        <v>840</v>
      </c>
      <c r="B842" s="6" t="str">
        <f>"508120230424175238140895"</f>
        <v>508120230424175238140895</v>
      </c>
      <c r="C842" s="6" t="s">
        <v>6</v>
      </c>
      <c r="D842" s="6" t="str">
        <f>"谢金强"</f>
        <v>谢金强</v>
      </c>
    </row>
    <row r="843" spans="1:4" ht="30" customHeight="1">
      <c r="A843" s="6">
        <v>841</v>
      </c>
      <c r="B843" s="6" t="str">
        <f>"508120230425181501141499"</f>
        <v>508120230425181501141499</v>
      </c>
      <c r="C843" s="6" t="s">
        <v>6</v>
      </c>
      <c r="D843" s="6" t="str">
        <f>"余松"</f>
        <v>余松</v>
      </c>
    </row>
    <row r="844" spans="1:4" ht="30" customHeight="1">
      <c r="A844" s="6">
        <v>842</v>
      </c>
      <c r="B844" s="6" t="str">
        <f>"508120230425162102141426"</f>
        <v>508120230425162102141426</v>
      </c>
      <c r="C844" s="6" t="s">
        <v>6</v>
      </c>
      <c r="D844" s="6" t="str">
        <f>"梁代钦"</f>
        <v>梁代钦</v>
      </c>
    </row>
    <row r="845" spans="1:4" ht="30" customHeight="1">
      <c r="A845" s="6">
        <v>843</v>
      </c>
      <c r="B845" s="6" t="str">
        <f>"508120230425184511141514"</f>
        <v>508120230425184511141514</v>
      </c>
      <c r="C845" s="6" t="s">
        <v>6</v>
      </c>
      <c r="D845" s="6" t="str">
        <f>"符国济"</f>
        <v>符国济</v>
      </c>
    </row>
    <row r="846" spans="1:4" ht="30" customHeight="1">
      <c r="A846" s="6">
        <v>844</v>
      </c>
      <c r="B846" s="6" t="str">
        <f>"508120230424174714140894"</f>
        <v>508120230424174714140894</v>
      </c>
      <c r="C846" s="6" t="s">
        <v>6</v>
      </c>
      <c r="D846" s="6" t="str">
        <f>"李道敏"</f>
        <v>李道敏</v>
      </c>
    </row>
    <row r="847" spans="1:4" ht="30" customHeight="1">
      <c r="A847" s="6">
        <v>845</v>
      </c>
      <c r="B847" s="6" t="str">
        <f>"508120230425172623141473"</f>
        <v>508120230425172623141473</v>
      </c>
      <c r="C847" s="6" t="s">
        <v>6</v>
      </c>
      <c r="D847" s="6" t="str">
        <f>"陈源孝"</f>
        <v>陈源孝</v>
      </c>
    </row>
    <row r="848" spans="1:4" ht="30" customHeight="1">
      <c r="A848" s="6">
        <v>846</v>
      </c>
      <c r="B848" s="6" t="str">
        <f>"508120230422172155139440"</f>
        <v>508120230422172155139440</v>
      </c>
      <c r="C848" s="6" t="s">
        <v>6</v>
      </c>
      <c r="D848" s="6" t="str">
        <f>"肖日鑫"</f>
        <v>肖日鑫</v>
      </c>
    </row>
    <row r="849" spans="1:4" ht="30" customHeight="1">
      <c r="A849" s="6">
        <v>847</v>
      </c>
      <c r="B849" s="6" t="str">
        <f>"508120230425205441141563"</f>
        <v>508120230425205441141563</v>
      </c>
      <c r="C849" s="6" t="s">
        <v>6</v>
      </c>
      <c r="D849" s="6" t="str">
        <f>"孙章成"</f>
        <v>孙章成</v>
      </c>
    </row>
    <row r="850" spans="1:4" ht="30" customHeight="1">
      <c r="A850" s="6">
        <v>848</v>
      </c>
      <c r="B850" s="6" t="str">
        <f>"508120230423234939140423"</f>
        <v>508120230423234939140423</v>
      </c>
      <c r="C850" s="6" t="s">
        <v>6</v>
      </c>
      <c r="D850" s="6" t="str">
        <f>"林波"</f>
        <v>林波</v>
      </c>
    </row>
    <row r="851" spans="1:4" ht="30" customHeight="1">
      <c r="A851" s="6">
        <v>849</v>
      </c>
      <c r="B851" s="6" t="str">
        <f>"508120230423185546140209"</f>
        <v>508120230423185546140209</v>
      </c>
      <c r="C851" s="6" t="s">
        <v>6</v>
      </c>
      <c r="D851" s="6" t="str">
        <f>"符方彬"</f>
        <v>符方彬</v>
      </c>
    </row>
    <row r="852" spans="1:4" ht="30" customHeight="1">
      <c r="A852" s="6">
        <v>850</v>
      </c>
      <c r="B852" s="6" t="str">
        <f>"508120230423225805140393"</f>
        <v>508120230423225805140393</v>
      </c>
      <c r="C852" s="6" t="s">
        <v>6</v>
      </c>
      <c r="D852" s="6" t="str">
        <f>"蔡翔"</f>
        <v>蔡翔</v>
      </c>
    </row>
    <row r="853" spans="1:4" ht="30" customHeight="1">
      <c r="A853" s="6">
        <v>851</v>
      </c>
      <c r="B853" s="6" t="str">
        <f>"508120230425211334141580"</f>
        <v>508120230425211334141580</v>
      </c>
      <c r="C853" s="6" t="s">
        <v>6</v>
      </c>
      <c r="D853" s="6" t="str">
        <f>"蒙忠瀚"</f>
        <v>蒙忠瀚</v>
      </c>
    </row>
    <row r="854" spans="1:4" ht="30" customHeight="1">
      <c r="A854" s="6">
        <v>852</v>
      </c>
      <c r="B854" s="6" t="str">
        <f>"508120230425212304141587"</f>
        <v>508120230425212304141587</v>
      </c>
      <c r="C854" s="6" t="s">
        <v>6</v>
      </c>
      <c r="D854" s="6" t="str">
        <f>"羊文彪"</f>
        <v>羊文彪</v>
      </c>
    </row>
    <row r="855" spans="1:4" ht="30" customHeight="1">
      <c r="A855" s="6">
        <v>853</v>
      </c>
      <c r="B855" s="6" t="str">
        <f>"508120230425105615141246"</f>
        <v>508120230425105615141246</v>
      </c>
      <c r="C855" s="6" t="s">
        <v>6</v>
      </c>
      <c r="D855" s="6" t="str">
        <f>"黄良释"</f>
        <v>黄良释</v>
      </c>
    </row>
    <row r="856" spans="1:4" ht="30" customHeight="1">
      <c r="A856" s="6">
        <v>854</v>
      </c>
      <c r="B856" s="6" t="str">
        <f>"508120230425215513141611"</f>
        <v>508120230425215513141611</v>
      </c>
      <c r="C856" s="6" t="s">
        <v>6</v>
      </c>
      <c r="D856" s="6" t="str">
        <f>"邱明鹏"</f>
        <v>邱明鹏</v>
      </c>
    </row>
    <row r="857" spans="1:4" ht="30" customHeight="1">
      <c r="A857" s="6">
        <v>855</v>
      </c>
      <c r="B857" s="6" t="str">
        <f>"508120230422181241139469"</f>
        <v>508120230422181241139469</v>
      </c>
      <c r="C857" s="6" t="s">
        <v>6</v>
      </c>
      <c r="D857" s="6" t="str">
        <f>"陈浩帆"</f>
        <v>陈浩帆</v>
      </c>
    </row>
    <row r="858" spans="1:4" ht="30" customHeight="1">
      <c r="A858" s="6">
        <v>856</v>
      </c>
      <c r="B858" s="6" t="str">
        <f>"508120230423215113140342"</f>
        <v>508120230423215113140342</v>
      </c>
      <c r="C858" s="6" t="s">
        <v>6</v>
      </c>
      <c r="D858" s="6" t="str">
        <f>"陈有皇"</f>
        <v>陈有皇</v>
      </c>
    </row>
    <row r="859" spans="1:4" ht="30" customHeight="1">
      <c r="A859" s="6">
        <v>857</v>
      </c>
      <c r="B859" s="6" t="str">
        <f>"508120230425225044141645"</f>
        <v>508120230425225044141645</v>
      </c>
      <c r="C859" s="6" t="s">
        <v>6</v>
      </c>
      <c r="D859" s="6" t="str">
        <f>"吴峻杰"</f>
        <v>吴峻杰</v>
      </c>
    </row>
    <row r="860" spans="1:4" ht="30" customHeight="1">
      <c r="A860" s="6">
        <v>858</v>
      </c>
      <c r="B860" s="6" t="str">
        <f>"508120230421231430139127"</f>
        <v>508120230421231430139127</v>
      </c>
      <c r="C860" s="6" t="s">
        <v>6</v>
      </c>
      <c r="D860" s="6" t="str">
        <f>"文韬毅"</f>
        <v>文韬毅</v>
      </c>
    </row>
    <row r="861" spans="1:4" ht="30" customHeight="1">
      <c r="A861" s="6">
        <v>859</v>
      </c>
      <c r="B861" s="6" t="str">
        <f>"508120230425224646141641"</f>
        <v>508120230425224646141641</v>
      </c>
      <c r="C861" s="6" t="s">
        <v>6</v>
      </c>
      <c r="D861" s="6" t="str">
        <f>"宋向前"</f>
        <v>宋向前</v>
      </c>
    </row>
    <row r="862" spans="1:4" ht="30" customHeight="1">
      <c r="A862" s="6">
        <v>860</v>
      </c>
      <c r="B862" s="6" t="str">
        <f>"508120230425233516141666"</f>
        <v>508120230425233516141666</v>
      </c>
      <c r="C862" s="6" t="s">
        <v>6</v>
      </c>
      <c r="D862" s="6" t="str">
        <f>"何兴侬"</f>
        <v>何兴侬</v>
      </c>
    </row>
    <row r="863" spans="1:4" ht="30" customHeight="1">
      <c r="A863" s="6">
        <v>861</v>
      </c>
      <c r="B863" s="6" t="str">
        <f>"508120230425233839141667"</f>
        <v>508120230425233839141667</v>
      </c>
      <c r="C863" s="6" t="s">
        <v>6</v>
      </c>
      <c r="D863" s="6" t="str">
        <f>"简明普"</f>
        <v>简明普</v>
      </c>
    </row>
    <row r="864" spans="1:4" ht="30" customHeight="1">
      <c r="A864" s="6">
        <v>862</v>
      </c>
      <c r="B864" s="6" t="str">
        <f>"508120230426001838141682"</f>
        <v>508120230426001838141682</v>
      </c>
      <c r="C864" s="6" t="s">
        <v>6</v>
      </c>
      <c r="D864" s="6" t="str">
        <f>"王宏章"</f>
        <v>王宏章</v>
      </c>
    </row>
    <row r="865" spans="1:4" ht="30" customHeight="1">
      <c r="A865" s="6">
        <v>863</v>
      </c>
      <c r="B865" s="6" t="str">
        <f>"508120230426005752141692"</f>
        <v>508120230426005752141692</v>
      </c>
      <c r="C865" s="6" t="s">
        <v>6</v>
      </c>
      <c r="D865" s="6" t="str">
        <f>"王盛棠"</f>
        <v>王盛棠</v>
      </c>
    </row>
    <row r="866" spans="1:4" ht="30" customHeight="1">
      <c r="A866" s="6">
        <v>864</v>
      </c>
      <c r="B866" s="6" t="str">
        <f>"508120230425145623141355"</f>
        <v>508120230425145623141355</v>
      </c>
      <c r="C866" s="6" t="s">
        <v>6</v>
      </c>
      <c r="D866" s="6" t="str">
        <f>"周邦勇"</f>
        <v>周邦勇</v>
      </c>
    </row>
    <row r="867" spans="1:4" ht="30" customHeight="1">
      <c r="A867" s="6">
        <v>865</v>
      </c>
      <c r="B867" s="6" t="str">
        <f>"508120230425152923141387"</f>
        <v>508120230425152923141387</v>
      </c>
      <c r="C867" s="6" t="s">
        <v>6</v>
      </c>
      <c r="D867" s="6" t="str">
        <f>"王咸涛"</f>
        <v>王咸涛</v>
      </c>
    </row>
    <row r="868" spans="1:4" ht="30" customHeight="1">
      <c r="A868" s="6">
        <v>866</v>
      </c>
      <c r="B868" s="6" t="str">
        <f>"508120230426082920141711"</f>
        <v>508120230426082920141711</v>
      </c>
      <c r="C868" s="6" t="s">
        <v>6</v>
      </c>
      <c r="D868" s="6" t="str">
        <f>"吴玮玮"</f>
        <v>吴玮玮</v>
      </c>
    </row>
    <row r="869" spans="1:4" ht="30" customHeight="1">
      <c r="A869" s="6">
        <v>867</v>
      </c>
      <c r="B869" s="6" t="str">
        <f>"508120230426101703141767"</f>
        <v>508120230426101703141767</v>
      </c>
      <c r="C869" s="6" t="s">
        <v>6</v>
      </c>
      <c r="D869" s="6" t="str">
        <f>"林芳和"</f>
        <v>林芳和</v>
      </c>
    </row>
    <row r="870" spans="1:4" ht="30" customHeight="1">
      <c r="A870" s="6">
        <v>868</v>
      </c>
      <c r="B870" s="6" t="str">
        <f>"508120230426100337141756"</f>
        <v>508120230426100337141756</v>
      </c>
      <c r="C870" s="6" t="s">
        <v>6</v>
      </c>
      <c r="D870" s="6" t="str">
        <f>"陈承宏"</f>
        <v>陈承宏</v>
      </c>
    </row>
    <row r="871" spans="1:4" ht="30" customHeight="1">
      <c r="A871" s="6">
        <v>869</v>
      </c>
      <c r="B871" s="6" t="str">
        <f>"508120230424101902140572"</f>
        <v>508120230424101902140572</v>
      </c>
      <c r="C871" s="6" t="s">
        <v>6</v>
      </c>
      <c r="D871" s="6" t="str">
        <f>"翚广峰"</f>
        <v>翚广峰</v>
      </c>
    </row>
    <row r="872" spans="1:4" ht="30" customHeight="1">
      <c r="A872" s="6">
        <v>870</v>
      </c>
      <c r="B872" s="6" t="str">
        <f>"508120230426092024141731"</f>
        <v>508120230426092024141731</v>
      </c>
      <c r="C872" s="6" t="s">
        <v>6</v>
      </c>
      <c r="D872" s="6" t="str">
        <f>"曾繁伟"</f>
        <v>曾繁伟</v>
      </c>
    </row>
    <row r="873" spans="1:4" ht="30" customHeight="1">
      <c r="A873" s="6">
        <v>871</v>
      </c>
      <c r="B873" s="6" t="str">
        <f>"508120230426094413141743"</f>
        <v>508120230426094413141743</v>
      </c>
      <c r="C873" s="6" t="s">
        <v>6</v>
      </c>
      <c r="D873" s="6" t="str">
        <f>"陈元隆"</f>
        <v>陈元隆</v>
      </c>
    </row>
    <row r="874" spans="1:4" ht="30" customHeight="1">
      <c r="A874" s="6">
        <v>872</v>
      </c>
      <c r="B874" s="6" t="str">
        <f>"508120230421114423138501"</f>
        <v>508120230421114423138501</v>
      </c>
      <c r="C874" s="6" t="s">
        <v>6</v>
      </c>
      <c r="D874" s="6" t="str">
        <f>"王维咚"</f>
        <v>王维咚</v>
      </c>
    </row>
    <row r="875" spans="1:4" ht="30" customHeight="1">
      <c r="A875" s="6">
        <v>873</v>
      </c>
      <c r="B875" s="6" t="str">
        <f>"508120230426111400141802"</f>
        <v>508120230426111400141802</v>
      </c>
      <c r="C875" s="6" t="s">
        <v>6</v>
      </c>
      <c r="D875" s="6" t="str">
        <f>"李伟"</f>
        <v>李伟</v>
      </c>
    </row>
    <row r="876" spans="1:4" ht="30" customHeight="1">
      <c r="A876" s="6">
        <v>874</v>
      </c>
      <c r="B876" s="6" t="str">
        <f>"508120230425221500141626"</f>
        <v>508120230425221500141626</v>
      </c>
      <c r="C876" s="6" t="s">
        <v>6</v>
      </c>
      <c r="D876" s="6" t="str">
        <f>"符志"</f>
        <v>符志</v>
      </c>
    </row>
    <row r="877" spans="1:4" ht="30" customHeight="1">
      <c r="A877" s="6">
        <v>875</v>
      </c>
      <c r="B877" s="6" t="str">
        <f>"508120230426114623141822"</f>
        <v>508120230426114623141822</v>
      </c>
      <c r="C877" s="6" t="s">
        <v>6</v>
      </c>
      <c r="D877" s="6" t="str">
        <f>"陈步来"</f>
        <v>陈步来</v>
      </c>
    </row>
    <row r="878" spans="1:4" ht="30" customHeight="1">
      <c r="A878" s="6">
        <v>876</v>
      </c>
      <c r="B878" s="6" t="str">
        <f>"508120230426122409141843"</f>
        <v>508120230426122409141843</v>
      </c>
      <c r="C878" s="6" t="s">
        <v>6</v>
      </c>
      <c r="D878" s="6" t="str">
        <f>"郑兴"</f>
        <v>郑兴</v>
      </c>
    </row>
    <row r="879" spans="1:4" ht="30" customHeight="1">
      <c r="A879" s="6">
        <v>877</v>
      </c>
      <c r="B879" s="6" t="str">
        <f>"508120230421144434138681"</f>
        <v>508120230421144434138681</v>
      </c>
      <c r="C879" s="6" t="s">
        <v>6</v>
      </c>
      <c r="D879" s="6" t="str">
        <f>"兰帅帅"</f>
        <v>兰帅帅</v>
      </c>
    </row>
    <row r="880" spans="1:4" ht="30" customHeight="1">
      <c r="A880" s="6">
        <v>878</v>
      </c>
      <c r="B880" s="6" t="str">
        <f>"508120230426111607141804"</f>
        <v>508120230426111607141804</v>
      </c>
      <c r="C880" s="6" t="s">
        <v>6</v>
      </c>
      <c r="D880" s="6" t="str">
        <f>"陈梅颜"</f>
        <v>陈梅颜</v>
      </c>
    </row>
    <row r="881" spans="1:4" ht="30" customHeight="1">
      <c r="A881" s="6">
        <v>879</v>
      </c>
      <c r="B881" s="6" t="str">
        <f>"508120230426112347141808"</f>
        <v>508120230426112347141808</v>
      </c>
      <c r="C881" s="6" t="s">
        <v>6</v>
      </c>
      <c r="D881" s="6" t="str">
        <f>"王涛"</f>
        <v>王涛</v>
      </c>
    </row>
    <row r="882" spans="1:4" ht="30" customHeight="1">
      <c r="A882" s="6">
        <v>880</v>
      </c>
      <c r="B882" s="6" t="str">
        <f>"508120230425081903141147"</f>
        <v>508120230425081903141147</v>
      </c>
      <c r="C882" s="6" t="s">
        <v>6</v>
      </c>
      <c r="D882" s="6" t="str">
        <f>"李成鑫"</f>
        <v>李成鑫</v>
      </c>
    </row>
    <row r="883" spans="1:4" ht="30" customHeight="1">
      <c r="A883" s="6">
        <v>881</v>
      </c>
      <c r="B883" s="6" t="str">
        <f>"508120230422230958139656"</f>
        <v>508120230422230958139656</v>
      </c>
      <c r="C883" s="6" t="s">
        <v>6</v>
      </c>
      <c r="D883" s="6" t="str">
        <f>"许红达"</f>
        <v>许红达</v>
      </c>
    </row>
    <row r="884" spans="1:4" ht="30" customHeight="1">
      <c r="A884" s="6">
        <v>882</v>
      </c>
      <c r="B884" s="6" t="str">
        <f>"508120230426120726141838"</f>
        <v>508120230426120726141838</v>
      </c>
      <c r="C884" s="6" t="s">
        <v>6</v>
      </c>
      <c r="D884" s="6" t="str">
        <f>"吴坤清"</f>
        <v>吴坤清</v>
      </c>
    </row>
    <row r="885" spans="1:4" ht="30" customHeight="1">
      <c r="A885" s="6">
        <v>883</v>
      </c>
      <c r="B885" s="6" t="str">
        <f>"508120230425153531141393"</f>
        <v>508120230425153531141393</v>
      </c>
      <c r="C885" s="6" t="s">
        <v>6</v>
      </c>
      <c r="D885" s="6" t="str">
        <f>"彭健鸿"</f>
        <v>彭健鸿</v>
      </c>
    </row>
    <row r="886" spans="1:4" ht="30" customHeight="1">
      <c r="A886" s="6">
        <v>884</v>
      </c>
      <c r="B886" s="6" t="str">
        <f>"508120230426123425141849"</f>
        <v>508120230426123425141849</v>
      </c>
      <c r="C886" s="6" t="s">
        <v>6</v>
      </c>
      <c r="D886" s="6" t="str">
        <f>"文玉培"</f>
        <v>文玉培</v>
      </c>
    </row>
    <row r="887" spans="1:4" ht="30" customHeight="1">
      <c r="A887" s="6">
        <v>885</v>
      </c>
      <c r="B887" s="6" t="str">
        <f>"508120230426120137141834"</f>
        <v>508120230426120137141834</v>
      </c>
      <c r="C887" s="6" t="s">
        <v>6</v>
      </c>
      <c r="D887" s="6" t="str">
        <f>"王道用"</f>
        <v>王道用</v>
      </c>
    </row>
    <row r="888" spans="1:4" ht="30" customHeight="1">
      <c r="A888" s="6">
        <v>886</v>
      </c>
      <c r="B888" s="6" t="str">
        <f>"508120230426145508141903"</f>
        <v>508120230426145508141903</v>
      </c>
      <c r="C888" s="6" t="s">
        <v>6</v>
      </c>
      <c r="D888" s="6" t="str">
        <f>"谢秀龙"</f>
        <v>谢秀龙</v>
      </c>
    </row>
    <row r="889" spans="1:4" ht="30" customHeight="1">
      <c r="A889" s="6">
        <v>887</v>
      </c>
      <c r="B889" s="6" t="str">
        <f>"508120230426152145141928"</f>
        <v>508120230426152145141928</v>
      </c>
      <c r="C889" s="6" t="s">
        <v>6</v>
      </c>
      <c r="D889" s="6" t="str">
        <f>"邓孚才"</f>
        <v>邓孚才</v>
      </c>
    </row>
    <row r="890" spans="1:4" ht="30" customHeight="1">
      <c r="A890" s="6">
        <v>888</v>
      </c>
      <c r="B890" s="6" t="str">
        <f>"508120230426160143141965"</f>
        <v>508120230426160143141965</v>
      </c>
      <c r="C890" s="6" t="s">
        <v>6</v>
      </c>
      <c r="D890" s="6" t="str">
        <f>"吴城"</f>
        <v>吴城</v>
      </c>
    </row>
    <row r="891" spans="1:4" ht="30" customHeight="1">
      <c r="A891" s="6">
        <v>889</v>
      </c>
      <c r="B891" s="6" t="str">
        <f>"508120230425151549141374"</f>
        <v>508120230425151549141374</v>
      </c>
      <c r="C891" s="6" t="s">
        <v>6</v>
      </c>
      <c r="D891" s="6" t="str">
        <f>"裴锦军"</f>
        <v>裴锦军</v>
      </c>
    </row>
    <row r="892" spans="1:4" ht="30" customHeight="1">
      <c r="A892" s="6">
        <v>890</v>
      </c>
      <c r="B892" s="6" t="str">
        <f>"508120230426171538142036"</f>
        <v>508120230426171538142036</v>
      </c>
      <c r="C892" s="6" t="s">
        <v>6</v>
      </c>
      <c r="D892" s="6" t="str">
        <f>"符泰华"</f>
        <v>符泰华</v>
      </c>
    </row>
    <row r="893" spans="1:4" ht="30" customHeight="1">
      <c r="A893" s="6">
        <v>891</v>
      </c>
      <c r="B893" s="6" t="str">
        <f>"508120230426172738142044"</f>
        <v>508120230426172738142044</v>
      </c>
      <c r="C893" s="6" t="s">
        <v>6</v>
      </c>
      <c r="D893" s="6" t="str">
        <f>"王剑"</f>
        <v>王剑</v>
      </c>
    </row>
    <row r="894" spans="1:4" ht="30" customHeight="1">
      <c r="A894" s="6">
        <v>892</v>
      </c>
      <c r="B894" s="6" t="str">
        <f>"508120230426121012141841"</f>
        <v>508120230426121012141841</v>
      </c>
      <c r="C894" s="6" t="s">
        <v>6</v>
      </c>
      <c r="D894" s="6" t="str">
        <f>"黄志"</f>
        <v>黄志</v>
      </c>
    </row>
    <row r="895" spans="1:4" ht="30" customHeight="1">
      <c r="A895" s="6">
        <v>893</v>
      </c>
      <c r="B895" s="6" t="str">
        <f>"508120230426150835141918"</f>
        <v>508120230426150835141918</v>
      </c>
      <c r="C895" s="6" t="s">
        <v>6</v>
      </c>
      <c r="D895" s="6" t="str">
        <f>"柳敏"</f>
        <v>柳敏</v>
      </c>
    </row>
    <row r="896" spans="1:4" ht="30" customHeight="1">
      <c r="A896" s="6">
        <v>894</v>
      </c>
      <c r="B896" s="6" t="str">
        <f>"508120230426175418142059"</f>
        <v>508120230426175418142059</v>
      </c>
      <c r="C896" s="6" t="s">
        <v>6</v>
      </c>
      <c r="D896" s="6" t="str">
        <f>"吴锦喜"</f>
        <v>吴锦喜</v>
      </c>
    </row>
    <row r="897" spans="1:4" ht="30" customHeight="1">
      <c r="A897" s="6">
        <v>895</v>
      </c>
      <c r="B897" s="6" t="str">
        <f>"508120230426180151142062"</f>
        <v>508120230426180151142062</v>
      </c>
      <c r="C897" s="6" t="s">
        <v>6</v>
      </c>
      <c r="D897" s="6" t="str">
        <f>"符晶慧"</f>
        <v>符晶慧</v>
      </c>
    </row>
    <row r="898" spans="1:4" ht="30" customHeight="1">
      <c r="A898" s="6">
        <v>896</v>
      </c>
      <c r="B898" s="6" t="str">
        <f>"508120230426182827142082"</f>
        <v>508120230426182827142082</v>
      </c>
      <c r="C898" s="6" t="s">
        <v>6</v>
      </c>
      <c r="D898" s="6" t="str">
        <f>"刘磊"</f>
        <v>刘磊</v>
      </c>
    </row>
    <row r="899" spans="1:4" ht="30" customHeight="1">
      <c r="A899" s="6">
        <v>897</v>
      </c>
      <c r="B899" s="6" t="str">
        <f>"508120230425220337141619"</f>
        <v>508120230425220337141619</v>
      </c>
      <c r="C899" s="6" t="s">
        <v>6</v>
      </c>
      <c r="D899" s="6" t="str">
        <f>"谢旺延"</f>
        <v>谢旺延</v>
      </c>
    </row>
    <row r="900" spans="1:4" ht="30" customHeight="1">
      <c r="A900" s="6">
        <v>898</v>
      </c>
      <c r="B900" s="6" t="str">
        <f>"508120230424110135140619"</f>
        <v>508120230424110135140619</v>
      </c>
      <c r="C900" s="6" t="s">
        <v>6</v>
      </c>
      <c r="D900" s="6" t="str">
        <f>"顾海锋"</f>
        <v>顾海锋</v>
      </c>
    </row>
    <row r="901" spans="1:4" ht="30" customHeight="1">
      <c r="A901" s="6">
        <v>899</v>
      </c>
      <c r="B901" s="6" t="str">
        <f>"508120230422222708139630"</f>
        <v>508120230422222708139630</v>
      </c>
      <c r="C901" s="6" t="s">
        <v>6</v>
      </c>
      <c r="D901" s="6" t="str">
        <f>"秦万禄"</f>
        <v>秦万禄</v>
      </c>
    </row>
    <row r="902" spans="1:4" ht="30" customHeight="1">
      <c r="A902" s="6">
        <v>900</v>
      </c>
      <c r="B902" s="6" t="str">
        <f>"508120230421114113138494"</f>
        <v>508120230421114113138494</v>
      </c>
      <c r="C902" s="6" t="s">
        <v>6</v>
      </c>
      <c r="D902" s="6" t="str">
        <f>"李学奋"</f>
        <v>李学奋</v>
      </c>
    </row>
    <row r="903" spans="1:4" ht="30" customHeight="1">
      <c r="A903" s="6">
        <v>901</v>
      </c>
      <c r="B903" s="6" t="str">
        <f>"508120230426202054142150"</f>
        <v>508120230426202054142150</v>
      </c>
      <c r="C903" s="6" t="s">
        <v>6</v>
      </c>
      <c r="D903" s="6" t="str">
        <f>"潘泓"</f>
        <v>潘泓</v>
      </c>
    </row>
    <row r="904" spans="1:4" ht="30" customHeight="1">
      <c r="A904" s="6">
        <v>902</v>
      </c>
      <c r="B904" s="6" t="str">
        <f>"508120230426202725142154"</f>
        <v>508120230426202725142154</v>
      </c>
      <c r="C904" s="6" t="s">
        <v>6</v>
      </c>
      <c r="D904" s="6" t="str">
        <f>"陈健锴"</f>
        <v>陈健锴</v>
      </c>
    </row>
    <row r="905" spans="1:4" ht="30" customHeight="1">
      <c r="A905" s="6">
        <v>903</v>
      </c>
      <c r="B905" s="6" t="str">
        <f>"508120230423121319139924"</f>
        <v>508120230423121319139924</v>
      </c>
      <c r="C905" s="6" t="s">
        <v>6</v>
      </c>
      <c r="D905" s="6" t="str">
        <f>"符大邵"</f>
        <v>符大邵</v>
      </c>
    </row>
    <row r="906" spans="1:4" ht="30" customHeight="1">
      <c r="A906" s="6">
        <v>904</v>
      </c>
      <c r="B906" s="6" t="str">
        <f>"508120230426195845142139"</f>
        <v>508120230426195845142139</v>
      </c>
      <c r="C906" s="6" t="s">
        <v>6</v>
      </c>
      <c r="D906" s="6" t="str">
        <f>"孙贤莹"</f>
        <v>孙贤莹</v>
      </c>
    </row>
    <row r="907" spans="1:4" ht="30" customHeight="1">
      <c r="A907" s="6">
        <v>905</v>
      </c>
      <c r="B907" s="6" t="str">
        <f>"508120230426203000142157"</f>
        <v>508120230426203000142157</v>
      </c>
      <c r="C907" s="6" t="s">
        <v>6</v>
      </c>
      <c r="D907" s="6" t="str">
        <f>"符方珑"</f>
        <v>符方珑</v>
      </c>
    </row>
    <row r="908" spans="1:4" ht="30" customHeight="1">
      <c r="A908" s="6">
        <v>906</v>
      </c>
      <c r="B908" s="6" t="str">
        <f>"508120230426193143142124"</f>
        <v>508120230426193143142124</v>
      </c>
      <c r="C908" s="6" t="s">
        <v>6</v>
      </c>
      <c r="D908" s="6" t="str">
        <f>"吴长福"</f>
        <v>吴长福</v>
      </c>
    </row>
    <row r="909" spans="1:4" ht="30" customHeight="1">
      <c r="A909" s="6">
        <v>907</v>
      </c>
      <c r="B909" s="6" t="str">
        <f>"508120230426213045142205"</f>
        <v>508120230426213045142205</v>
      </c>
      <c r="C909" s="6" t="s">
        <v>6</v>
      </c>
      <c r="D909" s="6" t="str">
        <f>"宋哲媛"</f>
        <v>宋哲媛</v>
      </c>
    </row>
    <row r="910" spans="1:4" ht="30" customHeight="1">
      <c r="A910" s="6">
        <v>908</v>
      </c>
      <c r="B910" s="6" t="str">
        <f>"508120230423184659140200"</f>
        <v>508120230423184659140200</v>
      </c>
      <c r="C910" s="6" t="s">
        <v>6</v>
      </c>
      <c r="D910" s="6" t="str">
        <f>"辜斯誉"</f>
        <v>辜斯誉</v>
      </c>
    </row>
    <row r="911" spans="1:4" ht="30" customHeight="1">
      <c r="A911" s="6">
        <v>909</v>
      </c>
      <c r="B911" s="6" t="str">
        <f>"508120230424220535141055"</f>
        <v>508120230424220535141055</v>
      </c>
      <c r="C911" s="6" t="s">
        <v>6</v>
      </c>
      <c r="D911" s="6" t="str">
        <f>"林森"</f>
        <v>林森</v>
      </c>
    </row>
    <row r="912" spans="1:4" ht="30" customHeight="1">
      <c r="A912" s="6">
        <v>910</v>
      </c>
      <c r="B912" s="6" t="str">
        <f>"508120230426214742142216"</f>
        <v>508120230426214742142216</v>
      </c>
      <c r="C912" s="6" t="s">
        <v>6</v>
      </c>
      <c r="D912" s="6" t="str">
        <f>"刘祖振"</f>
        <v>刘祖振</v>
      </c>
    </row>
    <row r="913" spans="1:4" ht="30" customHeight="1">
      <c r="A913" s="6">
        <v>911</v>
      </c>
      <c r="B913" s="6" t="str">
        <f>"508120230421090117138083"</f>
        <v>508120230421090117138083</v>
      </c>
      <c r="C913" s="6" t="s">
        <v>6</v>
      </c>
      <c r="D913" s="6" t="str">
        <f>"周敏华"</f>
        <v>周敏华</v>
      </c>
    </row>
    <row r="914" spans="1:4" ht="30" customHeight="1">
      <c r="A914" s="6">
        <v>912</v>
      </c>
      <c r="B914" s="6" t="str">
        <f>"508120230426222639142252"</f>
        <v>508120230426222639142252</v>
      </c>
      <c r="C914" s="6" t="s">
        <v>6</v>
      </c>
      <c r="D914" s="6" t="str">
        <f>"吴忠武"</f>
        <v>吴忠武</v>
      </c>
    </row>
    <row r="915" spans="1:4" ht="30" customHeight="1">
      <c r="A915" s="6">
        <v>913</v>
      </c>
      <c r="B915" s="6" t="str">
        <f>"508120230426122956141845"</f>
        <v>508120230426122956141845</v>
      </c>
      <c r="C915" s="6" t="s">
        <v>6</v>
      </c>
      <c r="D915" s="6" t="str">
        <f>"徐翰杰"</f>
        <v>徐翰杰</v>
      </c>
    </row>
    <row r="916" spans="1:4" ht="30" customHeight="1">
      <c r="A916" s="6">
        <v>914</v>
      </c>
      <c r="B916" s="6" t="str">
        <f>"508120230426221159142237"</f>
        <v>508120230426221159142237</v>
      </c>
      <c r="C916" s="6" t="s">
        <v>6</v>
      </c>
      <c r="D916" s="6" t="str">
        <f>"李芳可"</f>
        <v>李芳可</v>
      </c>
    </row>
    <row r="917" spans="1:4" ht="30" customHeight="1">
      <c r="A917" s="6">
        <v>915</v>
      </c>
      <c r="B917" s="6" t="str">
        <f>"508120230426112404141809"</f>
        <v>508120230426112404141809</v>
      </c>
      <c r="C917" s="6" t="s">
        <v>6</v>
      </c>
      <c r="D917" s="6" t="str">
        <f>"符文腾"</f>
        <v>符文腾</v>
      </c>
    </row>
    <row r="918" spans="1:4" ht="30" customHeight="1">
      <c r="A918" s="6">
        <v>916</v>
      </c>
      <c r="B918" s="6" t="str">
        <f>"508120230426221141142236"</f>
        <v>508120230426221141142236</v>
      </c>
      <c r="C918" s="6" t="s">
        <v>6</v>
      </c>
      <c r="D918" s="6" t="str">
        <f>"钟泽汕"</f>
        <v>钟泽汕</v>
      </c>
    </row>
    <row r="919" spans="1:4" ht="30" customHeight="1">
      <c r="A919" s="6">
        <v>917</v>
      </c>
      <c r="B919" s="6" t="str">
        <f>"508120230426220730142233"</f>
        <v>508120230426220730142233</v>
      </c>
      <c r="C919" s="6" t="s">
        <v>6</v>
      </c>
      <c r="D919" s="6" t="str">
        <f>"梁家华"</f>
        <v>梁家华</v>
      </c>
    </row>
    <row r="920" spans="1:4" ht="30" customHeight="1">
      <c r="A920" s="6">
        <v>918</v>
      </c>
      <c r="B920" s="6" t="str">
        <f>"508120230421174954138943"</f>
        <v>508120230421174954138943</v>
      </c>
      <c r="C920" s="6" t="s">
        <v>6</v>
      </c>
      <c r="D920" s="6" t="str">
        <f>"王志华"</f>
        <v>王志华</v>
      </c>
    </row>
    <row r="921" spans="1:4" ht="30" customHeight="1">
      <c r="A921" s="6">
        <v>919</v>
      </c>
      <c r="B921" s="6" t="str">
        <f>"508120230422231702139661"</f>
        <v>508120230422231702139661</v>
      </c>
      <c r="C921" s="6" t="s">
        <v>6</v>
      </c>
      <c r="D921" s="6" t="str">
        <f>"文兴林"</f>
        <v>文兴林</v>
      </c>
    </row>
    <row r="922" spans="1:4" ht="30" customHeight="1">
      <c r="A922" s="6">
        <v>920</v>
      </c>
      <c r="B922" s="6" t="str">
        <f>"508120230422221330139621"</f>
        <v>508120230422221330139621</v>
      </c>
      <c r="C922" s="6" t="s">
        <v>6</v>
      </c>
      <c r="D922" s="6" t="str">
        <f>"张熙杰"</f>
        <v>张熙杰</v>
      </c>
    </row>
    <row r="923" spans="1:4" ht="30" customHeight="1">
      <c r="A923" s="6">
        <v>921</v>
      </c>
      <c r="B923" s="6" t="str">
        <f>"508120230426235549142320"</f>
        <v>508120230426235549142320</v>
      </c>
      <c r="C923" s="6" t="s">
        <v>6</v>
      </c>
      <c r="D923" s="6" t="str">
        <f>"苏德宾"</f>
        <v>苏德宾</v>
      </c>
    </row>
    <row r="924" spans="1:4" ht="30" customHeight="1">
      <c r="A924" s="6">
        <v>922</v>
      </c>
      <c r="B924" s="6" t="str">
        <f>"508120230421143042138662"</f>
        <v>508120230421143042138662</v>
      </c>
      <c r="C924" s="6" t="s">
        <v>6</v>
      </c>
      <c r="D924" s="6" t="str">
        <f>"吴华发"</f>
        <v>吴华发</v>
      </c>
    </row>
    <row r="925" spans="1:4" ht="30" customHeight="1">
      <c r="A925" s="6">
        <v>923</v>
      </c>
      <c r="B925" s="6" t="str">
        <f>"508120230427012724142358"</f>
        <v>508120230427012724142358</v>
      </c>
      <c r="C925" s="6" t="s">
        <v>6</v>
      </c>
      <c r="D925" s="6" t="str">
        <f>"谭启明"</f>
        <v>谭启明</v>
      </c>
    </row>
    <row r="926" spans="1:4" ht="30" customHeight="1">
      <c r="A926" s="6">
        <v>924</v>
      </c>
      <c r="B926" s="6" t="str">
        <f>"508120230427004622142347"</f>
        <v>508120230427004622142347</v>
      </c>
      <c r="C926" s="6" t="s">
        <v>6</v>
      </c>
      <c r="D926" s="6" t="str">
        <f>"陈锋"</f>
        <v>陈锋</v>
      </c>
    </row>
    <row r="927" spans="1:4" ht="30" customHeight="1">
      <c r="A927" s="6">
        <v>925</v>
      </c>
      <c r="B927" s="6" t="str">
        <f>"508120230426191920142114"</f>
        <v>508120230426191920142114</v>
      </c>
      <c r="C927" s="6" t="s">
        <v>6</v>
      </c>
      <c r="D927" s="6" t="str">
        <f>"李效廷"</f>
        <v>李效廷</v>
      </c>
    </row>
    <row r="928" spans="1:4" ht="30" customHeight="1">
      <c r="A928" s="6">
        <v>926</v>
      </c>
      <c r="B928" s="6" t="str">
        <f>"508120230426223231142259"</f>
        <v>508120230426223231142259</v>
      </c>
      <c r="C928" s="6" t="s">
        <v>6</v>
      </c>
      <c r="D928" s="6" t="str">
        <f>"欧阳云帆"</f>
        <v>欧阳云帆</v>
      </c>
    </row>
    <row r="929" spans="1:4" ht="30" customHeight="1">
      <c r="A929" s="6">
        <v>927</v>
      </c>
      <c r="B929" s="6" t="str">
        <f>"508120230427005820142352"</f>
        <v>508120230427005820142352</v>
      </c>
      <c r="C929" s="6" t="s">
        <v>6</v>
      </c>
      <c r="D929" s="6" t="str">
        <f>"罗镓金"</f>
        <v>罗镓金</v>
      </c>
    </row>
    <row r="930" spans="1:4" ht="30" customHeight="1">
      <c r="A930" s="6">
        <v>928</v>
      </c>
      <c r="B930" s="6" t="str">
        <f>"508120230426195417142138"</f>
        <v>508120230426195417142138</v>
      </c>
      <c r="C930" s="6" t="s">
        <v>6</v>
      </c>
      <c r="D930" s="6" t="str">
        <f>"李恩"</f>
        <v>李恩</v>
      </c>
    </row>
    <row r="931" spans="1:4" ht="30" customHeight="1">
      <c r="A931" s="6">
        <v>929</v>
      </c>
      <c r="B931" s="6" t="str">
        <f>"508120230427090325142414"</f>
        <v>508120230427090325142414</v>
      </c>
      <c r="C931" s="6" t="s">
        <v>6</v>
      </c>
      <c r="D931" s="6" t="str">
        <f>"苏运昌"</f>
        <v>苏运昌</v>
      </c>
    </row>
    <row r="932" spans="1:4" ht="30" customHeight="1">
      <c r="A932" s="6">
        <v>930</v>
      </c>
      <c r="B932" s="6" t="str">
        <f>"508120230424204228140997"</f>
        <v>508120230424204228140997</v>
      </c>
      <c r="C932" s="6" t="s">
        <v>6</v>
      </c>
      <c r="D932" s="6" t="str">
        <f>"杨盛雄"</f>
        <v>杨盛雄</v>
      </c>
    </row>
    <row r="933" spans="1:4" ht="30" customHeight="1">
      <c r="A933" s="6">
        <v>931</v>
      </c>
      <c r="B933" s="6" t="str">
        <f>"508120230427092534142434"</f>
        <v>508120230427092534142434</v>
      </c>
      <c r="C933" s="6" t="s">
        <v>6</v>
      </c>
      <c r="D933" s="6" t="str">
        <f>"黄宾徐"</f>
        <v>黄宾徐</v>
      </c>
    </row>
    <row r="934" spans="1:4" ht="30" customHeight="1">
      <c r="A934" s="6">
        <v>932</v>
      </c>
      <c r="B934" s="6" t="str">
        <f>"508120230427093940142450"</f>
        <v>508120230427093940142450</v>
      </c>
      <c r="C934" s="6" t="s">
        <v>6</v>
      </c>
      <c r="D934" s="6" t="str">
        <f>"吴永嘉"</f>
        <v>吴永嘉</v>
      </c>
    </row>
    <row r="935" spans="1:4" ht="30" customHeight="1">
      <c r="A935" s="6">
        <v>933</v>
      </c>
      <c r="B935" s="6" t="str">
        <f>"508120230426161315141975"</f>
        <v>508120230426161315141975</v>
      </c>
      <c r="C935" s="6" t="s">
        <v>6</v>
      </c>
      <c r="D935" s="6" t="str">
        <f>"何衡"</f>
        <v>何衡</v>
      </c>
    </row>
    <row r="936" spans="1:4" ht="30" customHeight="1">
      <c r="A936" s="6">
        <v>934</v>
      </c>
      <c r="B936" s="6" t="str">
        <f>"508120230427001841142337"</f>
        <v>508120230427001841142337</v>
      </c>
      <c r="C936" s="6" t="s">
        <v>6</v>
      </c>
      <c r="D936" s="6" t="str">
        <f>"符荣鹏"</f>
        <v>符荣鹏</v>
      </c>
    </row>
    <row r="937" spans="1:4" ht="30" customHeight="1">
      <c r="A937" s="6">
        <v>935</v>
      </c>
      <c r="B937" s="6" t="str">
        <f>"508120230423084451139712"</f>
        <v>508120230423084451139712</v>
      </c>
      <c r="C937" s="6" t="s">
        <v>6</v>
      </c>
      <c r="D937" s="6" t="str">
        <f>"周臣垚"</f>
        <v>周臣垚</v>
      </c>
    </row>
    <row r="938" spans="1:4" ht="30" customHeight="1">
      <c r="A938" s="6">
        <v>936</v>
      </c>
      <c r="B938" s="6" t="str">
        <f>"508120230423090042139730"</f>
        <v>508120230423090042139730</v>
      </c>
      <c r="C938" s="6" t="s">
        <v>6</v>
      </c>
      <c r="D938" s="6" t="str">
        <f>"罗玉镜"</f>
        <v>罗玉镜</v>
      </c>
    </row>
    <row r="939" spans="1:4" ht="30" customHeight="1">
      <c r="A939" s="6">
        <v>937</v>
      </c>
      <c r="B939" s="6" t="str">
        <f>"508120230426164509141998"</f>
        <v>508120230426164509141998</v>
      </c>
      <c r="C939" s="6" t="s">
        <v>6</v>
      </c>
      <c r="D939" s="6" t="str">
        <f>"王誉锦"</f>
        <v>王誉锦</v>
      </c>
    </row>
    <row r="940" spans="1:4" ht="30" customHeight="1">
      <c r="A940" s="6">
        <v>938</v>
      </c>
      <c r="B940" s="6" t="str">
        <f>"508120230421160053138806"</f>
        <v>508120230421160053138806</v>
      </c>
      <c r="C940" s="6" t="s">
        <v>6</v>
      </c>
      <c r="D940" s="6" t="str">
        <f>"李俊强"</f>
        <v>李俊强</v>
      </c>
    </row>
    <row r="941" spans="1:4" ht="30" customHeight="1">
      <c r="A941" s="6">
        <v>939</v>
      </c>
      <c r="B941" s="6" t="str">
        <f>"508120230427094730142465"</f>
        <v>508120230427094730142465</v>
      </c>
      <c r="C941" s="6" t="s">
        <v>6</v>
      </c>
      <c r="D941" s="6" t="str">
        <f>"吴英栋"</f>
        <v>吴英栋</v>
      </c>
    </row>
    <row r="942" spans="1:4" ht="30" customHeight="1">
      <c r="A942" s="6">
        <v>940</v>
      </c>
      <c r="B942" s="6" t="str">
        <f>"508120230427085752142412"</f>
        <v>508120230427085752142412</v>
      </c>
      <c r="C942" s="6" t="s">
        <v>6</v>
      </c>
      <c r="D942" s="6" t="str">
        <f>"何其立"</f>
        <v>何其立</v>
      </c>
    </row>
    <row r="943" spans="1:4" ht="30" customHeight="1">
      <c r="A943" s="6">
        <v>941</v>
      </c>
      <c r="B943" s="6" t="str">
        <f>"508120230422110642139243"</f>
        <v>508120230422110642139243</v>
      </c>
      <c r="C943" s="6" t="s">
        <v>6</v>
      </c>
      <c r="D943" s="6" t="str">
        <f>"林资泷"</f>
        <v>林资泷</v>
      </c>
    </row>
    <row r="944" spans="1:4" ht="30" customHeight="1">
      <c r="A944" s="6">
        <v>942</v>
      </c>
      <c r="B944" s="6" t="str">
        <f>"508120230421155230138796"</f>
        <v>508120230421155230138796</v>
      </c>
      <c r="C944" s="6" t="s">
        <v>6</v>
      </c>
      <c r="D944" s="6" t="str">
        <f>"刘敉"</f>
        <v>刘敉</v>
      </c>
    </row>
    <row r="945" spans="1:4" ht="30" customHeight="1">
      <c r="A945" s="6">
        <v>943</v>
      </c>
      <c r="B945" s="6" t="str">
        <f>"508120230426222809142255"</f>
        <v>508120230426222809142255</v>
      </c>
      <c r="C945" s="6" t="s">
        <v>6</v>
      </c>
      <c r="D945" s="6" t="str">
        <f>"孙鸿飞"</f>
        <v>孙鸿飞</v>
      </c>
    </row>
    <row r="946" spans="1:4" ht="30" customHeight="1">
      <c r="A946" s="6">
        <v>944</v>
      </c>
      <c r="B946" s="6" t="str">
        <f>"508120230427102705142510"</f>
        <v>508120230427102705142510</v>
      </c>
      <c r="C946" s="6" t="s">
        <v>6</v>
      </c>
      <c r="D946" s="6" t="str">
        <f>"陈伯煌"</f>
        <v>陈伯煌</v>
      </c>
    </row>
    <row r="947" spans="1:4" ht="30" customHeight="1">
      <c r="A947" s="6">
        <v>945</v>
      </c>
      <c r="B947" s="6" t="str">
        <f>"508120230423123215139935"</f>
        <v>508120230423123215139935</v>
      </c>
      <c r="C947" s="6" t="s">
        <v>6</v>
      </c>
      <c r="D947" s="6" t="str">
        <f>"杨恩晟"</f>
        <v>杨恩晟</v>
      </c>
    </row>
    <row r="948" spans="1:4" ht="30" customHeight="1">
      <c r="A948" s="6">
        <v>946</v>
      </c>
      <c r="B948" s="6" t="str">
        <f>"508120230427113458142566"</f>
        <v>508120230427113458142566</v>
      </c>
      <c r="C948" s="6" t="s">
        <v>6</v>
      </c>
      <c r="D948" s="6" t="str">
        <f>"李焜"</f>
        <v>李焜</v>
      </c>
    </row>
    <row r="949" spans="1:4" ht="30" customHeight="1">
      <c r="A949" s="6">
        <v>947</v>
      </c>
      <c r="B949" s="6" t="str">
        <f>"508120230427111219142551"</f>
        <v>508120230427111219142551</v>
      </c>
      <c r="C949" s="6" t="s">
        <v>6</v>
      </c>
      <c r="D949" s="6" t="str">
        <f>"陈传军"</f>
        <v>陈传军</v>
      </c>
    </row>
    <row r="950" spans="1:4" ht="30" customHeight="1">
      <c r="A950" s="6">
        <v>948</v>
      </c>
      <c r="B950" s="6" t="str">
        <f>"508120230427115112142583"</f>
        <v>508120230427115112142583</v>
      </c>
      <c r="C950" s="6" t="s">
        <v>6</v>
      </c>
      <c r="D950" s="6" t="str">
        <f>"黄逢桐"</f>
        <v>黄逢桐</v>
      </c>
    </row>
    <row r="951" spans="1:4" ht="30" customHeight="1">
      <c r="A951" s="6">
        <v>949</v>
      </c>
      <c r="B951" s="6" t="str">
        <f>"508120230427112010142554"</f>
        <v>508120230427112010142554</v>
      </c>
      <c r="C951" s="6" t="s">
        <v>6</v>
      </c>
      <c r="D951" s="6" t="str">
        <f>"吴多翔"</f>
        <v>吴多翔</v>
      </c>
    </row>
    <row r="952" spans="1:4" ht="30" customHeight="1">
      <c r="A952" s="6">
        <v>950</v>
      </c>
      <c r="B952" s="6" t="str">
        <f>"508120230427115455142588"</f>
        <v>508120230427115455142588</v>
      </c>
      <c r="C952" s="6" t="s">
        <v>6</v>
      </c>
      <c r="D952" s="6" t="str">
        <f>"许登雄"</f>
        <v>许登雄</v>
      </c>
    </row>
    <row r="953" spans="1:4" ht="30" customHeight="1">
      <c r="A953" s="6">
        <v>951</v>
      </c>
      <c r="B953" s="6" t="str">
        <f>"508120230421091659138144"</f>
        <v>508120230421091659138144</v>
      </c>
      <c r="C953" s="6" t="s">
        <v>7</v>
      </c>
      <c r="D953" s="6" t="str">
        <f>"何才丁"</f>
        <v>何才丁</v>
      </c>
    </row>
    <row r="954" spans="1:4" ht="30" customHeight="1">
      <c r="A954" s="6">
        <v>952</v>
      </c>
      <c r="B954" s="6" t="str">
        <f>"508120230421091415138135"</f>
        <v>508120230421091415138135</v>
      </c>
      <c r="C954" s="6" t="s">
        <v>7</v>
      </c>
      <c r="D954" s="6" t="str">
        <f>"林尤锦"</f>
        <v>林尤锦</v>
      </c>
    </row>
    <row r="955" spans="1:4" ht="30" customHeight="1">
      <c r="A955" s="6">
        <v>953</v>
      </c>
      <c r="B955" s="6" t="str">
        <f>"508120230421092807138177"</f>
        <v>508120230421092807138177</v>
      </c>
      <c r="C955" s="6" t="s">
        <v>7</v>
      </c>
      <c r="D955" s="6" t="str">
        <f>"朱惠"</f>
        <v>朱惠</v>
      </c>
    </row>
    <row r="956" spans="1:4" ht="30" customHeight="1">
      <c r="A956" s="6">
        <v>954</v>
      </c>
      <c r="B956" s="6" t="str">
        <f>"508120230421093411138191"</f>
        <v>508120230421093411138191</v>
      </c>
      <c r="C956" s="6" t="s">
        <v>7</v>
      </c>
      <c r="D956" s="6" t="str">
        <f>"何沁潞"</f>
        <v>何沁潞</v>
      </c>
    </row>
    <row r="957" spans="1:4" ht="30" customHeight="1">
      <c r="A957" s="6">
        <v>955</v>
      </c>
      <c r="B957" s="6" t="str">
        <f>"508120230421093426138192"</f>
        <v>508120230421093426138192</v>
      </c>
      <c r="C957" s="6" t="s">
        <v>7</v>
      </c>
      <c r="D957" s="6" t="str">
        <f>"朱秋蕾"</f>
        <v>朱秋蕾</v>
      </c>
    </row>
    <row r="958" spans="1:4" ht="30" customHeight="1">
      <c r="A958" s="6">
        <v>956</v>
      </c>
      <c r="B958" s="6" t="str">
        <f>"508120230421093220138187"</f>
        <v>508120230421093220138187</v>
      </c>
      <c r="C958" s="6" t="s">
        <v>7</v>
      </c>
      <c r="D958" s="6" t="str">
        <f>"黄柏栋"</f>
        <v>黄柏栋</v>
      </c>
    </row>
    <row r="959" spans="1:4" ht="30" customHeight="1">
      <c r="A959" s="6">
        <v>957</v>
      </c>
      <c r="B959" s="6" t="str">
        <f>"508120230421100831138289"</f>
        <v>508120230421100831138289</v>
      </c>
      <c r="C959" s="6" t="s">
        <v>7</v>
      </c>
      <c r="D959" s="6" t="str">
        <f>"张翠婉"</f>
        <v>张翠婉</v>
      </c>
    </row>
    <row r="960" spans="1:4" ht="30" customHeight="1">
      <c r="A960" s="6">
        <v>958</v>
      </c>
      <c r="B960" s="6" t="str">
        <f>"508120230421093838138204"</f>
        <v>508120230421093838138204</v>
      </c>
      <c r="C960" s="6" t="s">
        <v>7</v>
      </c>
      <c r="D960" s="6" t="str">
        <f>"段东旭"</f>
        <v>段东旭</v>
      </c>
    </row>
    <row r="961" spans="1:4" ht="30" customHeight="1">
      <c r="A961" s="6">
        <v>959</v>
      </c>
      <c r="B961" s="6" t="str">
        <f>"508120230421102009138313"</f>
        <v>508120230421102009138313</v>
      </c>
      <c r="C961" s="6" t="s">
        <v>7</v>
      </c>
      <c r="D961" s="6" t="str">
        <f>"陈凤日"</f>
        <v>陈凤日</v>
      </c>
    </row>
    <row r="962" spans="1:4" ht="30" customHeight="1">
      <c r="A962" s="6">
        <v>960</v>
      </c>
      <c r="B962" s="6" t="str">
        <f>"508120230421102852138343"</f>
        <v>508120230421102852138343</v>
      </c>
      <c r="C962" s="6" t="s">
        <v>7</v>
      </c>
      <c r="D962" s="6" t="str">
        <f>"刘松"</f>
        <v>刘松</v>
      </c>
    </row>
    <row r="963" spans="1:4" ht="30" customHeight="1">
      <c r="A963" s="6">
        <v>961</v>
      </c>
      <c r="B963" s="6" t="str">
        <f>"508120230421104708138391"</f>
        <v>508120230421104708138391</v>
      </c>
      <c r="C963" s="6" t="s">
        <v>7</v>
      </c>
      <c r="D963" s="6" t="str">
        <f>"梁卿"</f>
        <v>梁卿</v>
      </c>
    </row>
    <row r="964" spans="1:4" ht="30" customHeight="1">
      <c r="A964" s="6">
        <v>962</v>
      </c>
      <c r="B964" s="6" t="str">
        <f>"508120230421105747138413"</f>
        <v>508120230421105747138413</v>
      </c>
      <c r="C964" s="6" t="s">
        <v>7</v>
      </c>
      <c r="D964" s="6" t="str">
        <f>"丁亮"</f>
        <v>丁亮</v>
      </c>
    </row>
    <row r="965" spans="1:4" ht="30" customHeight="1">
      <c r="A965" s="6">
        <v>963</v>
      </c>
      <c r="B965" s="6" t="str">
        <f>"508120230421110314138421"</f>
        <v>508120230421110314138421</v>
      </c>
      <c r="C965" s="6" t="s">
        <v>7</v>
      </c>
      <c r="D965" s="6" t="str">
        <f>"钟沁兰"</f>
        <v>钟沁兰</v>
      </c>
    </row>
    <row r="966" spans="1:4" ht="30" customHeight="1">
      <c r="A966" s="6">
        <v>964</v>
      </c>
      <c r="B966" s="6" t="str">
        <f>"508120230421104304138381"</f>
        <v>508120230421104304138381</v>
      </c>
      <c r="C966" s="6" t="s">
        <v>7</v>
      </c>
      <c r="D966" s="6" t="str">
        <f>"刘靖"</f>
        <v>刘靖</v>
      </c>
    </row>
    <row r="967" spans="1:4" ht="30" customHeight="1">
      <c r="A967" s="6">
        <v>965</v>
      </c>
      <c r="B967" s="6" t="str">
        <f>"508120230421110309138420"</f>
        <v>508120230421110309138420</v>
      </c>
      <c r="C967" s="6" t="s">
        <v>7</v>
      </c>
      <c r="D967" s="6" t="str">
        <f>"符月乔"</f>
        <v>符月乔</v>
      </c>
    </row>
    <row r="968" spans="1:4" ht="30" customHeight="1">
      <c r="A968" s="6">
        <v>966</v>
      </c>
      <c r="B968" s="6" t="str">
        <f>"508120230421095459138255"</f>
        <v>508120230421095459138255</v>
      </c>
      <c r="C968" s="6" t="s">
        <v>7</v>
      </c>
      <c r="D968" s="6" t="str">
        <f>"王瑾瑜"</f>
        <v>王瑾瑜</v>
      </c>
    </row>
    <row r="969" spans="1:4" ht="30" customHeight="1">
      <c r="A969" s="6">
        <v>967</v>
      </c>
      <c r="B969" s="6" t="str">
        <f>"508120230421101414138301"</f>
        <v>508120230421101414138301</v>
      </c>
      <c r="C969" s="6" t="s">
        <v>7</v>
      </c>
      <c r="D969" s="6" t="str">
        <f>"羊玉美"</f>
        <v>羊玉美</v>
      </c>
    </row>
    <row r="970" spans="1:4" ht="30" customHeight="1">
      <c r="A970" s="6">
        <v>968</v>
      </c>
      <c r="B970" s="6" t="str">
        <f>"508120230421110624138426"</f>
        <v>508120230421110624138426</v>
      </c>
      <c r="C970" s="6" t="s">
        <v>7</v>
      </c>
      <c r="D970" s="6" t="str">
        <f>"陈常营"</f>
        <v>陈常营</v>
      </c>
    </row>
    <row r="971" spans="1:4" ht="30" customHeight="1">
      <c r="A971" s="6">
        <v>969</v>
      </c>
      <c r="B971" s="6" t="str">
        <f>"508120230421114206138496"</f>
        <v>508120230421114206138496</v>
      </c>
      <c r="C971" s="6" t="s">
        <v>7</v>
      </c>
      <c r="D971" s="6" t="str">
        <f>"李朝阳"</f>
        <v>李朝阳</v>
      </c>
    </row>
    <row r="972" spans="1:4" ht="30" customHeight="1">
      <c r="A972" s="6">
        <v>970</v>
      </c>
      <c r="B972" s="6" t="str">
        <f>"508120230421112552138462"</f>
        <v>508120230421112552138462</v>
      </c>
      <c r="C972" s="6" t="s">
        <v>7</v>
      </c>
      <c r="D972" s="6" t="str">
        <f>"谢盼盼"</f>
        <v>谢盼盼</v>
      </c>
    </row>
    <row r="973" spans="1:4" ht="30" customHeight="1">
      <c r="A973" s="6">
        <v>971</v>
      </c>
      <c r="B973" s="6" t="str">
        <f>"508120230421120112138527"</f>
        <v>508120230421120112138527</v>
      </c>
      <c r="C973" s="6" t="s">
        <v>7</v>
      </c>
      <c r="D973" s="6" t="str">
        <f>"陈宏杰"</f>
        <v>陈宏杰</v>
      </c>
    </row>
    <row r="974" spans="1:4" ht="30" customHeight="1">
      <c r="A974" s="6">
        <v>972</v>
      </c>
      <c r="B974" s="6" t="str">
        <f>"508120230421121423138539"</f>
        <v>508120230421121423138539</v>
      </c>
      <c r="C974" s="6" t="s">
        <v>7</v>
      </c>
      <c r="D974" s="6" t="str">
        <f>"许妙"</f>
        <v>许妙</v>
      </c>
    </row>
    <row r="975" spans="1:4" ht="30" customHeight="1">
      <c r="A975" s="6">
        <v>973</v>
      </c>
      <c r="B975" s="6" t="str">
        <f>"508120230421115330138517"</f>
        <v>508120230421115330138517</v>
      </c>
      <c r="C975" s="6" t="s">
        <v>7</v>
      </c>
      <c r="D975" s="6" t="str">
        <f>"黎晓扬"</f>
        <v>黎晓扬</v>
      </c>
    </row>
    <row r="976" spans="1:4" ht="30" customHeight="1">
      <c r="A976" s="6">
        <v>974</v>
      </c>
      <c r="B976" s="6" t="str">
        <f>"508120230421122115138553"</f>
        <v>508120230421122115138553</v>
      </c>
      <c r="C976" s="6" t="s">
        <v>7</v>
      </c>
      <c r="D976" s="6" t="str">
        <f>"符俊娜"</f>
        <v>符俊娜</v>
      </c>
    </row>
    <row r="977" spans="1:4" ht="30" customHeight="1">
      <c r="A977" s="6">
        <v>975</v>
      </c>
      <c r="B977" s="6" t="str">
        <f>"508120230421113147138472"</f>
        <v>508120230421113147138472</v>
      </c>
      <c r="C977" s="6" t="s">
        <v>7</v>
      </c>
      <c r="D977" s="6" t="str">
        <f>"蔡海菊"</f>
        <v>蔡海菊</v>
      </c>
    </row>
    <row r="978" spans="1:4" ht="30" customHeight="1">
      <c r="A978" s="6">
        <v>976</v>
      </c>
      <c r="B978" s="6" t="str">
        <f>"508120230421123805138576"</f>
        <v>508120230421123805138576</v>
      </c>
      <c r="C978" s="6" t="s">
        <v>7</v>
      </c>
      <c r="D978" s="6" t="str">
        <f>"黄本财"</f>
        <v>黄本财</v>
      </c>
    </row>
    <row r="979" spans="1:4" ht="30" customHeight="1">
      <c r="A979" s="6">
        <v>977</v>
      </c>
      <c r="B979" s="6" t="str">
        <f>"508120230421131839138602"</f>
        <v>508120230421131839138602</v>
      </c>
      <c r="C979" s="6" t="s">
        <v>7</v>
      </c>
      <c r="D979" s="6" t="str">
        <f>"杜彦君"</f>
        <v>杜彦君</v>
      </c>
    </row>
    <row r="980" spans="1:4" ht="30" customHeight="1">
      <c r="A980" s="6">
        <v>978</v>
      </c>
      <c r="B980" s="6" t="str">
        <f>"508120230421113433138478"</f>
        <v>508120230421113433138478</v>
      </c>
      <c r="C980" s="6" t="s">
        <v>7</v>
      </c>
      <c r="D980" s="6" t="str">
        <f>"梁左倩"</f>
        <v>梁左倩</v>
      </c>
    </row>
    <row r="981" spans="1:4" ht="30" customHeight="1">
      <c r="A981" s="6">
        <v>979</v>
      </c>
      <c r="B981" s="6" t="str">
        <f>"508120230421135405138631"</f>
        <v>508120230421135405138631</v>
      </c>
      <c r="C981" s="6" t="s">
        <v>7</v>
      </c>
      <c r="D981" s="6" t="str">
        <f>"谢柔"</f>
        <v>谢柔</v>
      </c>
    </row>
    <row r="982" spans="1:4" ht="30" customHeight="1">
      <c r="A982" s="6">
        <v>980</v>
      </c>
      <c r="B982" s="6" t="str">
        <f>"508120230421151905138739"</f>
        <v>508120230421151905138739</v>
      </c>
      <c r="C982" s="6" t="s">
        <v>7</v>
      </c>
      <c r="D982" s="6" t="str">
        <f>"邢敏"</f>
        <v>邢敏</v>
      </c>
    </row>
    <row r="983" spans="1:4" ht="30" customHeight="1">
      <c r="A983" s="6">
        <v>981</v>
      </c>
      <c r="B983" s="6" t="str">
        <f>"508120230421152333138745"</f>
        <v>508120230421152333138745</v>
      </c>
      <c r="C983" s="6" t="s">
        <v>7</v>
      </c>
      <c r="D983" s="6" t="str">
        <f>"王亚茹"</f>
        <v>王亚茹</v>
      </c>
    </row>
    <row r="984" spans="1:4" ht="30" customHeight="1">
      <c r="A984" s="6">
        <v>982</v>
      </c>
      <c r="B984" s="6" t="str">
        <f>"508120230421094222138219"</f>
        <v>508120230421094222138219</v>
      </c>
      <c r="C984" s="6" t="s">
        <v>7</v>
      </c>
      <c r="D984" s="6" t="str">
        <f>"马振顺"</f>
        <v>马振顺</v>
      </c>
    </row>
    <row r="985" spans="1:4" ht="30" customHeight="1">
      <c r="A985" s="6">
        <v>983</v>
      </c>
      <c r="B985" s="6" t="str">
        <f>"508120230421123548138573"</f>
        <v>508120230421123548138573</v>
      </c>
      <c r="C985" s="6" t="s">
        <v>7</v>
      </c>
      <c r="D985" s="6" t="str">
        <f>"王月明"</f>
        <v>王月明</v>
      </c>
    </row>
    <row r="986" spans="1:4" ht="30" customHeight="1">
      <c r="A986" s="6">
        <v>984</v>
      </c>
      <c r="B986" s="6" t="str">
        <f>"508120230421160214138810"</f>
        <v>508120230421160214138810</v>
      </c>
      <c r="C986" s="6" t="s">
        <v>7</v>
      </c>
      <c r="D986" s="6" t="str">
        <f>"游文鑫"</f>
        <v>游文鑫</v>
      </c>
    </row>
    <row r="987" spans="1:4" ht="30" customHeight="1">
      <c r="A987" s="6">
        <v>985</v>
      </c>
      <c r="B987" s="6" t="str">
        <f>"508120230421155147138795"</f>
        <v>508120230421155147138795</v>
      </c>
      <c r="C987" s="6" t="s">
        <v>7</v>
      </c>
      <c r="D987" s="6" t="str">
        <f>"李龙"</f>
        <v>李龙</v>
      </c>
    </row>
    <row r="988" spans="1:4" ht="30" customHeight="1">
      <c r="A988" s="6">
        <v>986</v>
      </c>
      <c r="B988" s="6" t="str">
        <f>"508120230421161724138837"</f>
        <v>508120230421161724138837</v>
      </c>
      <c r="C988" s="6" t="s">
        <v>7</v>
      </c>
      <c r="D988" s="6" t="str">
        <f>"吉云"</f>
        <v>吉云</v>
      </c>
    </row>
    <row r="989" spans="1:4" ht="30" customHeight="1">
      <c r="A989" s="6">
        <v>987</v>
      </c>
      <c r="B989" s="6" t="str">
        <f>"508120230421170608138893"</f>
        <v>508120230421170608138893</v>
      </c>
      <c r="C989" s="6" t="s">
        <v>7</v>
      </c>
      <c r="D989" s="6" t="str">
        <f>"葛大伟"</f>
        <v>葛大伟</v>
      </c>
    </row>
    <row r="990" spans="1:4" ht="30" customHeight="1">
      <c r="A990" s="6">
        <v>988</v>
      </c>
      <c r="B990" s="6" t="str">
        <f>"508120230421153723138772"</f>
        <v>508120230421153723138772</v>
      </c>
      <c r="C990" s="6" t="s">
        <v>7</v>
      </c>
      <c r="D990" s="6" t="str">
        <f>"冯子芸"</f>
        <v>冯子芸</v>
      </c>
    </row>
    <row r="991" spans="1:4" ht="30" customHeight="1">
      <c r="A991" s="6">
        <v>989</v>
      </c>
      <c r="B991" s="6" t="str">
        <f>"508120230421104824138393"</f>
        <v>508120230421104824138393</v>
      </c>
      <c r="C991" s="6" t="s">
        <v>7</v>
      </c>
      <c r="D991" s="6" t="str">
        <f>"任梦圆"</f>
        <v>任梦圆</v>
      </c>
    </row>
    <row r="992" spans="1:4" ht="30" customHeight="1">
      <c r="A992" s="6">
        <v>990</v>
      </c>
      <c r="B992" s="6" t="str">
        <f>"508120230421093846138205"</f>
        <v>508120230421093846138205</v>
      </c>
      <c r="C992" s="6" t="s">
        <v>7</v>
      </c>
      <c r="D992" s="6" t="str">
        <f>"陈太苗"</f>
        <v>陈太苗</v>
      </c>
    </row>
    <row r="993" spans="1:4" ht="30" customHeight="1">
      <c r="A993" s="6">
        <v>991</v>
      </c>
      <c r="B993" s="6" t="str">
        <f>"508120230421174456138935"</f>
        <v>508120230421174456138935</v>
      </c>
      <c r="C993" s="6" t="s">
        <v>7</v>
      </c>
      <c r="D993" s="6" t="str">
        <f>"王静"</f>
        <v>王静</v>
      </c>
    </row>
    <row r="994" spans="1:4" ht="30" customHeight="1">
      <c r="A994" s="6">
        <v>992</v>
      </c>
      <c r="B994" s="6" t="str">
        <f>"508120230421143233138665"</f>
        <v>508120230421143233138665</v>
      </c>
      <c r="C994" s="6" t="s">
        <v>7</v>
      </c>
      <c r="D994" s="6" t="str">
        <f>"唐心怡"</f>
        <v>唐心怡</v>
      </c>
    </row>
    <row r="995" spans="1:4" ht="30" customHeight="1">
      <c r="A995" s="6">
        <v>993</v>
      </c>
      <c r="B995" s="6" t="str">
        <f>"508120230421180016138954"</f>
        <v>508120230421180016138954</v>
      </c>
      <c r="C995" s="6" t="s">
        <v>7</v>
      </c>
      <c r="D995" s="6" t="str">
        <f>"谢彤"</f>
        <v>谢彤</v>
      </c>
    </row>
    <row r="996" spans="1:4" ht="30" customHeight="1">
      <c r="A996" s="6">
        <v>994</v>
      </c>
      <c r="B996" s="6" t="str">
        <f>"508120230421175228138947"</f>
        <v>508120230421175228138947</v>
      </c>
      <c r="C996" s="6" t="s">
        <v>7</v>
      </c>
      <c r="D996" s="6" t="str">
        <f>"符海珑"</f>
        <v>符海珑</v>
      </c>
    </row>
    <row r="997" spans="1:4" ht="30" customHeight="1">
      <c r="A997" s="6">
        <v>995</v>
      </c>
      <c r="B997" s="6" t="str">
        <f>"508120230421181544138963"</f>
        <v>508120230421181544138963</v>
      </c>
      <c r="C997" s="6" t="s">
        <v>7</v>
      </c>
      <c r="D997" s="6" t="str">
        <f>"吴珊珊"</f>
        <v>吴珊珊</v>
      </c>
    </row>
    <row r="998" spans="1:4" ht="30" customHeight="1">
      <c r="A998" s="6">
        <v>996</v>
      </c>
      <c r="B998" s="6" t="str">
        <f>"508120230421184135138986"</f>
        <v>508120230421184135138986</v>
      </c>
      <c r="C998" s="6" t="s">
        <v>7</v>
      </c>
      <c r="D998" s="6" t="str">
        <f>"李志成"</f>
        <v>李志成</v>
      </c>
    </row>
    <row r="999" spans="1:4" ht="30" customHeight="1">
      <c r="A999" s="6">
        <v>997</v>
      </c>
      <c r="B999" s="6" t="str">
        <f>"508120230421184019138984"</f>
        <v>508120230421184019138984</v>
      </c>
      <c r="C999" s="6" t="s">
        <v>7</v>
      </c>
      <c r="D999" s="6" t="str">
        <f>"林月贵"</f>
        <v>林月贵</v>
      </c>
    </row>
    <row r="1000" spans="1:4" ht="30" customHeight="1">
      <c r="A1000" s="6">
        <v>998</v>
      </c>
      <c r="B1000" s="6" t="str">
        <f>"508120230421193006139012"</f>
        <v>508120230421193006139012</v>
      </c>
      <c r="C1000" s="6" t="s">
        <v>7</v>
      </c>
      <c r="D1000" s="6" t="str">
        <f>"符圣哲"</f>
        <v>符圣哲</v>
      </c>
    </row>
    <row r="1001" spans="1:4" ht="30" customHeight="1">
      <c r="A1001" s="6">
        <v>999</v>
      </c>
      <c r="B1001" s="6" t="str">
        <f>"508120230421194011139018"</f>
        <v>508120230421194011139018</v>
      </c>
      <c r="C1001" s="6" t="s">
        <v>7</v>
      </c>
      <c r="D1001" s="6" t="str">
        <f>"王新睿"</f>
        <v>王新睿</v>
      </c>
    </row>
    <row r="1002" spans="1:4" ht="30" customHeight="1">
      <c r="A1002" s="6">
        <v>1000</v>
      </c>
      <c r="B1002" s="6" t="str">
        <f>"508120230421185959138997"</f>
        <v>508120230421185959138997</v>
      </c>
      <c r="C1002" s="6" t="s">
        <v>7</v>
      </c>
      <c r="D1002" s="6" t="str">
        <f>"罗月琪"</f>
        <v>罗月琪</v>
      </c>
    </row>
    <row r="1003" spans="1:4" ht="30" customHeight="1">
      <c r="A1003" s="6">
        <v>1001</v>
      </c>
      <c r="B1003" s="6" t="str">
        <f>"508120230421210010139067"</f>
        <v>508120230421210010139067</v>
      </c>
      <c r="C1003" s="6" t="s">
        <v>7</v>
      </c>
      <c r="D1003" s="6" t="str">
        <f>"谭韵昭"</f>
        <v>谭韵昭</v>
      </c>
    </row>
    <row r="1004" spans="1:4" ht="30" customHeight="1">
      <c r="A1004" s="6">
        <v>1002</v>
      </c>
      <c r="B1004" s="6" t="str">
        <f>"508120230421213039139082"</f>
        <v>508120230421213039139082</v>
      </c>
      <c r="C1004" s="6" t="s">
        <v>7</v>
      </c>
      <c r="D1004" s="6" t="str">
        <f>"孙志佳"</f>
        <v>孙志佳</v>
      </c>
    </row>
    <row r="1005" spans="1:4" ht="30" customHeight="1">
      <c r="A1005" s="6">
        <v>1003</v>
      </c>
      <c r="B1005" s="6" t="str">
        <f>"508120230421222012139106"</f>
        <v>508120230421222012139106</v>
      </c>
      <c r="C1005" s="6" t="s">
        <v>7</v>
      </c>
      <c r="D1005" s="6" t="str">
        <f>"邱净"</f>
        <v>邱净</v>
      </c>
    </row>
    <row r="1006" spans="1:4" ht="30" customHeight="1">
      <c r="A1006" s="6">
        <v>1004</v>
      </c>
      <c r="B1006" s="6" t="str">
        <f>"508120230421225536139121"</f>
        <v>508120230421225536139121</v>
      </c>
      <c r="C1006" s="6" t="s">
        <v>7</v>
      </c>
      <c r="D1006" s="6" t="str">
        <f>"何优"</f>
        <v>何优</v>
      </c>
    </row>
    <row r="1007" spans="1:4" ht="30" customHeight="1">
      <c r="A1007" s="6">
        <v>1005</v>
      </c>
      <c r="B1007" s="6" t="str">
        <f>"508120230421225025139119"</f>
        <v>508120230421225025139119</v>
      </c>
      <c r="C1007" s="6" t="s">
        <v>7</v>
      </c>
      <c r="D1007" s="6" t="str">
        <f>"陈琦"</f>
        <v>陈琦</v>
      </c>
    </row>
    <row r="1008" spans="1:4" ht="30" customHeight="1">
      <c r="A1008" s="6">
        <v>1006</v>
      </c>
      <c r="B1008" s="6" t="str">
        <f>"508120230422094108139196"</f>
        <v>508120230422094108139196</v>
      </c>
      <c r="C1008" s="6" t="s">
        <v>7</v>
      </c>
      <c r="D1008" s="6" t="str">
        <f>"陈川平"</f>
        <v>陈川平</v>
      </c>
    </row>
    <row r="1009" spans="1:4" ht="30" customHeight="1">
      <c r="A1009" s="6">
        <v>1007</v>
      </c>
      <c r="B1009" s="6" t="str">
        <f>"508120230422095042139202"</f>
        <v>508120230422095042139202</v>
      </c>
      <c r="C1009" s="6" t="s">
        <v>7</v>
      </c>
      <c r="D1009" s="6" t="str">
        <f>"郑雯"</f>
        <v>郑雯</v>
      </c>
    </row>
    <row r="1010" spans="1:4" ht="30" customHeight="1">
      <c r="A1010" s="6">
        <v>1008</v>
      </c>
      <c r="B1010" s="6" t="str">
        <f>"508120230422094502139198"</f>
        <v>508120230422094502139198</v>
      </c>
      <c r="C1010" s="6" t="s">
        <v>7</v>
      </c>
      <c r="D1010" s="6" t="str">
        <f>"牛博龙"</f>
        <v>牛博龙</v>
      </c>
    </row>
    <row r="1011" spans="1:4" ht="30" customHeight="1">
      <c r="A1011" s="6">
        <v>1009</v>
      </c>
      <c r="B1011" s="6" t="str">
        <f>"508120230421102233138325"</f>
        <v>508120230421102233138325</v>
      </c>
      <c r="C1011" s="6" t="s">
        <v>7</v>
      </c>
      <c r="D1011" s="6" t="str">
        <f>"张著桢"</f>
        <v>张著桢</v>
      </c>
    </row>
    <row r="1012" spans="1:4" ht="30" customHeight="1">
      <c r="A1012" s="6">
        <v>1010</v>
      </c>
      <c r="B1012" s="6" t="str">
        <f>"508120230422113313139259"</f>
        <v>508120230422113313139259</v>
      </c>
      <c r="C1012" s="6" t="s">
        <v>7</v>
      </c>
      <c r="D1012" s="6" t="str">
        <f>"陈川花"</f>
        <v>陈川花</v>
      </c>
    </row>
    <row r="1013" spans="1:4" ht="30" customHeight="1">
      <c r="A1013" s="6">
        <v>1011</v>
      </c>
      <c r="B1013" s="6" t="str">
        <f>"508120230422113333139260"</f>
        <v>508120230422113333139260</v>
      </c>
      <c r="C1013" s="6" t="s">
        <v>7</v>
      </c>
      <c r="D1013" s="6" t="str">
        <f>"李王玲"</f>
        <v>李王玲</v>
      </c>
    </row>
    <row r="1014" spans="1:4" ht="30" customHeight="1">
      <c r="A1014" s="6">
        <v>1012</v>
      </c>
      <c r="B1014" s="6" t="str">
        <f>"508120230422120405139284"</f>
        <v>508120230422120405139284</v>
      </c>
      <c r="C1014" s="6" t="s">
        <v>7</v>
      </c>
      <c r="D1014" s="6" t="str">
        <f>"陈莉莉"</f>
        <v>陈莉莉</v>
      </c>
    </row>
    <row r="1015" spans="1:4" ht="30" customHeight="1">
      <c r="A1015" s="6">
        <v>1013</v>
      </c>
      <c r="B1015" s="6" t="str">
        <f>"508120230421142346138657"</f>
        <v>508120230421142346138657</v>
      </c>
      <c r="C1015" s="6" t="s">
        <v>7</v>
      </c>
      <c r="D1015" s="6" t="str">
        <f>"王小妹"</f>
        <v>王小妹</v>
      </c>
    </row>
    <row r="1016" spans="1:4" ht="30" customHeight="1">
      <c r="A1016" s="6">
        <v>1014</v>
      </c>
      <c r="B1016" s="6" t="str">
        <f>"508120230422124535139310"</f>
        <v>508120230422124535139310</v>
      </c>
      <c r="C1016" s="6" t="s">
        <v>7</v>
      </c>
      <c r="D1016" s="6" t="str">
        <f>"陈雪"</f>
        <v>陈雪</v>
      </c>
    </row>
    <row r="1017" spans="1:4" ht="30" customHeight="1">
      <c r="A1017" s="6">
        <v>1015</v>
      </c>
      <c r="B1017" s="6" t="str">
        <f>"508120230422125045139316"</f>
        <v>508120230422125045139316</v>
      </c>
      <c r="C1017" s="6" t="s">
        <v>7</v>
      </c>
      <c r="D1017" s="6" t="str">
        <f>"杨晶喆"</f>
        <v>杨晶喆</v>
      </c>
    </row>
    <row r="1018" spans="1:4" ht="30" customHeight="1">
      <c r="A1018" s="6">
        <v>1016</v>
      </c>
      <c r="B1018" s="6" t="str">
        <f>"508120230421090911138116"</f>
        <v>508120230421090911138116</v>
      </c>
      <c r="C1018" s="6" t="s">
        <v>7</v>
      </c>
      <c r="D1018" s="6" t="str">
        <f>"黄伟"</f>
        <v>黄伟</v>
      </c>
    </row>
    <row r="1019" spans="1:4" ht="30" customHeight="1">
      <c r="A1019" s="6">
        <v>1017</v>
      </c>
      <c r="B1019" s="6" t="str">
        <f>"508120230422143441139361"</f>
        <v>508120230422143441139361</v>
      </c>
      <c r="C1019" s="6" t="s">
        <v>7</v>
      </c>
      <c r="D1019" s="6" t="str">
        <f>"卓文闻"</f>
        <v>卓文闻</v>
      </c>
    </row>
    <row r="1020" spans="1:4" ht="30" customHeight="1">
      <c r="A1020" s="6">
        <v>1018</v>
      </c>
      <c r="B1020" s="6" t="str">
        <f>"508120230422151613139378"</f>
        <v>508120230422151613139378</v>
      </c>
      <c r="C1020" s="6" t="s">
        <v>7</v>
      </c>
      <c r="D1020" s="6" t="str">
        <f>"陈良妹"</f>
        <v>陈良妹</v>
      </c>
    </row>
    <row r="1021" spans="1:4" ht="30" customHeight="1">
      <c r="A1021" s="6">
        <v>1019</v>
      </c>
      <c r="B1021" s="6" t="str">
        <f>"508120230422120314139283"</f>
        <v>508120230422120314139283</v>
      </c>
      <c r="C1021" s="6" t="s">
        <v>7</v>
      </c>
      <c r="D1021" s="6" t="str">
        <f>"颜凤娇"</f>
        <v>颜凤娇</v>
      </c>
    </row>
    <row r="1022" spans="1:4" ht="30" customHeight="1">
      <c r="A1022" s="6">
        <v>1020</v>
      </c>
      <c r="B1022" s="6" t="str">
        <f>"508120230422161711139406"</f>
        <v>508120230422161711139406</v>
      </c>
      <c r="C1022" s="6" t="s">
        <v>7</v>
      </c>
      <c r="D1022" s="6" t="str">
        <f>"俞权珍"</f>
        <v>俞权珍</v>
      </c>
    </row>
    <row r="1023" spans="1:4" ht="30" customHeight="1">
      <c r="A1023" s="6">
        <v>1021</v>
      </c>
      <c r="B1023" s="6" t="str">
        <f>"508120230422160442139405"</f>
        <v>508120230422160442139405</v>
      </c>
      <c r="C1023" s="6" t="s">
        <v>7</v>
      </c>
      <c r="D1023" s="6" t="str">
        <f>"陈泽莲"</f>
        <v>陈泽莲</v>
      </c>
    </row>
    <row r="1024" spans="1:4" ht="30" customHeight="1">
      <c r="A1024" s="6">
        <v>1022</v>
      </c>
      <c r="B1024" s="6" t="str">
        <f>"508120230422163500139410"</f>
        <v>508120230422163500139410</v>
      </c>
      <c r="C1024" s="6" t="s">
        <v>7</v>
      </c>
      <c r="D1024" s="6" t="str">
        <f>"郑胜仁"</f>
        <v>郑胜仁</v>
      </c>
    </row>
    <row r="1025" spans="1:4" ht="30" customHeight="1">
      <c r="A1025" s="6">
        <v>1023</v>
      </c>
      <c r="B1025" s="6" t="str">
        <f>"508120230421092330138163"</f>
        <v>508120230421092330138163</v>
      </c>
      <c r="C1025" s="6" t="s">
        <v>7</v>
      </c>
      <c r="D1025" s="6" t="str">
        <f>"陈玺匀"</f>
        <v>陈玺匀</v>
      </c>
    </row>
    <row r="1026" spans="1:4" ht="30" customHeight="1">
      <c r="A1026" s="6">
        <v>1024</v>
      </c>
      <c r="B1026" s="6" t="str">
        <f>"508120230421163045138852"</f>
        <v>508120230421163045138852</v>
      </c>
      <c r="C1026" s="6" t="s">
        <v>7</v>
      </c>
      <c r="D1026" s="6" t="str">
        <f>"冯诗慧"</f>
        <v>冯诗慧</v>
      </c>
    </row>
    <row r="1027" spans="1:4" ht="30" customHeight="1">
      <c r="A1027" s="6">
        <v>1025</v>
      </c>
      <c r="B1027" s="6" t="str">
        <f>"508120230422182825139475"</f>
        <v>508120230422182825139475</v>
      </c>
      <c r="C1027" s="6" t="s">
        <v>7</v>
      </c>
      <c r="D1027" s="6" t="str">
        <f>"王红菊"</f>
        <v>王红菊</v>
      </c>
    </row>
    <row r="1028" spans="1:4" ht="30" customHeight="1">
      <c r="A1028" s="6">
        <v>1026</v>
      </c>
      <c r="B1028" s="6" t="str">
        <f>"508120230421201706139043"</f>
        <v>508120230421201706139043</v>
      </c>
      <c r="C1028" s="6" t="s">
        <v>7</v>
      </c>
      <c r="D1028" s="6" t="str">
        <f>"罗雨蝶"</f>
        <v>罗雨蝶</v>
      </c>
    </row>
    <row r="1029" spans="1:4" ht="30" customHeight="1">
      <c r="A1029" s="6">
        <v>1027</v>
      </c>
      <c r="B1029" s="6" t="str">
        <f>"508120230422190610139493"</f>
        <v>508120230422190610139493</v>
      </c>
      <c r="C1029" s="6" t="s">
        <v>7</v>
      </c>
      <c r="D1029" s="6" t="str">
        <f>"刘秋余"</f>
        <v>刘秋余</v>
      </c>
    </row>
    <row r="1030" spans="1:4" ht="30" customHeight="1">
      <c r="A1030" s="6">
        <v>1028</v>
      </c>
      <c r="B1030" s="6" t="str">
        <f>"508120230422192308139505"</f>
        <v>508120230422192308139505</v>
      </c>
      <c r="C1030" s="6" t="s">
        <v>7</v>
      </c>
      <c r="D1030" s="6" t="str">
        <f>"莫其文"</f>
        <v>莫其文</v>
      </c>
    </row>
    <row r="1031" spans="1:4" ht="30" customHeight="1">
      <c r="A1031" s="6">
        <v>1029</v>
      </c>
      <c r="B1031" s="6" t="str">
        <f>"508120230422195504139523"</f>
        <v>508120230422195504139523</v>
      </c>
      <c r="C1031" s="6" t="s">
        <v>7</v>
      </c>
      <c r="D1031" s="6" t="str">
        <f>"陈诗权"</f>
        <v>陈诗权</v>
      </c>
    </row>
    <row r="1032" spans="1:4" ht="30" customHeight="1">
      <c r="A1032" s="6">
        <v>1030</v>
      </c>
      <c r="B1032" s="6" t="str">
        <f>"508120230421173524138929"</f>
        <v>508120230421173524138929</v>
      </c>
      <c r="C1032" s="6" t="s">
        <v>7</v>
      </c>
      <c r="D1032" s="6" t="str">
        <f>"陈茜"</f>
        <v>陈茜</v>
      </c>
    </row>
    <row r="1033" spans="1:4" ht="30" customHeight="1">
      <c r="A1033" s="6">
        <v>1031</v>
      </c>
      <c r="B1033" s="6" t="str">
        <f>"508120230422204432139562"</f>
        <v>508120230422204432139562</v>
      </c>
      <c r="C1033" s="6" t="s">
        <v>7</v>
      </c>
      <c r="D1033" s="6" t="str">
        <f>"钱丽波"</f>
        <v>钱丽波</v>
      </c>
    </row>
    <row r="1034" spans="1:4" ht="30" customHeight="1">
      <c r="A1034" s="6">
        <v>1032</v>
      </c>
      <c r="B1034" s="6" t="str">
        <f>"508120230422211832139584"</f>
        <v>508120230422211832139584</v>
      </c>
      <c r="C1034" s="6" t="s">
        <v>7</v>
      </c>
      <c r="D1034" s="6" t="str">
        <f>"曾翠成"</f>
        <v>曾翠成</v>
      </c>
    </row>
    <row r="1035" spans="1:4" ht="30" customHeight="1">
      <c r="A1035" s="6">
        <v>1033</v>
      </c>
      <c r="B1035" s="6" t="str">
        <f>"508120230422215224139603"</f>
        <v>508120230422215224139603</v>
      </c>
      <c r="C1035" s="6" t="s">
        <v>7</v>
      </c>
      <c r="D1035" s="6" t="str">
        <f>"毛佳歆"</f>
        <v>毛佳歆</v>
      </c>
    </row>
    <row r="1036" spans="1:4" ht="30" customHeight="1">
      <c r="A1036" s="6">
        <v>1034</v>
      </c>
      <c r="B1036" s="6" t="str">
        <f>"508120230422220844139616"</f>
        <v>508120230422220844139616</v>
      </c>
      <c r="C1036" s="6" t="s">
        <v>7</v>
      </c>
      <c r="D1036" s="6" t="str">
        <f>"翁良珠"</f>
        <v>翁良珠</v>
      </c>
    </row>
    <row r="1037" spans="1:4" ht="30" customHeight="1">
      <c r="A1037" s="6">
        <v>1035</v>
      </c>
      <c r="B1037" s="6" t="str">
        <f>"508120230422223006139633"</f>
        <v>508120230422223006139633</v>
      </c>
      <c r="C1037" s="6" t="s">
        <v>7</v>
      </c>
      <c r="D1037" s="6" t="str">
        <f>"翁永妹"</f>
        <v>翁永妹</v>
      </c>
    </row>
    <row r="1038" spans="1:4" ht="30" customHeight="1">
      <c r="A1038" s="6">
        <v>1036</v>
      </c>
      <c r="B1038" s="6" t="str">
        <f>"508120230422220546139614"</f>
        <v>508120230422220546139614</v>
      </c>
      <c r="C1038" s="6" t="s">
        <v>7</v>
      </c>
      <c r="D1038" s="6" t="str">
        <f>"葛甜甜"</f>
        <v>葛甜甜</v>
      </c>
    </row>
    <row r="1039" spans="1:4" ht="30" customHeight="1">
      <c r="A1039" s="6">
        <v>1037</v>
      </c>
      <c r="B1039" s="6" t="str">
        <f>"508120230423001958139685"</f>
        <v>508120230423001958139685</v>
      </c>
      <c r="C1039" s="6" t="s">
        <v>7</v>
      </c>
      <c r="D1039" s="6" t="str">
        <f>"张冬旭"</f>
        <v>张冬旭</v>
      </c>
    </row>
    <row r="1040" spans="1:4" ht="30" customHeight="1">
      <c r="A1040" s="6">
        <v>1038</v>
      </c>
      <c r="B1040" s="6" t="str">
        <f>"508120230422005735139150"</f>
        <v>508120230422005735139150</v>
      </c>
      <c r="C1040" s="6" t="s">
        <v>7</v>
      </c>
      <c r="D1040" s="6" t="str">
        <f>"吴海斌"</f>
        <v>吴海斌</v>
      </c>
    </row>
    <row r="1041" spans="1:4" ht="30" customHeight="1">
      <c r="A1041" s="6">
        <v>1039</v>
      </c>
      <c r="B1041" s="6" t="str">
        <f>"508120230423080635139701"</f>
        <v>508120230423080635139701</v>
      </c>
      <c r="C1041" s="6" t="s">
        <v>7</v>
      </c>
      <c r="D1041" s="6" t="str">
        <f>"张家丽"</f>
        <v>张家丽</v>
      </c>
    </row>
    <row r="1042" spans="1:4" ht="30" customHeight="1">
      <c r="A1042" s="6">
        <v>1040</v>
      </c>
      <c r="B1042" s="6" t="str">
        <f>"508120230423090021139729"</f>
        <v>508120230423090021139729</v>
      </c>
      <c r="C1042" s="6" t="s">
        <v>7</v>
      </c>
      <c r="D1042" s="6" t="str">
        <f>"符媛媛"</f>
        <v>符媛媛</v>
      </c>
    </row>
    <row r="1043" spans="1:4" ht="30" customHeight="1">
      <c r="A1043" s="6">
        <v>1041</v>
      </c>
      <c r="B1043" s="6" t="str">
        <f>"508120230423093130139767"</f>
        <v>508120230423093130139767</v>
      </c>
      <c r="C1043" s="6" t="s">
        <v>7</v>
      </c>
      <c r="D1043" s="6" t="str">
        <f>"王文睿"</f>
        <v>王文睿</v>
      </c>
    </row>
    <row r="1044" spans="1:4" ht="30" customHeight="1">
      <c r="A1044" s="6">
        <v>1042</v>
      </c>
      <c r="B1044" s="6" t="str">
        <f>"508120230421092455138167"</f>
        <v>508120230421092455138167</v>
      </c>
      <c r="C1044" s="6" t="s">
        <v>7</v>
      </c>
      <c r="D1044" s="6" t="str">
        <f>"黄儿"</f>
        <v>黄儿</v>
      </c>
    </row>
    <row r="1045" spans="1:4" ht="30" customHeight="1">
      <c r="A1045" s="6">
        <v>1043</v>
      </c>
      <c r="B1045" s="6" t="str">
        <f>"508120230421202913139051"</f>
        <v>508120230421202913139051</v>
      </c>
      <c r="C1045" s="6" t="s">
        <v>7</v>
      </c>
      <c r="D1045" s="6" t="str">
        <f>"岑仕影"</f>
        <v>岑仕影</v>
      </c>
    </row>
    <row r="1046" spans="1:4" ht="30" customHeight="1">
      <c r="A1046" s="6">
        <v>1044</v>
      </c>
      <c r="B1046" s="6" t="str">
        <f>"508120230423095019139796"</f>
        <v>508120230423095019139796</v>
      </c>
      <c r="C1046" s="6" t="s">
        <v>7</v>
      </c>
      <c r="D1046" s="6" t="str">
        <f>"刘玉妃彦"</f>
        <v>刘玉妃彦</v>
      </c>
    </row>
    <row r="1047" spans="1:4" ht="30" customHeight="1">
      <c r="A1047" s="6">
        <v>1045</v>
      </c>
      <c r="B1047" s="6" t="str">
        <f>"508120230421114356138499"</f>
        <v>508120230421114356138499</v>
      </c>
      <c r="C1047" s="6" t="s">
        <v>7</v>
      </c>
      <c r="D1047" s="6" t="str">
        <f>"陈彩妮"</f>
        <v>陈彩妮</v>
      </c>
    </row>
    <row r="1048" spans="1:4" ht="30" customHeight="1">
      <c r="A1048" s="6">
        <v>1046</v>
      </c>
      <c r="B1048" s="6" t="str">
        <f>"508120230423085310139721"</f>
        <v>508120230423085310139721</v>
      </c>
      <c r="C1048" s="6" t="s">
        <v>7</v>
      </c>
      <c r="D1048" s="6" t="str">
        <f>"王海敏"</f>
        <v>王海敏</v>
      </c>
    </row>
    <row r="1049" spans="1:4" ht="30" customHeight="1">
      <c r="A1049" s="6">
        <v>1047</v>
      </c>
      <c r="B1049" s="6" t="str">
        <f>"508120230422211240139582"</f>
        <v>508120230422211240139582</v>
      </c>
      <c r="C1049" s="6" t="s">
        <v>7</v>
      </c>
      <c r="D1049" s="6" t="str">
        <f>"冯菲菲"</f>
        <v>冯菲菲</v>
      </c>
    </row>
    <row r="1050" spans="1:4" ht="30" customHeight="1">
      <c r="A1050" s="6">
        <v>1048</v>
      </c>
      <c r="B1050" s="6" t="str">
        <f>"508120230422093814139192"</f>
        <v>508120230422093814139192</v>
      </c>
      <c r="C1050" s="6" t="s">
        <v>7</v>
      </c>
      <c r="D1050" s="6" t="str">
        <f>"陈晓雯"</f>
        <v>陈晓雯</v>
      </c>
    </row>
    <row r="1051" spans="1:4" ht="30" customHeight="1">
      <c r="A1051" s="6">
        <v>1049</v>
      </c>
      <c r="B1051" s="6" t="str">
        <f>"508120230423105454139846"</f>
        <v>508120230423105454139846</v>
      </c>
      <c r="C1051" s="6" t="s">
        <v>7</v>
      </c>
      <c r="D1051" s="6" t="str">
        <f>"杜海玎"</f>
        <v>杜海玎</v>
      </c>
    </row>
    <row r="1052" spans="1:4" ht="30" customHeight="1">
      <c r="A1052" s="6">
        <v>1050</v>
      </c>
      <c r="B1052" s="6" t="str">
        <f>"508120230423105948139855"</f>
        <v>508120230423105948139855</v>
      </c>
      <c r="C1052" s="6" t="s">
        <v>7</v>
      </c>
      <c r="D1052" s="6" t="str">
        <f>"李欣默"</f>
        <v>李欣默</v>
      </c>
    </row>
    <row r="1053" spans="1:4" ht="30" customHeight="1">
      <c r="A1053" s="6">
        <v>1051</v>
      </c>
      <c r="B1053" s="6" t="str">
        <f>"508120230423101004139809"</f>
        <v>508120230423101004139809</v>
      </c>
      <c r="C1053" s="6" t="s">
        <v>7</v>
      </c>
      <c r="D1053" s="6" t="str">
        <f>"钟佳洁"</f>
        <v>钟佳洁</v>
      </c>
    </row>
    <row r="1054" spans="1:4" ht="30" customHeight="1">
      <c r="A1054" s="6">
        <v>1052</v>
      </c>
      <c r="B1054" s="6" t="str">
        <f>"508120230423093020139765"</f>
        <v>508120230423093020139765</v>
      </c>
      <c r="C1054" s="6" t="s">
        <v>7</v>
      </c>
      <c r="D1054" s="6" t="str">
        <f>"沈楠楠"</f>
        <v>沈楠楠</v>
      </c>
    </row>
    <row r="1055" spans="1:4" ht="30" customHeight="1">
      <c r="A1055" s="6">
        <v>1053</v>
      </c>
      <c r="B1055" s="6" t="str">
        <f>"508120230423120026139916"</f>
        <v>508120230423120026139916</v>
      </c>
      <c r="C1055" s="6" t="s">
        <v>7</v>
      </c>
      <c r="D1055" s="6" t="str">
        <f>"郑秀丽"</f>
        <v>郑秀丽</v>
      </c>
    </row>
    <row r="1056" spans="1:4" ht="30" customHeight="1">
      <c r="A1056" s="6">
        <v>1054</v>
      </c>
      <c r="B1056" s="6" t="str">
        <f>"508120230423111257139876"</f>
        <v>508120230423111257139876</v>
      </c>
      <c r="C1056" s="6" t="s">
        <v>7</v>
      </c>
      <c r="D1056" s="6" t="str">
        <f>"张露露"</f>
        <v>张露露</v>
      </c>
    </row>
    <row r="1057" spans="1:4" ht="30" customHeight="1">
      <c r="A1057" s="6">
        <v>1055</v>
      </c>
      <c r="B1057" s="6" t="str">
        <f>"508120230423111334139877"</f>
        <v>508120230423111334139877</v>
      </c>
      <c r="C1057" s="6" t="s">
        <v>7</v>
      </c>
      <c r="D1057" s="6" t="str">
        <f>"吴俊宗"</f>
        <v>吴俊宗</v>
      </c>
    </row>
    <row r="1058" spans="1:4" ht="30" customHeight="1">
      <c r="A1058" s="6">
        <v>1056</v>
      </c>
      <c r="B1058" s="6" t="str">
        <f>"508120230423111010139873"</f>
        <v>508120230423111010139873</v>
      </c>
      <c r="C1058" s="6" t="s">
        <v>7</v>
      </c>
      <c r="D1058" s="6" t="str">
        <f>"宋凯"</f>
        <v>宋凯</v>
      </c>
    </row>
    <row r="1059" spans="1:4" ht="30" customHeight="1">
      <c r="A1059" s="6">
        <v>1057</v>
      </c>
      <c r="B1059" s="6" t="str">
        <f>"508120230423133223139962"</f>
        <v>508120230423133223139962</v>
      </c>
      <c r="C1059" s="6" t="s">
        <v>7</v>
      </c>
      <c r="D1059" s="6" t="str">
        <f>"付俊山"</f>
        <v>付俊山</v>
      </c>
    </row>
    <row r="1060" spans="1:4" ht="30" customHeight="1">
      <c r="A1060" s="6">
        <v>1058</v>
      </c>
      <c r="B1060" s="6" t="str">
        <f>"508120230422232113139663"</f>
        <v>508120230422232113139663</v>
      </c>
      <c r="C1060" s="6" t="s">
        <v>7</v>
      </c>
      <c r="D1060" s="6" t="str">
        <f>"王学骏"</f>
        <v>王学骏</v>
      </c>
    </row>
    <row r="1061" spans="1:4" ht="30" customHeight="1">
      <c r="A1061" s="6">
        <v>1059</v>
      </c>
      <c r="B1061" s="6" t="str">
        <f>"508120230423142225139977"</f>
        <v>508120230423142225139977</v>
      </c>
      <c r="C1061" s="6" t="s">
        <v>7</v>
      </c>
      <c r="D1061" s="6" t="str">
        <f>"黎雅娟"</f>
        <v>黎雅娟</v>
      </c>
    </row>
    <row r="1062" spans="1:4" ht="30" customHeight="1">
      <c r="A1062" s="6">
        <v>1060</v>
      </c>
      <c r="B1062" s="6" t="str">
        <f>"508120230423140955139972"</f>
        <v>508120230423140955139972</v>
      </c>
      <c r="C1062" s="6" t="s">
        <v>7</v>
      </c>
      <c r="D1062" s="6" t="str">
        <f>"王辉"</f>
        <v>王辉</v>
      </c>
    </row>
    <row r="1063" spans="1:4" ht="30" customHeight="1">
      <c r="A1063" s="6">
        <v>1061</v>
      </c>
      <c r="B1063" s="6" t="str">
        <f>"508120230423115037139908"</f>
        <v>508120230423115037139908</v>
      </c>
      <c r="C1063" s="6" t="s">
        <v>7</v>
      </c>
      <c r="D1063" s="6" t="str">
        <f>"洪丽秋"</f>
        <v>洪丽秋</v>
      </c>
    </row>
    <row r="1064" spans="1:4" ht="30" customHeight="1">
      <c r="A1064" s="6">
        <v>1062</v>
      </c>
      <c r="B1064" s="6" t="str">
        <f>"508120230421103849138368"</f>
        <v>508120230421103849138368</v>
      </c>
      <c r="C1064" s="6" t="s">
        <v>7</v>
      </c>
      <c r="D1064" s="6" t="str">
        <f>"陈伟军"</f>
        <v>陈伟军</v>
      </c>
    </row>
    <row r="1065" spans="1:4" ht="30" customHeight="1">
      <c r="A1065" s="6">
        <v>1063</v>
      </c>
      <c r="B1065" s="6" t="str">
        <f>"508120230423145056139999"</f>
        <v>508120230423145056139999</v>
      </c>
      <c r="C1065" s="6" t="s">
        <v>7</v>
      </c>
      <c r="D1065" s="6" t="str">
        <f>"范慧怡"</f>
        <v>范慧怡</v>
      </c>
    </row>
    <row r="1066" spans="1:4" ht="30" customHeight="1">
      <c r="A1066" s="6">
        <v>1064</v>
      </c>
      <c r="B1066" s="6" t="str">
        <f>"508120230423150447140013"</f>
        <v>508120230423150447140013</v>
      </c>
      <c r="C1066" s="6" t="s">
        <v>7</v>
      </c>
      <c r="D1066" s="6" t="str">
        <f>"蔡惠卿"</f>
        <v>蔡惠卿</v>
      </c>
    </row>
    <row r="1067" spans="1:4" ht="30" customHeight="1">
      <c r="A1067" s="6">
        <v>1065</v>
      </c>
      <c r="B1067" s="6" t="str">
        <f>"508120230422145301139367"</f>
        <v>508120230422145301139367</v>
      </c>
      <c r="C1067" s="6" t="s">
        <v>7</v>
      </c>
      <c r="D1067" s="6" t="str">
        <f>"王凌力"</f>
        <v>王凌力</v>
      </c>
    </row>
    <row r="1068" spans="1:4" ht="30" customHeight="1">
      <c r="A1068" s="6">
        <v>1066</v>
      </c>
      <c r="B1068" s="6" t="str">
        <f>"508120230423150838140021"</f>
        <v>508120230423150838140021</v>
      </c>
      <c r="C1068" s="6" t="s">
        <v>7</v>
      </c>
      <c r="D1068" s="6" t="str">
        <f>"龙玉兰"</f>
        <v>龙玉兰</v>
      </c>
    </row>
    <row r="1069" spans="1:4" ht="30" customHeight="1">
      <c r="A1069" s="6">
        <v>1067</v>
      </c>
      <c r="B1069" s="6" t="str">
        <f>"508120230423161902140093"</f>
        <v>508120230423161902140093</v>
      </c>
      <c r="C1069" s="6" t="s">
        <v>7</v>
      </c>
      <c r="D1069" s="6" t="str">
        <f>"陈霖"</f>
        <v>陈霖</v>
      </c>
    </row>
    <row r="1070" spans="1:4" ht="30" customHeight="1">
      <c r="A1070" s="6">
        <v>1068</v>
      </c>
      <c r="B1070" s="6" t="str">
        <f>"508120230423163430140113"</f>
        <v>508120230423163430140113</v>
      </c>
      <c r="C1070" s="6" t="s">
        <v>7</v>
      </c>
      <c r="D1070" s="6" t="str">
        <f>"潘东滨"</f>
        <v>潘东滨</v>
      </c>
    </row>
    <row r="1071" spans="1:4" ht="30" customHeight="1">
      <c r="A1071" s="6">
        <v>1069</v>
      </c>
      <c r="B1071" s="6" t="str">
        <f>"508120230423165449140136"</f>
        <v>508120230423165449140136</v>
      </c>
      <c r="C1071" s="6" t="s">
        <v>7</v>
      </c>
      <c r="D1071" s="6" t="str">
        <f>"蒙雨晨"</f>
        <v>蒙雨晨</v>
      </c>
    </row>
    <row r="1072" spans="1:4" ht="30" customHeight="1">
      <c r="A1072" s="6">
        <v>1070</v>
      </c>
      <c r="B1072" s="6" t="str">
        <f>"508120230423161236140088"</f>
        <v>508120230423161236140088</v>
      </c>
      <c r="C1072" s="6" t="s">
        <v>7</v>
      </c>
      <c r="D1072" s="6" t="str">
        <f>"张涛"</f>
        <v>张涛</v>
      </c>
    </row>
    <row r="1073" spans="1:4" ht="30" customHeight="1">
      <c r="A1073" s="6">
        <v>1071</v>
      </c>
      <c r="B1073" s="6" t="str">
        <f>"508120230422215721139606"</f>
        <v>508120230422215721139606</v>
      </c>
      <c r="C1073" s="6" t="s">
        <v>7</v>
      </c>
      <c r="D1073" s="6" t="str">
        <f>"林贻彬"</f>
        <v>林贻彬</v>
      </c>
    </row>
    <row r="1074" spans="1:4" ht="30" customHeight="1">
      <c r="A1074" s="6">
        <v>1072</v>
      </c>
      <c r="B1074" s="6" t="str">
        <f>"508120230423180902140179"</f>
        <v>508120230423180902140179</v>
      </c>
      <c r="C1074" s="6" t="s">
        <v>7</v>
      </c>
      <c r="D1074" s="6" t="str">
        <f>"王丽云"</f>
        <v>王丽云</v>
      </c>
    </row>
    <row r="1075" spans="1:4" ht="30" customHeight="1">
      <c r="A1075" s="6">
        <v>1073</v>
      </c>
      <c r="B1075" s="6" t="str">
        <f>"508120230423162917140105"</f>
        <v>508120230423162917140105</v>
      </c>
      <c r="C1075" s="6" t="s">
        <v>7</v>
      </c>
      <c r="D1075" s="6" t="str">
        <f>"林子钧"</f>
        <v>林子钧</v>
      </c>
    </row>
    <row r="1076" spans="1:4" ht="30" customHeight="1">
      <c r="A1076" s="6">
        <v>1074</v>
      </c>
      <c r="B1076" s="6" t="str">
        <f>"508120230423182129140189"</f>
        <v>508120230423182129140189</v>
      </c>
      <c r="C1076" s="6" t="s">
        <v>7</v>
      </c>
      <c r="D1076" s="6" t="str">
        <f>"田诗敏"</f>
        <v>田诗敏</v>
      </c>
    </row>
    <row r="1077" spans="1:4" ht="30" customHeight="1">
      <c r="A1077" s="6">
        <v>1075</v>
      </c>
      <c r="B1077" s="6" t="str">
        <f>"508120230423185235140207"</f>
        <v>508120230423185235140207</v>
      </c>
      <c r="C1077" s="6" t="s">
        <v>7</v>
      </c>
      <c r="D1077" s="6" t="str">
        <f>"陈明亮"</f>
        <v>陈明亮</v>
      </c>
    </row>
    <row r="1078" spans="1:4" ht="30" customHeight="1">
      <c r="A1078" s="6">
        <v>1076</v>
      </c>
      <c r="B1078" s="6" t="str">
        <f>"508120230423182246140190"</f>
        <v>508120230423182246140190</v>
      </c>
      <c r="C1078" s="6" t="s">
        <v>7</v>
      </c>
      <c r="D1078" s="6" t="str">
        <f>"迟煜佩"</f>
        <v>迟煜佩</v>
      </c>
    </row>
    <row r="1079" spans="1:4" ht="30" customHeight="1">
      <c r="A1079" s="6">
        <v>1077</v>
      </c>
      <c r="B1079" s="6" t="str">
        <f>"508120230421145510138695"</f>
        <v>508120230421145510138695</v>
      </c>
      <c r="C1079" s="6" t="s">
        <v>7</v>
      </c>
      <c r="D1079" s="6" t="str">
        <f>"王爱美"</f>
        <v>王爱美</v>
      </c>
    </row>
    <row r="1080" spans="1:4" ht="30" customHeight="1">
      <c r="A1080" s="6">
        <v>1078</v>
      </c>
      <c r="B1080" s="6" t="str">
        <f>"508120230423192824140225"</f>
        <v>508120230423192824140225</v>
      </c>
      <c r="C1080" s="6" t="s">
        <v>7</v>
      </c>
      <c r="D1080" s="6" t="str">
        <f>"黄小惠"</f>
        <v>黄小惠</v>
      </c>
    </row>
    <row r="1081" spans="1:4" ht="30" customHeight="1">
      <c r="A1081" s="6">
        <v>1079</v>
      </c>
      <c r="B1081" s="6" t="str">
        <f>"508120230423144850139993"</f>
        <v>508120230423144850139993</v>
      </c>
      <c r="C1081" s="6" t="s">
        <v>7</v>
      </c>
      <c r="D1081" s="6" t="str">
        <f>"李业凯"</f>
        <v>李业凯</v>
      </c>
    </row>
    <row r="1082" spans="1:4" ht="30" customHeight="1">
      <c r="A1082" s="6">
        <v>1080</v>
      </c>
      <c r="B1082" s="6" t="str">
        <f>"508120230423201303140256"</f>
        <v>508120230423201303140256</v>
      </c>
      <c r="C1082" s="6" t="s">
        <v>7</v>
      </c>
      <c r="D1082" s="6" t="str">
        <f>"钟华敏"</f>
        <v>钟华敏</v>
      </c>
    </row>
    <row r="1083" spans="1:4" ht="30" customHeight="1">
      <c r="A1083" s="6">
        <v>1081</v>
      </c>
      <c r="B1083" s="6" t="str">
        <f>"508120230423201233140255"</f>
        <v>508120230423201233140255</v>
      </c>
      <c r="C1083" s="6" t="s">
        <v>7</v>
      </c>
      <c r="D1083" s="6" t="str">
        <f>"李选军"</f>
        <v>李选军</v>
      </c>
    </row>
    <row r="1084" spans="1:4" ht="30" customHeight="1">
      <c r="A1084" s="6">
        <v>1082</v>
      </c>
      <c r="B1084" s="6" t="str">
        <f>"508120230421165444138882"</f>
        <v>508120230421165444138882</v>
      </c>
      <c r="C1084" s="6" t="s">
        <v>7</v>
      </c>
      <c r="D1084" s="6" t="str">
        <f>"辜冠铭"</f>
        <v>辜冠铭</v>
      </c>
    </row>
    <row r="1085" spans="1:4" ht="30" customHeight="1">
      <c r="A1085" s="6">
        <v>1083</v>
      </c>
      <c r="B1085" s="6" t="str">
        <f>"508120230423211706140317"</f>
        <v>508120230423211706140317</v>
      </c>
      <c r="C1085" s="6" t="s">
        <v>7</v>
      </c>
      <c r="D1085" s="6" t="str">
        <f>"陈月文"</f>
        <v>陈月文</v>
      </c>
    </row>
    <row r="1086" spans="1:4" ht="30" customHeight="1">
      <c r="A1086" s="6">
        <v>1084</v>
      </c>
      <c r="B1086" s="6" t="str">
        <f>"508120230423210624140303"</f>
        <v>508120230423210624140303</v>
      </c>
      <c r="C1086" s="6" t="s">
        <v>7</v>
      </c>
      <c r="D1086" s="6" t="str">
        <f>"王万威"</f>
        <v>王万威</v>
      </c>
    </row>
    <row r="1087" spans="1:4" ht="30" customHeight="1">
      <c r="A1087" s="6">
        <v>1085</v>
      </c>
      <c r="B1087" s="6" t="str">
        <f>"508120230423210123140297"</f>
        <v>508120230423210123140297</v>
      </c>
      <c r="C1087" s="6" t="s">
        <v>7</v>
      </c>
      <c r="D1087" s="6" t="str">
        <f>"李妮娜"</f>
        <v>李妮娜</v>
      </c>
    </row>
    <row r="1088" spans="1:4" ht="30" customHeight="1">
      <c r="A1088" s="6">
        <v>1086</v>
      </c>
      <c r="B1088" s="6" t="str">
        <f>"508120230421112011138454"</f>
        <v>508120230421112011138454</v>
      </c>
      <c r="C1088" s="6" t="s">
        <v>7</v>
      </c>
      <c r="D1088" s="6" t="str">
        <f>"黄晓瑞"</f>
        <v>黄晓瑞</v>
      </c>
    </row>
    <row r="1089" spans="1:4" ht="30" customHeight="1">
      <c r="A1089" s="6">
        <v>1087</v>
      </c>
      <c r="B1089" s="6" t="str">
        <f>"508120230422230421139650"</f>
        <v>508120230422230421139650</v>
      </c>
      <c r="C1089" s="6" t="s">
        <v>7</v>
      </c>
      <c r="D1089" s="6" t="str">
        <f>"张智越"</f>
        <v>张智越</v>
      </c>
    </row>
    <row r="1090" spans="1:4" ht="30" customHeight="1">
      <c r="A1090" s="6">
        <v>1088</v>
      </c>
      <c r="B1090" s="6" t="str">
        <f>"508120230423220245140354"</f>
        <v>508120230423220245140354</v>
      </c>
      <c r="C1090" s="6" t="s">
        <v>7</v>
      </c>
      <c r="D1090" s="6" t="str">
        <f>"符壮才"</f>
        <v>符壮才</v>
      </c>
    </row>
    <row r="1091" spans="1:4" ht="30" customHeight="1">
      <c r="A1091" s="6">
        <v>1089</v>
      </c>
      <c r="B1091" s="6" t="str">
        <f>"508120230423215419140345"</f>
        <v>508120230423215419140345</v>
      </c>
      <c r="C1091" s="6" t="s">
        <v>7</v>
      </c>
      <c r="D1091" s="6" t="str">
        <f>"周丹妮"</f>
        <v>周丹妮</v>
      </c>
    </row>
    <row r="1092" spans="1:4" ht="30" customHeight="1">
      <c r="A1092" s="6">
        <v>1090</v>
      </c>
      <c r="B1092" s="6" t="str">
        <f>"508120230423160013140076"</f>
        <v>508120230423160013140076</v>
      </c>
      <c r="C1092" s="6" t="s">
        <v>7</v>
      </c>
      <c r="D1092" s="6" t="str">
        <f>"王树楠"</f>
        <v>王树楠</v>
      </c>
    </row>
    <row r="1093" spans="1:4" ht="30" customHeight="1">
      <c r="A1093" s="6">
        <v>1091</v>
      </c>
      <c r="B1093" s="6" t="str">
        <f>"508120230423231107140404"</f>
        <v>508120230423231107140404</v>
      </c>
      <c r="C1093" s="6" t="s">
        <v>7</v>
      </c>
      <c r="D1093" s="6" t="str">
        <f>"苏佩格"</f>
        <v>苏佩格</v>
      </c>
    </row>
    <row r="1094" spans="1:4" ht="30" customHeight="1">
      <c r="A1094" s="6">
        <v>1092</v>
      </c>
      <c r="B1094" s="6" t="str">
        <f>"508120230424010216140433"</f>
        <v>508120230424010216140433</v>
      </c>
      <c r="C1094" s="6" t="s">
        <v>7</v>
      </c>
      <c r="D1094" s="6" t="str">
        <f>"吉世果"</f>
        <v>吉世果</v>
      </c>
    </row>
    <row r="1095" spans="1:4" ht="30" customHeight="1">
      <c r="A1095" s="6">
        <v>1093</v>
      </c>
      <c r="B1095" s="6" t="str">
        <f>"508120230421192318139009"</f>
        <v>508120230421192318139009</v>
      </c>
      <c r="C1095" s="6" t="s">
        <v>7</v>
      </c>
      <c r="D1095" s="6" t="str">
        <f>"叶泳槟"</f>
        <v>叶泳槟</v>
      </c>
    </row>
    <row r="1096" spans="1:4" ht="30" customHeight="1">
      <c r="A1096" s="6">
        <v>1094</v>
      </c>
      <c r="B1096" s="6" t="str">
        <f>"508120230424082126140453"</f>
        <v>508120230424082126140453</v>
      </c>
      <c r="C1096" s="6" t="s">
        <v>7</v>
      </c>
      <c r="D1096" s="6" t="str">
        <f>"陈莹"</f>
        <v>陈莹</v>
      </c>
    </row>
    <row r="1097" spans="1:4" ht="30" customHeight="1">
      <c r="A1097" s="6">
        <v>1095</v>
      </c>
      <c r="B1097" s="6" t="str">
        <f>"508120230424090339140487"</f>
        <v>508120230424090339140487</v>
      </c>
      <c r="C1097" s="6" t="s">
        <v>7</v>
      </c>
      <c r="D1097" s="6" t="str">
        <f>"邓俊俏"</f>
        <v>邓俊俏</v>
      </c>
    </row>
    <row r="1098" spans="1:4" ht="30" customHeight="1">
      <c r="A1098" s="6">
        <v>1096</v>
      </c>
      <c r="B1098" s="6" t="str">
        <f>"508120230424091817140500"</f>
        <v>508120230424091817140500</v>
      </c>
      <c r="C1098" s="6" t="s">
        <v>7</v>
      </c>
      <c r="D1098" s="6" t="str">
        <f>"蔡子力"</f>
        <v>蔡子力</v>
      </c>
    </row>
    <row r="1099" spans="1:4" ht="30" customHeight="1">
      <c r="A1099" s="6">
        <v>1097</v>
      </c>
      <c r="B1099" s="6" t="str">
        <f>"508120230424095705140546"</f>
        <v>508120230424095705140546</v>
      </c>
      <c r="C1099" s="6" t="s">
        <v>7</v>
      </c>
      <c r="D1099" s="6" t="str">
        <f>"胡鹏"</f>
        <v>胡鹏</v>
      </c>
    </row>
    <row r="1100" spans="1:4" ht="30" customHeight="1">
      <c r="A1100" s="6">
        <v>1098</v>
      </c>
      <c r="B1100" s="6" t="str">
        <f>"508120230424080537140448"</f>
        <v>508120230424080537140448</v>
      </c>
      <c r="C1100" s="6" t="s">
        <v>7</v>
      </c>
      <c r="D1100" s="6" t="str">
        <f>"陈芳委"</f>
        <v>陈芳委</v>
      </c>
    </row>
    <row r="1101" spans="1:4" ht="30" customHeight="1">
      <c r="A1101" s="6">
        <v>1099</v>
      </c>
      <c r="B1101" s="6" t="str">
        <f>"508120230424102007140573"</f>
        <v>508120230424102007140573</v>
      </c>
      <c r="C1101" s="6" t="s">
        <v>7</v>
      </c>
      <c r="D1101" s="6" t="str">
        <f>"符延孟"</f>
        <v>符延孟</v>
      </c>
    </row>
    <row r="1102" spans="1:4" ht="30" customHeight="1">
      <c r="A1102" s="6">
        <v>1100</v>
      </c>
      <c r="B1102" s="6" t="str">
        <f>"508120230423230230140401"</f>
        <v>508120230423230230140401</v>
      </c>
      <c r="C1102" s="6" t="s">
        <v>7</v>
      </c>
      <c r="D1102" s="6" t="str">
        <f>"吴清杰"</f>
        <v>吴清杰</v>
      </c>
    </row>
    <row r="1103" spans="1:4" ht="30" customHeight="1">
      <c r="A1103" s="6">
        <v>1101</v>
      </c>
      <c r="B1103" s="6" t="str">
        <f>"508120230424104710140608"</f>
        <v>508120230424104710140608</v>
      </c>
      <c r="C1103" s="6" t="s">
        <v>7</v>
      </c>
      <c r="D1103" s="6" t="str">
        <f>"殷月娟"</f>
        <v>殷月娟</v>
      </c>
    </row>
    <row r="1104" spans="1:4" ht="30" customHeight="1">
      <c r="A1104" s="6">
        <v>1102</v>
      </c>
      <c r="B1104" s="6" t="str">
        <f>"508120230424111453140632"</f>
        <v>508120230424111453140632</v>
      </c>
      <c r="C1104" s="6" t="s">
        <v>7</v>
      </c>
      <c r="D1104" s="6" t="str">
        <f>"陈惠媚"</f>
        <v>陈惠媚</v>
      </c>
    </row>
    <row r="1105" spans="1:4" ht="30" customHeight="1">
      <c r="A1105" s="6">
        <v>1103</v>
      </c>
      <c r="B1105" s="6" t="str">
        <f>"508120230424112835140644"</f>
        <v>508120230424112835140644</v>
      </c>
      <c r="C1105" s="6" t="s">
        <v>7</v>
      </c>
      <c r="D1105" s="6" t="str">
        <f>"谢材余"</f>
        <v>谢材余</v>
      </c>
    </row>
    <row r="1106" spans="1:4" ht="30" customHeight="1">
      <c r="A1106" s="6">
        <v>1104</v>
      </c>
      <c r="B1106" s="6" t="str">
        <f>"508120230424113527140652"</f>
        <v>508120230424113527140652</v>
      </c>
      <c r="C1106" s="6" t="s">
        <v>7</v>
      </c>
      <c r="D1106" s="6" t="str">
        <f>"蔡良杰"</f>
        <v>蔡良杰</v>
      </c>
    </row>
    <row r="1107" spans="1:4" ht="30" customHeight="1">
      <c r="A1107" s="6">
        <v>1105</v>
      </c>
      <c r="B1107" s="6" t="str">
        <f>"508120230424115237140669"</f>
        <v>508120230424115237140669</v>
      </c>
      <c r="C1107" s="6" t="s">
        <v>7</v>
      </c>
      <c r="D1107" s="6" t="str">
        <f>"蒙海月"</f>
        <v>蒙海月</v>
      </c>
    </row>
    <row r="1108" spans="1:4" ht="30" customHeight="1">
      <c r="A1108" s="6">
        <v>1106</v>
      </c>
      <c r="B1108" s="6" t="str">
        <f>"508120230424114645140662"</f>
        <v>508120230424114645140662</v>
      </c>
      <c r="C1108" s="6" t="s">
        <v>7</v>
      </c>
      <c r="D1108" s="6" t="str">
        <f>"谭月籼"</f>
        <v>谭月籼</v>
      </c>
    </row>
    <row r="1109" spans="1:4" ht="30" customHeight="1">
      <c r="A1109" s="6">
        <v>1107</v>
      </c>
      <c r="B1109" s="6" t="str">
        <f>"508120230424131129140714"</f>
        <v>508120230424131129140714</v>
      </c>
      <c r="C1109" s="6" t="s">
        <v>7</v>
      </c>
      <c r="D1109" s="6" t="str">
        <f>"刘春丽"</f>
        <v>刘春丽</v>
      </c>
    </row>
    <row r="1110" spans="1:4" ht="30" customHeight="1">
      <c r="A1110" s="6">
        <v>1108</v>
      </c>
      <c r="B1110" s="6" t="str">
        <f>"508120230424132720140721"</f>
        <v>508120230424132720140721</v>
      </c>
      <c r="C1110" s="6" t="s">
        <v>7</v>
      </c>
      <c r="D1110" s="6" t="str">
        <f>"张庭畅"</f>
        <v>张庭畅</v>
      </c>
    </row>
    <row r="1111" spans="1:4" ht="30" customHeight="1">
      <c r="A1111" s="6">
        <v>1109</v>
      </c>
      <c r="B1111" s="6" t="str">
        <f>"508120230424133030140725"</f>
        <v>508120230424133030140725</v>
      </c>
      <c r="C1111" s="6" t="s">
        <v>7</v>
      </c>
      <c r="D1111" s="6" t="str">
        <f>"刘心月"</f>
        <v>刘心月</v>
      </c>
    </row>
    <row r="1112" spans="1:4" ht="30" customHeight="1">
      <c r="A1112" s="6">
        <v>1110</v>
      </c>
      <c r="B1112" s="6" t="str">
        <f>"508120230424150237140758"</f>
        <v>508120230424150237140758</v>
      </c>
      <c r="C1112" s="6" t="s">
        <v>7</v>
      </c>
      <c r="D1112" s="6" t="str">
        <f>"冼琳韵"</f>
        <v>冼琳韵</v>
      </c>
    </row>
    <row r="1113" spans="1:4" ht="30" customHeight="1">
      <c r="A1113" s="6">
        <v>1111</v>
      </c>
      <c r="B1113" s="6" t="str">
        <f>"508120230423181222140183"</f>
        <v>508120230423181222140183</v>
      </c>
      <c r="C1113" s="6" t="s">
        <v>7</v>
      </c>
      <c r="D1113" s="6" t="str">
        <f>"符万花"</f>
        <v>符万花</v>
      </c>
    </row>
    <row r="1114" spans="1:4" ht="30" customHeight="1">
      <c r="A1114" s="6">
        <v>1112</v>
      </c>
      <c r="B1114" s="6" t="str">
        <f>"508120230424150718140763"</f>
        <v>508120230424150718140763</v>
      </c>
      <c r="C1114" s="6" t="s">
        <v>7</v>
      </c>
      <c r="D1114" s="6" t="str">
        <f>"符多艳"</f>
        <v>符多艳</v>
      </c>
    </row>
    <row r="1115" spans="1:4" ht="30" customHeight="1">
      <c r="A1115" s="6">
        <v>1113</v>
      </c>
      <c r="B1115" s="6" t="str">
        <f>"508120230424150636140761"</f>
        <v>508120230424150636140761</v>
      </c>
      <c r="C1115" s="6" t="s">
        <v>7</v>
      </c>
      <c r="D1115" s="6" t="str">
        <f>"邱茜"</f>
        <v>邱茜</v>
      </c>
    </row>
    <row r="1116" spans="1:4" ht="30" customHeight="1">
      <c r="A1116" s="6">
        <v>1114</v>
      </c>
      <c r="B1116" s="6" t="str">
        <f>"508120230422091855139186"</f>
        <v>508120230422091855139186</v>
      </c>
      <c r="C1116" s="6" t="s">
        <v>7</v>
      </c>
      <c r="D1116" s="6" t="str">
        <f>"吴一增"</f>
        <v>吴一增</v>
      </c>
    </row>
    <row r="1117" spans="1:4" ht="30" customHeight="1">
      <c r="A1117" s="6">
        <v>1115</v>
      </c>
      <c r="B1117" s="6" t="str">
        <f>"508120230424151817140770"</f>
        <v>508120230424151817140770</v>
      </c>
      <c r="C1117" s="6" t="s">
        <v>7</v>
      </c>
      <c r="D1117" s="6" t="str">
        <f>"何雅雯"</f>
        <v>何雅雯</v>
      </c>
    </row>
    <row r="1118" spans="1:4" ht="30" customHeight="1">
      <c r="A1118" s="6">
        <v>1116</v>
      </c>
      <c r="B1118" s="6" t="str">
        <f>"508120230424153456140783"</f>
        <v>508120230424153456140783</v>
      </c>
      <c r="C1118" s="6" t="s">
        <v>7</v>
      </c>
      <c r="D1118" s="6" t="str">
        <f>"成美虹"</f>
        <v>成美虹</v>
      </c>
    </row>
    <row r="1119" spans="1:4" ht="30" customHeight="1">
      <c r="A1119" s="6">
        <v>1117</v>
      </c>
      <c r="B1119" s="6" t="str">
        <f>"508120230424160424140810"</f>
        <v>508120230424160424140810</v>
      </c>
      <c r="C1119" s="6" t="s">
        <v>7</v>
      </c>
      <c r="D1119" s="6" t="str">
        <f>"彭锦楷"</f>
        <v>彭锦楷</v>
      </c>
    </row>
    <row r="1120" spans="1:4" ht="30" customHeight="1">
      <c r="A1120" s="6">
        <v>1118</v>
      </c>
      <c r="B1120" s="6" t="str">
        <f>"508120230424155105140796"</f>
        <v>508120230424155105140796</v>
      </c>
      <c r="C1120" s="6" t="s">
        <v>7</v>
      </c>
      <c r="D1120" s="6" t="str">
        <f>"高克剑"</f>
        <v>高克剑</v>
      </c>
    </row>
    <row r="1121" spans="1:4" ht="30" customHeight="1">
      <c r="A1121" s="6">
        <v>1119</v>
      </c>
      <c r="B1121" s="6" t="str">
        <f>"508120230424114339140658"</f>
        <v>508120230424114339140658</v>
      </c>
      <c r="C1121" s="6" t="s">
        <v>7</v>
      </c>
      <c r="D1121" s="6" t="str">
        <f>"侯思羽"</f>
        <v>侯思羽</v>
      </c>
    </row>
    <row r="1122" spans="1:4" ht="30" customHeight="1">
      <c r="A1122" s="6">
        <v>1120</v>
      </c>
      <c r="B1122" s="6" t="str">
        <f>"508120230424164909140851"</f>
        <v>508120230424164909140851</v>
      </c>
      <c r="C1122" s="6" t="s">
        <v>7</v>
      </c>
      <c r="D1122" s="6" t="str">
        <f>"王思亮"</f>
        <v>王思亮</v>
      </c>
    </row>
    <row r="1123" spans="1:4" ht="30" customHeight="1">
      <c r="A1123" s="6">
        <v>1121</v>
      </c>
      <c r="B1123" s="6" t="str">
        <f>"508120230422144719139365"</f>
        <v>508120230422144719139365</v>
      </c>
      <c r="C1123" s="6" t="s">
        <v>7</v>
      </c>
      <c r="D1123" s="6" t="str">
        <f>"陈飞羽"</f>
        <v>陈飞羽</v>
      </c>
    </row>
    <row r="1124" spans="1:4" ht="30" customHeight="1">
      <c r="A1124" s="6">
        <v>1122</v>
      </c>
      <c r="B1124" s="6" t="str">
        <f>"508120230424173503140885"</f>
        <v>508120230424173503140885</v>
      </c>
      <c r="C1124" s="6" t="s">
        <v>7</v>
      </c>
      <c r="D1124" s="6" t="str">
        <f>"蔡小滨"</f>
        <v>蔡小滨</v>
      </c>
    </row>
    <row r="1125" spans="1:4" ht="30" customHeight="1">
      <c r="A1125" s="6">
        <v>1123</v>
      </c>
      <c r="B1125" s="6" t="str">
        <f>"508120230424181652140912"</f>
        <v>508120230424181652140912</v>
      </c>
      <c r="C1125" s="6" t="s">
        <v>7</v>
      </c>
      <c r="D1125" s="6" t="str">
        <f>"廖文华"</f>
        <v>廖文华</v>
      </c>
    </row>
    <row r="1126" spans="1:4" ht="30" customHeight="1">
      <c r="A1126" s="6">
        <v>1124</v>
      </c>
      <c r="B1126" s="6" t="str">
        <f>"508120230424175406140896"</f>
        <v>508120230424175406140896</v>
      </c>
      <c r="C1126" s="6" t="s">
        <v>7</v>
      </c>
      <c r="D1126" s="6" t="str">
        <f>"张怡然"</f>
        <v>张怡然</v>
      </c>
    </row>
    <row r="1127" spans="1:4" ht="30" customHeight="1">
      <c r="A1127" s="6">
        <v>1125</v>
      </c>
      <c r="B1127" s="6" t="str">
        <f>"508120230424183118140918"</f>
        <v>508120230424183118140918</v>
      </c>
      <c r="C1127" s="6" t="s">
        <v>7</v>
      </c>
      <c r="D1127" s="6" t="str">
        <f>"陈茹"</f>
        <v>陈茹</v>
      </c>
    </row>
    <row r="1128" spans="1:4" ht="30" customHeight="1">
      <c r="A1128" s="6">
        <v>1126</v>
      </c>
      <c r="B1128" s="6" t="str">
        <f>"508120230421114047138492"</f>
        <v>508120230421114047138492</v>
      </c>
      <c r="C1128" s="6" t="s">
        <v>7</v>
      </c>
      <c r="D1128" s="6" t="str">
        <f>"陈佳慧"</f>
        <v>陈佳慧</v>
      </c>
    </row>
    <row r="1129" spans="1:4" ht="30" customHeight="1">
      <c r="A1129" s="6">
        <v>1127</v>
      </c>
      <c r="B1129" s="6" t="str">
        <f>"508120230424193219140951"</f>
        <v>508120230424193219140951</v>
      </c>
      <c r="C1129" s="6" t="s">
        <v>7</v>
      </c>
      <c r="D1129" s="6" t="str">
        <f>"刘顺纬"</f>
        <v>刘顺纬</v>
      </c>
    </row>
    <row r="1130" spans="1:4" ht="30" customHeight="1">
      <c r="A1130" s="6">
        <v>1128</v>
      </c>
      <c r="B1130" s="6" t="str">
        <f>"508120230422211124139580"</f>
        <v>508120230422211124139580</v>
      </c>
      <c r="C1130" s="6" t="s">
        <v>7</v>
      </c>
      <c r="D1130" s="6" t="str">
        <f>"许冬妹"</f>
        <v>许冬妹</v>
      </c>
    </row>
    <row r="1131" spans="1:4" ht="30" customHeight="1">
      <c r="A1131" s="6">
        <v>1129</v>
      </c>
      <c r="B1131" s="6" t="str">
        <f>"508120230424203127140994"</f>
        <v>508120230424203127140994</v>
      </c>
      <c r="C1131" s="6" t="s">
        <v>7</v>
      </c>
      <c r="D1131" s="6" t="str">
        <f>"王欣怡"</f>
        <v>王欣怡</v>
      </c>
    </row>
    <row r="1132" spans="1:4" ht="30" customHeight="1">
      <c r="A1132" s="6">
        <v>1130</v>
      </c>
      <c r="B1132" s="6" t="str">
        <f>"508120230424151923140771"</f>
        <v>508120230424151923140771</v>
      </c>
      <c r="C1132" s="6" t="s">
        <v>7</v>
      </c>
      <c r="D1132" s="6" t="str">
        <f>"郭梦鸽"</f>
        <v>郭梦鸽</v>
      </c>
    </row>
    <row r="1133" spans="1:4" ht="30" customHeight="1">
      <c r="A1133" s="6">
        <v>1131</v>
      </c>
      <c r="B1133" s="6" t="str">
        <f>"508120230421160554138817"</f>
        <v>508120230421160554138817</v>
      </c>
      <c r="C1133" s="6" t="s">
        <v>7</v>
      </c>
      <c r="D1133" s="6" t="str">
        <f>"朱大帅"</f>
        <v>朱大帅</v>
      </c>
    </row>
    <row r="1134" spans="1:4" ht="30" customHeight="1">
      <c r="A1134" s="6">
        <v>1132</v>
      </c>
      <c r="B1134" s="6" t="str">
        <f>"508120230424210133141014"</f>
        <v>508120230424210133141014</v>
      </c>
      <c r="C1134" s="6" t="s">
        <v>7</v>
      </c>
      <c r="D1134" s="6" t="str">
        <f>"周安淇"</f>
        <v>周安淇</v>
      </c>
    </row>
    <row r="1135" spans="1:4" ht="30" customHeight="1">
      <c r="A1135" s="6">
        <v>1133</v>
      </c>
      <c r="B1135" s="6" t="str">
        <f>"508120230424101540140570"</f>
        <v>508120230424101540140570</v>
      </c>
      <c r="C1135" s="6" t="s">
        <v>7</v>
      </c>
      <c r="D1135" s="6" t="str">
        <f>"李达松"</f>
        <v>李达松</v>
      </c>
    </row>
    <row r="1136" spans="1:4" ht="30" customHeight="1">
      <c r="A1136" s="6">
        <v>1134</v>
      </c>
      <c r="B1136" s="6" t="str">
        <f>"508120230424215543141047"</f>
        <v>508120230424215543141047</v>
      </c>
      <c r="C1136" s="6" t="s">
        <v>7</v>
      </c>
      <c r="D1136" s="6" t="str">
        <f>"滕青"</f>
        <v>滕青</v>
      </c>
    </row>
    <row r="1137" spans="1:4" ht="30" customHeight="1">
      <c r="A1137" s="6">
        <v>1135</v>
      </c>
      <c r="B1137" s="6" t="str">
        <f>"508120230424222603141074"</f>
        <v>508120230424222603141074</v>
      </c>
      <c r="C1137" s="6" t="s">
        <v>7</v>
      </c>
      <c r="D1137" s="6" t="str">
        <f>"周始惋"</f>
        <v>周始惋</v>
      </c>
    </row>
    <row r="1138" spans="1:4" ht="30" customHeight="1">
      <c r="A1138" s="6">
        <v>1136</v>
      </c>
      <c r="B1138" s="6" t="str">
        <f>"508120230424180350140900"</f>
        <v>508120230424180350140900</v>
      </c>
      <c r="C1138" s="6" t="s">
        <v>7</v>
      </c>
      <c r="D1138" s="6" t="str">
        <f>"李妮"</f>
        <v>李妮</v>
      </c>
    </row>
    <row r="1139" spans="1:4" ht="30" customHeight="1">
      <c r="A1139" s="6">
        <v>1137</v>
      </c>
      <c r="B1139" s="6" t="str">
        <f>"508120230425092637141181"</f>
        <v>508120230425092637141181</v>
      </c>
      <c r="C1139" s="6" t="s">
        <v>7</v>
      </c>
      <c r="D1139" s="6" t="str">
        <f>"赵璟"</f>
        <v>赵璟</v>
      </c>
    </row>
    <row r="1140" spans="1:4" ht="30" customHeight="1">
      <c r="A1140" s="6">
        <v>1138</v>
      </c>
      <c r="B1140" s="6" t="str">
        <f>"508120230425095625141196"</f>
        <v>508120230425095625141196</v>
      </c>
      <c r="C1140" s="6" t="s">
        <v>7</v>
      </c>
      <c r="D1140" s="6" t="str">
        <f>"符慧燕"</f>
        <v>符慧燕</v>
      </c>
    </row>
    <row r="1141" spans="1:4" ht="30" customHeight="1">
      <c r="A1141" s="6">
        <v>1139</v>
      </c>
      <c r="B1141" s="6" t="str">
        <f>"508120230425101440141206"</f>
        <v>508120230425101440141206</v>
      </c>
      <c r="C1141" s="6" t="s">
        <v>7</v>
      </c>
      <c r="D1141" s="6" t="str">
        <f>"石苓莎"</f>
        <v>石苓莎</v>
      </c>
    </row>
    <row r="1142" spans="1:4" ht="30" customHeight="1">
      <c r="A1142" s="6">
        <v>1140</v>
      </c>
      <c r="B1142" s="6" t="str">
        <f>"508120230425102130141212"</f>
        <v>508120230425102130141212</v>
      </c>
      <c r="C1142" s="6" t="s">
        <v>7</v>
      </c>
      <c r="D1142" s="6" t="str">
        <f>"甘运来"</f>
        <v>甘运来</v>
      </c>
    </row>
    <row r="1143" spans="1:4" ht="30" customHeight="1">
      <c r="A1143" s="6">
        <v>1141</v>
      </c>
      <c r="B1143" s="6" t="str">
        <f>"508120230422091447139183"</f>
        <v>508120230422091447139183</v>
      </c>
      <c r="C1143" s="6" t="s">
        <v>7</v>
      </c>
      <c r="D1143" s="6" t="str">
        <f>"王彦"</f>
        <v>王彦</v>
      </c>
    </row>
    <row r="1144" spans="1:4" ht="30" customHeight="1">
      <c r="A1144" s="6">
        <v>1142</v>
      </c>
      <c r="B1144" s="6" t="str">
        <f>"508120230425105212141240"</f>
        <v>508120230425105212141240</v>
      </c>
      <c r="C1144" s="6" t="s">
        <v>7</v>
      </c>
      <c r="D1144" s="6" t="str">
        <f>"黄洳钲"</f>
        <v>黄洳钲</v>
      </c>
    </row>
    <row r="1145" spans="1:4" ht="30" customHeight="1">
      <c r="A1145" s="6">
        <v>1143</v>
      </c>
      <c r="B1145" s="6" t="str">
        <f>"508120230425083958141158"</f>
        <v>508120230425083958141158</v>
      </c>
      <c r="C1145" s="6" t="s">
        <v>7</v>
      </c>
      <c r="D1145" s="6" t="str">
        <f>"李亚香"</f>
        <v>李亚香</v>
      </c>
    </row>
    <row r="1146" spans="1:4" ht="30" customHeight="1">
      <c r="A1146" s="6">
        <v>1144</v>
      </c>
      <c r="B1146" s="6" t="str">
        <f>"508120230425085515141163"</f>
        <v>508120230425085515141163</v>
      </c>
      <c r="C1146" s="6" t="s">
        <v>7</v>
      </c>
      <c r="D1146" s="6" t="str">
        <f>"黄刚"</f>
        <v>黄刚</v>
      </c>
    </row>
    <row r="1147" spans="1:4" ht="30" customHeight="1">
      <c r="A1147" s="6">
        <v>1145</v>
      </c>
      <c r="B1147" s="6" t="str">
        <f>"508120230424161948140827"</f>
        <v>508120230424161948140827</v>
      </c>
      <c r="C1147" s="6" t="s">
        <v>7</v>
      </c>
      <c r="D1147" s="6" t="str">
        <f>"廖景华"</f>
        <v>廖景华</v>
      </c>
    </row>
    <row r="1148" spans="1:4" ht="30" customHeight="1">
      <c r="A1148" s="6">
        <v>1146</v>
      </c>
      <c r="B1148" s="6" t="str">
        <f>"508120230425151955141379"</f>
        <v>508120230425151955141379</v>
      </c>
      <c r="C1148" s="6" t="s">
        <v>7</v>
      </c>
      <c r="D1148" s="6" t="str">
        <f>"刘美辰"</f>
        <v>刘美辰</v>
      </c>
    </row>
    <row r="1149" spans="1:4" ht="30" customHeight="1">
      <c r="A1149" s="6">
        <v>1147</v>
      </c>
      <c r="B1149" s="6" t="str">
        <f>"508120230424084151140466"</f>
        <v>508120230424084151140466</v>
      </c>
      <c r="C1149" s="6" t="s">
        <v>7</v>
      </c>
      <c r="D1149" s="6" t="str">
        <f>"刘英子"</f>
        <v>刘英子</v>
      </c>
    </row>
    <row r="1150" spans="1:4" ht="30" customHeight="1">
      <c r="A1150" s="6">
        <v>1148</v>
      </c>
      <c r="B1150" s="6" t="str">
        <f>"508120230425183456141509"</f>
        <v>508120230425183456141509</v>
      </c>
      <c r="C1150" s="6" t="s">
        <v>7</v>
      </c>
      <c r="D1150" s="6" t="str">
        <f>"陈桃艳"</f>
        <v>陈桃艳</v>
      </c>
    </row>
    <row r="1151" spans="1:4" ht="30" customHeight="1">
      <c r="A1151" s="6">
        <v>1149</v>
      </c>
      <c r="B1151" s="6" t="str">
        <f>"508120230425192941141528"</f>
        <v>508120230425192941141528</v>
      </c>
      <c r="C1151" s="6" t="s">
        <v>7</v>
      </c>
      <c r="D1151" s="6" t="str">
        <f>"王显康"</f>
        <v>王显康</v>
      </c>
    </row>
    <row r="1152" spans="1:4" ht="30" customHeight="1">
      <c r="A1152" s="6">
        <v>1150</v>
      </c>
      <c r="B1152" s="6" t="str">
        <f>"508120230425105501141245"</f>
        <v>508120230425105501141245</v>
      </c>
      <c r="C1152" s="6" t="s">
        <v>7</v>
      </c>
      <c r="D1152" s="6" t="str">
        <f>"白丽"</f>
        <v>白丽</v>
      </c>
    </row>
    <row r="1153" spans="1:4" ht="30" customHeight="1">
      <c r="A1153" s="6">
        <v>1151</v>
      </c>
      <c r="B1153" s="6" t="str">
        <f>"508120230425210353141572"</f>
        <v>508120230425210353141572</v>
      </c>
      <c r="C1153" s="6" t="s">
        <v>7</v>
      </c>
      <c r="D1153" s="6" t="str">
        <f>"李雪馨"</f>
        <v>李雪馨</v>
      </c>
    </row>
    <row r="1154" spans="1:4" ht="30" customHeight="1">
      <c r="A1154" s="6">
        <v>1152</v>
      </c>
      <c r="B1154" s="6" t="str">
        <f>"508120230424162927140836"</f>
        <v>508120230424162927140836</v>
      </c>
      <c r="C1154" s="6" t="s">
        <v>7</v>
      </c>
      <c r="D1154" s="6" t="str">
        <f>"李文姬"</f>
        <v>李文姬</v>
      </c>
    </row>
    <row r="1155" spans="1:4" ht="30" customHeight="1">
      <c r="A1155" s="6">
        <v>1153</v>
      </c>
      <c r="B1155" s="6" t="str">
        <f>"508120230424103247140587"</f>
        <v>508120230424103247140587</v>
      </c>
      <c r="C1155" s="6" t="s">
        <v>7</v>
      </c>
      <c r="D1155" s="6" t="str">
        <f>"罗馨婉"</f>
        <v>罗馨婉</v>
      </c>
    </row>
    <row r="1156" spans="1:4" ht="30" customHeight="1">
      <c r="A1156" s="6">
        <v>1154</v>
      </c>
      <c r="B1156" s="6" t="str">
        <f>"508120230426001309141679"</f>
        <v>508120230426001309141679</v>
      </c>
      <c r="C1156" s="6" t="s">
        <v>7</v>
      </c>
      <c r="D1156" s="6" t="str">
        <f>"田齐梓"</f>
        <v>田齐梓</v>
      </c>
    </row>
    <row r="1157" spans="1:4" ht="30" customHeight="1">
      <c r="A1157" s="6">
        <v>1155</v>
      </c>
      <c r="B1157" s="6" t="str">
        <f>"508120230423110658139867"</f>
        <v>508120230423110658139867</v>
      </c>
      <c r="C1157" s="6" t="s">
        <v>7</v>
      </c>
      <c r="D1157" s="6" t="str">
        <f>"朱珈宇"</f>
        <v>朱珈宇</v>
      </c>
    </row>
    <row r="1158" spans="1:4" ht="30" customHeight="1">
      <c r="A1158" s="6">
        <v>1156</v>
      </c>
      <c r="B1158" s="6" t="str">
        <f>"508120230426074541141702"</f>
        <v>508120230426074541141702</v>
      </c>
      <c r="C1158" s="6" t="s">
        <v>7</v>
      </c>
      <c r="D1158" s="6" t="str">
        <f>"陈梅花"</f>
        <v>陈梅花</v>
      </c>
    </row>
    <row r="1159" spans="1:4" ht="30" customHeight="1">
      <c r="A1159" s="6">
        <v>1157</v>
      </c>
      <c r="B1159" s="6" t="str">
        <f>"508120230425102529141216"</f>
        <v>508120230425102529141216</v>
      </c>
      <c r="C1159" s="6" t="s">
        <v>7</v>
      </c>
      <c r="D1159" s="6" t="str">
        <f>"焦东升"</f>
        <v>焦东升</v>
      </c>
    </row>
    <row r="1160" spans="1:4" ht="30" customHeight="1">
      <c r="A1160" s="6">
        <v>1158</v>
      </c>
      <c r="B1160" s="6" t="str">
        <f>"508120230426101439141764"</f>
        <v>508120230426101439141764</v>
      </c>
      <c r="C1160" s="6" t="s">
        <v>7</v>
      </c>
      <c r="D1160" s="6" t="str">
        <f>"吴小兰"</f>
        <v>吴小兰</v>
      </c>
    </row>
    <row r="1161" spans="1:4" ht="30" customHeight="1">
      <c r="A1161" s="6">
        <v>1159</v>
      </c>
      <c r="B1161" s="6" t="str">
        <f>"508120230426095350141745"</f>
        <v>508120230426095350141745</v>
      </c>
      <c r="C1161" s="6" t="s">
        <v>7</v>
      </c>
      <c r="D1161" s="6" t="str">
        <f>"吕梦晓"</f>
        <v>吕梦晓</v>
      </c>
    </row>
    <row r="1162" spans="1:4" ht="30" customHeight="1">
      <c r="A1162" s="6">
        <v>1160</v>
      </c>
      <c r="B1162" s="6" t="str">
        <f>"508120230426100141141755"</f>
        <v>508120230426100141141755</v>
      </c>
      <c r="C1162" s="6" t="s">
        <v>7</v>
      </c>
      <c r="D1162" s="6" t="str">
        <f>"黄东东"</f>
        <v>黄东东</v>
      </c>
    </row>
    <row r="1163" spans="1:4" ht="30" customHeight="1">
      <c r="A1163" s="6">
        <v>1161</v>
      </c>
      <c r="B1163" s="6" t="str">
        <f>"508120230426105821141793"</f>
        <v>508120230426105821141793</v>
      </c>
      <c r="C1163" s="6" t="s">
        <v>7</v>
      </c>
      <c r="D1163" s="6" t="str">
        <f>"颜晓丽"</f>
        <v>颜晓丽</v>
      </c>
    </row>
    <row r="1164" spans="1:4" ht="30" customHeight="1">
      <c r="A1164" s="6">
        <v>1162</v>
      </c>
      <c r="B1164" s="6" t="str">
        <f>"508120230426111014141800"</f>
        <v>508120230426111014141800</v>
      </c>
      <c r="C1164" s="6" t="s">
        <v>7</v>
      </c>
      <c r="D1164" s="6" t="str">
        <f>"李鑫"</f>
        <v>李鑫</v>
      </c>
    </row>
    <row r="1165" spans="1:4" ht="30" customHeight="1">
      <c r="A1165" s="6">
        <v>1163</v>
      </c>
      <c r="B1165" s="6" t="str">
        <f>"508120230426125719141856"</f>
        <v>508120230426125719141856</v>
      </c>
      <c r="C1165" s="6" t="s">
        <v>7</v>
      </c>
      <c r="D1165" s="6" t="str">
        <f>"陆新风"</f>
        <v>陆新风</v>
      </c>
    </row>
    <row r="1166" spans="1:4" ht="30" customHeight="1">
      <c r="A1166" s="6">
        <v>1164</v>
      </c>
      <c r="B1166" s="6" t="str">
        <f>"508120230426130032141858"</f>
        <v>508120230426130032141858</v>
      </c>
      <c r="C1166" s="6" t="s">
        <v>7</v>
      </c>
      <c r="D1166" s="6" t="str">
        <f>"冯早"</f>
        <v>冯早</v>
      </c>
    </row>
    <row r="1167" spans="1:4" ht="30" customHeight="1">
      <c r="A1167" s="6">
        <v>1165</v>
      </c>
      <c r="B1167" s="6" t="str">
        <f>"508120230426131737141866"</f>
        <v>508120230426131737141866</v>
      </c>
      <c r="C1167" s="6" t="s">
        <v>7</v>
      </c>
      <c r="D1167" s="6" t="str">
        <f>"何贤秀"</f>
        <v>何贤秀</v>
      </c>
    </row>
    <row r="1168" spans="1:4" ht="30" customHeight="1">
      <c r="A1168" s="6">
        <v>1166</v>
      </c>
      <c r="B1168" s="6" t="str">
        <f>"508120230426143705141893"</f>
        <v>508120230426143705141893</v>
      </c>
      <c r="C1168" s="6" t="s">
        <v>7</v>
      </c>
      <c r="D1168" s="6" t="str">
        <f>"邓小丽"</f>
        <v>邓小丽</v>
      </c>
    </row>
    <row r="1169" spans="1:4" ht="30" customHeight="1">
      <c r="A1169" s="6">
        <v>1167</v>
      </c>
      <c r="B1169" s="6" t="str">
        <f>"508120230421194909139026"</f>
        <v>508120230421194909139026</v>
      </c>
      <c r="C1169" s="6" t="s">
        <v>7</v>
      </c>
      <c r="D1169" s="6" t="str">
        <f>"陈莹"</f>
        <v>陈莹</v>
      </c>
    </row>
    <row r="1170" spans="1:4" ht="30" customHeight="1">
      <c r="A1170" s="6">
        <v>1168</v>
      </c>
      <c r="B1170" s="6" t="str">
        <f>"508120230426145541141904"</f>
        <v>508120230426145541141904</v>
      </c>
      <c r="C1170" s="6" t="s">
        <v>7</v>
      </c>
      <c r="D1170" s="6" t="str">
        <f>"许丹"</f>
        <v>许丹</v>
      </c>
    </row>
    <row r="1171" spans="1:4" ht="30" customHeight="1">
      <c r="A1171" s="6">
        <v>1169</v>
      </c>
      <c r="B1171" s="6" t="str">
        <f>"508120230426141148141887"</f>
        <v>508120230426141148141887</v>
      </c>
      <c r="C1171" s="6" t="s">
        <v>7</v>
      </c>
      <c r="D1171" s="6" t="str">
        <f>"刘赫"</f>
        <v>刘赫</v>
      </c>
    </row>
    <row r="1172" spans="1:4" ht="30" customHeight="1">
      <c r="A1172" s="6">
        <v>1170</v>
      </c>
      <c r="B1172" s="6" t="str">
        <f>"508120230426153452141936"</f>
        <v>508120230426153452141936</v>
      </c>
      <c r="C1172" s="6" t="s">
        <v>7</v>
      </c>
      <c r="D1172" s="6" t="str">
        <f>"尹名扬"</f>
        <v>尹名扬</v>
      </c>
    </row>
    <row r="1173" spans="1:4" ht="30" customHeight="1">
      <c r="A1173" s="6">
        <v>1171</v>
      </c>
      <c r="B1173" s="6" t="str">
        <f>"508120230426144718141902"</f>
        <v>508120230426144718141902</v>
      </c>
      <c r="C1173" s="6" t="s">
        <v>7</v>
      </c>
      <c r="D1173" s="6" t="str">
        <f>"王义香"</f>
        <v>王义香</v>
      </c>
    </row>
    <row r="1174" spans="1:4" ht="30" customHeight="1">
      <c r="A1174" s="6">
        <v>1172</v>
      </c>
      <c r="B1174" s="6" t="str">
        <f>"508120230426154532141948"</f>
        <v>508120230426154532141948</v>
      </c>
      <c r="C1174" s="6" t="s">
        <v>7</v>
      </c>
      <c r="D1174" s="6" t="str">
        <f>"梁丹"</f>
        <v>梁丹</v>
      </c>
    </row>
    <row r="1175" spans="1:4" ht="30" customHeight="1">
      <c r="A1175" s="6">
        <v>1173</v>
      </c>
      <c r="B1175" s="6" t="str">
        <f>"508120230426155612141960"</f>
        <v>508120230426155612141960</v>
      </c>
      <c r="C1175" s="6" t="s">
        <v>7</v>
      </c>
      <c r="D1175" s="6" t="str">
        <f>"王娇调"</f>
        <v>王娇调</v>
      </c>
    </row>
    <row r="1176" spans="1:4" ht="30" customHeight="1">
      <c r="A1176" s="6">
        <v>1174</v>
      </c>
      <c r="B1176" s="6" t="str">
        <f>"508120230425222203141631"</f>
        <v>508120230425222203141631</v>
      </c>
      <c r="C1176" s="6" t="s">
        <v>7</v>
      </c>
      <c r="D1176" s="6" t="str">
        <f>"符美欣"</f>
        <v>符美欣</v>
      </c>
    </row>
    <row r="1177" spans="1:4" ht="30" customHeight="1">
      <c r="A1177" s="6">
        <v>1175</v>
      </c>
      <c r="B1177" s="6" t="str">
        <f>"508120230426171743142038"</f>
        <v>508120230426171743142038</v>
      </c>
      <c r="C1177" s="6" t="s">
        <v>7</v>
      </c>
      <c r="D1177" s="6" t="str">
        <f>"郑祝坚"</f>
        <v>郑祝坚</v>
      </c>
    </row>
    <row r="1178" spans="1:4" ht="30" customHeight="1">
      <c r="A1178" s="6">
        <v>1176</v>
      </c>
      <c r="B1178" s="6" t="str">
        <f>"508120230426165616142016"</f>
        <v>508120230426165616142016</v>
      </c>
      <c r="C1178" s="6" t="s">
        <v>7</v>
      </c>
      <c r="D1178" s="6" t="str">
        <f>"吴高祥"</f>
        <v>吴高祥</v>
      </c>
    </row>
    <row r="1179" spans="1:4" ht="30" customHeight="1">
      <c r="A1179" s="6">
        <v>1177</v>
      </c>
      <c r="B1179" s="6" t="str">
        <f>"508120230426144602141900"</f>
        <v>508120230426144602141900</v>
      </c>
      <c r="C1179" s="6" t="s">
        <v>7</v>
      </c>
      <c r="D1179" s="6" t="str">
        <f>"何佳兴"</f>
        <v>何佳兴</v>
      </c>
    </row>
    <row r="1180" spans="1:4" ht="30" customHeight="1">
      <c r="A1180" s="6">
        <v>1178</v>
      </c>
      <c r="B1180" s="6" t="str">
        <f>"508120230426180836142063"</f>
        <v>508120230426180836142063</v>
      </c>
      <c r="C1180" s="6" t="s">
        <v>7</v>
      </c>
      <c r="D1180" s="6" t="str">
        <f>"陈杰"</f>
        <v>陈杰</v>
      </c>
    </row>
    <row r="1181" spans="1:4" ht="30" customHeight="1">
      <c r="A1181" s="6">
        <v>1179</v>
      </c>
      <c r="B1181" s="6" t="str">
        <f>"508120230426201149142145"</f>
        <v>508120230426201149142145</v>
      </c>
      <c r="C1181" s="6" t="s">
        <v>7</v>
      </c>
      <c r="D1181" s="6" t="str">
        <f>"朱秋柏"</f>
        <v>朱秋柏</v>
      </c>
    </row>
    <row r="1182" spans="1:4" ht="30" customHeight="1">
      <c r="A1182" s="6">
        <v>1180</v>
      </c>
      <c r="B1182" s="6" t="str">
        <f>"508120230426200900142142"</f>
        <v>508120230426200900142142</v>
      </c>
      <c r="C1182" s="6" t="s">
        <v>7</v>
      </c>
      <c r="D1182" s="6" t="str">
        <f>"冼梦霞"</f>
        <v>冼梦霞</v>
      </c>
    </row>
    <row r="1183" spans="1:4" ht="30" customHeight="1">
      <c r="A1183" s="6">
        <v>1181</v>
      </c>
      <c r="B1183" s="6" t="str">
        <f>"508120230425193929141531"</f>
        <v>508120230425193929141531</v>
      </c>
      <c r="C1183" s="6" t="s">
        <v>7</v>
      </c>
      <c r="D1183" s="6" t="str">
        <f>"温佳鑫"</f>
        <v>温佳鑫</v>
      </c>
    </row>
    <row r="1184" spans="1:4" ht="30" customHeight="1">
      <c r="A1184" s="6">
        <v>1182</v>
      </c>
      <c r="B1184" s="6" t="str">
        <f>"508120230426214555142215"</f>
        <v>508120230426214555142215</v>
      </c>
      <c r="C1184" s="6" t="s">
        <v>7</v>
      </c>
      <c r="D1184" s="6" t="str">
        <f>"王萍"</f>
        <v>王萍</v>
      </c>
    </row>
    <row r="1185" spans="1:4" ht="30" customHeight="1">
      <c r="A1185" s="6">
        <v>1183</v>
      </c>
      <c r="B1185" s="6" t="str">
        <f>"508120230426155526141958"</f>
        <v>508120230426155526141958</v>
      </c>
      <c r="C1185" s="6" t="s">
        <v>7</v>
      </c>
      <c r="D1185" s="6" t="str">
        <f>"陈玉河"</f>
        <v>陈玉河</v>
      </c>
    </row>
    <row r="1186" spans="1:4" ht="30" customHeight="1">
      <c r="A1186" s="6">
        <v>1184</v>
      </c>
      <c r="B1186" s="6" t="str">
        <f>"508120230426224844142274"</f>
        <v>508120230426224844142274</v>
      </c>
      <c r="C1186" s="6" t="s">
        <v>7</v>
      </c>
      <c r="D1186" s="6" t="str">
        <f>"龚煜婷"</f>
        <v>龚煜婷</v>
      </c>
    </row>
    <row r="1187" spans="1:4" ht="30" customHeight="1">
      <c r="A1187" s="6">
        <v>1185</v>
      </c>
      <c r="B1187" s="6" t="str">
        <f>"508120230426182354142077"</f>
        <v>508120230426182354142077</v>
      </c>
      <c r="C1187" s="6" t="s">
        <v>7</v>
      </c>
      <c r="D1187" s="6" t="str">
        <f>"孙夕茹"</f>
        <v>孙夕茹</v>
      </c>
    </row>
    <row r="1188" spans="1:4" ht="30" customHeight="1">
      <c r="A1188" s="6">
        <v>1186</v>
      </c>
      <c r="B1188" s="6" t="str">
        <f>"508120230426234554142315"</f>
        <v>508120230426234554142315</v>
      </c>
      <c r="C1188" s="6" t="s">
        <v>7</v>
      </c>
      <c r="D1188" s="6" t="str">
        <f>"梁锦欢"</f>
        <v>梁锦欢</v>
      </c>
    </row>
    <row r="1189" spans="1:4" ht="30" customHeight="1">
      <c r="A1189" s="6">
        <v>1187</v>
      </c>
      <c r="B1189" s="6" t="str">
        <f>"508120230427000205142327"</f>
        <v>508120230427000205142327</v>
      </c>
      <c r="C1189" s="6" t="s">
        <v>7</v>
      </c>
      <c r="D1189" s="6" t="str">
        <f>"林月丹"</f>
        <v>林月丹</v>
      </c>
    </row>
    <row r="1190" spans="1:4" ht="30" customHeight="1">
      <c r="A1190" s="6">
        <v>1188</v>
      </c>
      <c r="B1190" s="6" t="str">
        <f>"508120230427002751142342"</f>
        <v>508120230427002751142342</v>
      </c>
      <c r="C1190" s="6" t="s">
        <v>7</v>
      </c>
      <c r="D1190" s="6" t="str">
        <f>"符玲玉"</f>
        <v>符玲玉</v>
      </c>
    </row>
    <row r="1191" spans="1:4" ht="30" customHeight="1">
      <c r="A1191" s="6">
        <v>1189</v>
      </c>
      <c r="B1191" s="6" t="str">
        <f>"508120230427002057142339"</f>
        <v>508120230427002057142339</v>
      </c>
      <c r="C1191" s="6" t="s">
        <v>7</v>
      </c>
      <c r="D1191" s="6" t="str">
        <f>"张香帆"</f>
        <v>张香帆</v>
      </c>
    </row>
    <row r="1192" spans="1:4" ht="30" customHeight="1">
      <c r="A1192" s="6">
        <v>1190</v>
      </c>
      <c r="B1192" s="6" t="str">
        <f>"508120230427004306142345"</f>
        <v>508120230427004306142345</v>
      </c>
      <c r="C1192" s="6" t="s">
        <v>7</v>
      </c>
      <c r="D1192" s="6" t="str">
        <f>"林泽如"</f>
        <v>林泽如</v>
      </c>
    </row>
    <row r="1193" spans="1:4" ht="30" customHeight="1">
      <c r="A1193" s="6">
        <v>1191</v>
      </c>
      <c r="B1193" s="6" t="str">
        <f>"508120230427005345142349"</f>
        <v>508120230427005345142349</v>
      </c>
      <c r="C1193" s="6" t="s">
        <v>7</v>
      </c>
      <c r="D1193" s="6" t="str">
        <f>"徐永康"</f>
        <v>徐永康</v>
      </c>
    </row>
    <row r="1194" spans="1:4" ht="30" customHeight="1">
      <c r="A1194" s="6">
        <v>1192</v>
      </c>
      <c r="B1194" s="6" t="str">
        <f>"508120230427013125142359"</f>
        <v>508120230427013125142359</v>
      </c>
      <c r="C1194" s="6" t="s">
        <v>7</v>
      </c>
      <c r="D1194" s="6" t="str">
        <f>"郑思凯"</f>
        <v>郑思凯</v>
      </c>
    </row>
    <row r="1195" spans="1:4" ht="30" customHeight="1">
      <c r="A1195" s="6">
        <v>1193</v>
      </c>
      <c r="B1195" s="6" t="str">
        <f>"508120230427013733142360"</f>
        <v>508120230427013733142360</v>
      </c>
      <c r="C1195" s="6" t="s">
        <v>7</v>
      </c>
      <c r="D1195" s="6" t="str">
        <f>"缪慧静"</f>
        <v>缪慧静</v>
      </c>
    </row>
    <row r="1196" spans="1:4" ht="30" customHeight="1">
      <c r="A1196" s="6">
        <v>1194</v>
      </c>
      <c r="B1196" s="6" t="str">
        <f>"508120230427083141142392"</f>
        <v>508120230427083141142392</v>
      </c>
      <c r="C1196" s="6" t="s">
        <v>7</v>
      </c>
      <c r="D1196" s="6" t="str">
        <f>"陈小莎"</f>
        <v>陈小莎</v>
      </c>
    </row>
    <row r="1197" spans="1:4" ht="30" customHeight="1">
      <c r="A1197" s="6">
        <v>1195</v>
      </c>
      <c r="B1197" s="6" t="str">
        <f>"508120230424101023140564"</f>
        <v>508120230424101023140564</v>
      </c>
      <c r="C1197" s="6" t="s">
        <v>7</v>
      </c>
      <c r="D1197" s="6" t="str">
        <f>"迪丽拜尔·克于木"</f>
        <v>迪丽拜尔·克于木</v>
      </c>
    </row>
    <row r="1198" spans="1:4" ht="30" customHeight="1">
      <c r="A1198" s="6">
        <v>1196</v>
      </c>
      <c r="B1198" s="6" t="str">
        <f>"508120230427083724142396"</f>
        <v>508120230427083724142396</v>
      </c>
      <c r="C1198" s="6" t="s">
        <v>7</v>
      </c>
      <c r="D1198" s="6" t="str">
        <f>"李海婷"</f>
        <v>李海婷</v>
      </c>
    </row>
    <row r="1199" spans="1:4" ht="30" customHeight="1">
      <c r="A1199" s="6">
        <v>1197</v>
      </c>
      <c r="B1199" s="6" t="str">
        <f>"508120230427092115142431"</f>
        <v>508120230427092115142431</v>
      </c>
      <c r="C1199" s="6" t="s">
        <v>7</v>
      </c>
      <c r="D1199" s="6" t="str">
        <f>"张梓轩"</f>
        <v>张梓轩</v>
      </c>
    </row>
    <row r="1200" spans="1:4" ht="30" customHeight="1">
      <c r="A1200" s="6">
        <v>1198</v>
      </c>
      <c r="B1200" s="6" t="str">
        <f>"508120230427095112142472"</f>
        <v>508120230427095112142472</v>
      </c>
      <c r="C1200" s="6" t="s">
        <v>7</v>
      </c>
      <c r="D1200" s="6" t="str">
        <f>"万磊鑫"</f>
        <v>万磊鑫</v>
      </c>
    </row>
    <row r="1201" spans="1:4" ht="30" customHeight="1">
      <c r="A1201" s="6">
        <v>1199</v>
      </c>
      <c r="B1201" s="6" t="str">
        <f>"508120230424100606140554"</f>
        <v>508120230424100606140554</v>
      </c>
      <c r="C1201" s="6" t="s">
        <v>7</v>
      </c>
      <c r="D1201" s="6" t="str">
        <f>"王瑞欣"</f>
        <v>王瑞欣</v>
      </c>
    </row>
    <row r="1202" spans="1:4" ht="30" customHeight="1">
      <c r="A1202" s="6">
        <v>1200</v>
      </c>
      <c r="B1202" s="6" t="str">
        <f>"508120230427100119142484"</f>
        <v>508120230427100119142484</v>
      </c>
      <c r="C1202" s="6" t="s">
        <v>7</v>
      </c>
      <c r="D1202" s="6" t="str">
        <f>"符盛宇"</f>
        <v>符盛宇</v>
      </c>
    </row>
    <row r="1203" spans="1:4" ht="30" customHeight="1">
      <c r="A1203" s="6">
        <v>1201</v>
      </c>
      <c r="B1203" s="6" t="str">
        <f>"508120230426201903142149"</f>
        <v>508120230426201903142149</v>
      </c>
      <c r="C1203" s="6" t="s">
        <v>7</v>
      </c>
      <c r="D1203" s="6" t="str">
        <f>"邓玉梅"</f>
        <v>邓玉梅</v>
      </c>
    </row>
    <row r="1204" spans="1:4" ht="30" customHeight="1">
      <c r="A1204" s="6">
        <v>1202</v>
      </c>
      <c r="B1204" s="6" t="str">
        <f>"508120230427102005142502"</f>
        <v>508120230427102005142502</v>
      </c>
      <c r="C1204" s="6" t="s">
        <v>7</v>
      </c>
      <c r="D1204" s="6" t="str">
        <f>"陈兴盛"</f>
        <v>陈兴盛</v>
      </c>
    </row>
    <row r="1205" spans="1:4" ht="30" customHeight="1">
      <c r="A1205" s="6">
        <v>1203</v>
      </c>
      <c r="B1205" s="6" t="str">
        <f>"508120230427100615142491"</f>
        <v>508120230427100615142491</v>
      </c>
      <c r="C1205" s="6" t="s">
        <v>7</v>
      </c>
      <c r="D1205" s="6" t="str">
        <f>"王帮潇"</f>
        <v>王帮潇</v>
      </c>
    </row>
    <row r="1206" spans="1:4" ht="30" customHeight="1">
      <c r="A1206" s="6">
        <v>1204</v>
      </c>
      <c r="B1206" s="6" t="str">
        <f>"508120230427101217142493"</f>
        <v>508120230427101217142493</v>
      </c>
      <c r="C1206" s="6" t="s">
        <v>7</v>
      </c>
      <c r="D1206" s="6" t="str">
        <f>"符秋娜"</f>
        <v>符秋娜</v>
      </c>
    </row>
    <row r="1207" spans="1:4" ht="30" customHeight="1">
      <c r="A1207" s="6">
        <v>1205</v>
      </c>
      <c r="B1207" s="6" t="str">
        <f>"508120230424001029140427"</f>
        <v>508120230424001029140427</v>
      </c>
      <c r="C1207" s="6" t="s">
        <v>7</v>
      </c>
      <c r="D1207" s="6" t="str">
        <f>"陈惠怡"</f>
        <v>陈惠怡</v>
      </c>
    </row>
    <row r="1208" spans="1:4" ht="30" customHeight="1">
      <c r="A1208" s="6">
        <v>1206</v>
      </c>
      <c r="B1208" s="6" t="str">
        <f>"508120230427095703142476"</f>
        <v>508120230427095703142476</v>
      </c>
      <c r="C1208" s="6" t="s">
        <v>7</v>
      </c>
      <c r="D1208" s="6" t="str">
        <f>"张玉婷"</f>
        <v>张玉婷</v>
      </c>
    </row>
    <row r="1209" spans="1:4" ht="30" customHeight="1">
      <c r="A1209" s="6">
        <v>1207</v>
      </c>
      <c r="B1209" s="6" t="str">
        <f>"508120230427075852142379"</f>
        <v>508120230427075852142379</v>
      </c>
      <c r="C1209" s="6" t="s">
        <v>7</v>
      </c>
      <c r="D1209" s="6" t="str">
        <f>"房柯宇"</f>
        <v>房柯宇</v>
      </c>
    </row>
    <row r="1210" spans="1:4" ht="30" customHeight="1">
      <c r="A1210" s="6">
        <v>1208</v>
      </c>
      <c r="B1210" s="6" t="str">
        <f>"508120230425221546141627"</f>
        <v>508120230425221546141627</v>
      </c>
      <c r="C1210" s="6" t="s">
        <v>7</v>
      </c>
      <c r="D1210" s="6" t="str">
        <f>"韩健元"</f>
        <v>韩健元</v>
      </c>
    </row>
    <row r="1211" spans="1:4" ht="30" customHeight="1">
      <c r="A1211" s="6">
        <v>1209</v>
      </c>
      <c r="B1211" s="6" t="str">
        <f>"508120230427094549142461"</f>
        <v>508120230427094549142461</v>
      </c>
      <c r="C1211" s="6" t="s">
        <v>7</v>
      </c>
      <c r="D1211" s="6" t="str">
        <f>"唐悦"</f>
        <v>唐悦</v>
      </c>
    </row>
    <row r="1212" spans="1:4" ht="30" customHeight="1">
      <c r="A1212" s="6">
        <v>1210</v>
      </c>
      <c r="B1212" s="6" t="str">
        <f>"508120230422201036139529"</f>
        <v>508120230422201036139529</v>
      </c>
      <c r="C1212" s="6" t="s">
        <v>7</v>
      </c>
      <c r="D1212" s="6" t="str">
        <f>"吴泽宇"</f>
        <v>吴泽宇</v>
      </c>
    </row>
    <row r="1213" spans="1:4" ht="30" customHeight="1">
      <c r="A1213" s="6">
        <v>1211</v>
      </c>
      <c r="B1213" s="6" t="str">
        <f>"508120230427103413142516"</f>
        <v>508120230427103413142516</v>
      </c>
      <c r="C1213" s="6" t="s">
        <v>7</v>
      </c>
      <c r="D1213" s="6" t="str">
        <f>"陈妍"</f>
        <v>陈妍</v>
      </c>
    </row>
    <row r="1214" spans="1:4" ht="30" customHeight="1">
      <c r="A1214" s="6">
        <v>1212</v>
      </c>
      <c r="B1214" s="6" t="str">
        <f>"508120230427002431142340"</f>
        <v>508120230427002431142340</v>
      </c>
      <c r="C1214" s="6" t="s">
        <v>7</v>
      </c>
      <c r="D1214" s="6" t="str">
        <f>"周颖"</f>
        <v>周颖</v>
      </c>
    </row>
    <row r="1215" spans="1:4" ht="30" customHeight="1">
      <c r="A1215" s="6">
        <v>1213</v>
      </c>
      <c r="B1215" s="6" t="str">
        <f>"508120230427111147142550"</f>
        <v>508120230427111147142550</v>
      </c>
      <c r="C1215" s="6" t="s">
        <v>7</v>
      </c>
      <c r="D1215" s="6" t="str">
        <f>"王爽"</f>
        <v>王爽</v>
      </c>
    </row>
    <row r="1216" spans="1:4" ht="30" customHeight="1">
      <c r="A1216" s="6">
        <v>1214</v>
      </c>
      <c r="B1216" s="6" t="str">
        <f>"508120230421091946138153"</f>
        <v>508120230421091946138153</v>
      </c>
      <c r="C1216" s="6" t="s">
        <v>8</v>
      </c>
      <c r="D1216" s="6" t="str">
        <f>"崔博炜"</f>
        <v>崔博炜</v>
      </c>
    </row>
    <row r="1217" spans="1:4" ht="30" customHeight="1">
      <c r="A1217" s="6">
        <v>1215</v>
      </c>
      <c r="B1217" s="6" t="str">
        <f>"508120230421161247138828"</f>
        <v>508120230421161247138828</v>
      </c>
      <c r="C1217" s="6" t="s">
        <v>7</v>
      </c>
      <c r="D1217" s="6" t="str">
        <f>"张齐苗"</f>
        <v>张齐苗</v>
      </c>
    </row>
    <row r="1218" spans="1:4" ht="30" customHeight="1">
      <c r="A1218" s="6">
        <v>1216</v>
      </c>
      <c r="B1218" s="6" t="str">
        <f>"508120230422120201139281"</f>
        <v>508120230422120201139281</v>
      </c>
      <c r="C1218" s="6" t="s">
        <v>7</v>
      </c>
      <c r="D1218" s="6" t="str">
        <f>"刘雪姗"</f>
        <v>刘雪姗</v>
      </c>
    </row>
    <row r="1219" spans="1:4" ht="30" customHeight="1">
      <c r="A1219" s="6">
        <v>1217</v>
      </c>
      <c r="B1219" s="6" t="str">
        <f>"508120230421091249138129"</f>
        <v>508120230421091249138129</v>
      </c>
      <c r="C1219" s="6" t="s">
        <v>8</v>
      </c>
      <c r="D1219" s="6" t="str">
        <f>"肖鹃羚"</f>
        <v>肖鹃羚</v>
      </c>
    </row>
    <row r="1220" spans="1:4" ht="30" customHeight="1">
      <c r="A1220" s="6">
        <v>1218</v>
      </c>
      <c r="B1220" s="6" t="str">
        <f>"508120230421092701138175"</f>
        <v>508120230421092701138175</v>
      </c>
      <c r="C1220" s="6" t="s">
        <v>8</v>
      </c>
      <c r="D1220" s="6" t="str">
        <f>"李冲冲"</f>
        <v>李冲冲</v>
      </c>
    </row>
    <row r="1221" spans="1:4" ht="30" customHeight="1">
      <c r="A1221" s="6">
        <v>1219</v>
      </c>
      <c r="B1221" s="6" t="str">
        <f>"508120230421090115138082"</f>
        <v>508120230421090115138082</v>
      </c>
      <c r="C1221" s="6" t="s">
        <v>8</v>
      </c>
      <c r="D1221" s="6" t="str">
        <f>"田晓玲"</f>
        <v>田晓玲</v>
      </c>
    </row>
    <row r="1222" spans="1:4" ht="30" customHeight="1">
      <c r="A1222" s="6">
        <v>1220</v>
      </c>
      <c r="B1222" s="6" t="str">
        <f>"508120230421101305138298"</f>
        <v>508120230421101305138298</v>
      </c>
      <c r="C1222" s="6" t="s">
        <v>8</v>
      </c>
      <c r="D1222" s="6" t="str">
        <f>"王泽农"</f>
        <v>王泽农</v>
      </c>
    </row>
    <row r="1223" spans="1:4" ht="30" customHeight="1">
      <c r="A1223" s="6">
        <v>1221</v>
      </c>
      <c r="B1223" s="6" t="str">
        <f>"508120230421090621138107"</f>
        <v>508120230421090621138107</v>
      </c>
      <c r="C1223" s="6" t="s">
        <v>8</v>
      </c>
      <c r="D1223" s="6" t="str">
        <f>"黎品良"</f>
        <v>黎品良</v>
      </c>
    </row>
    <row r="1224" spans="1:4" ht="30" customHeight="1">
      <c r="A1224" s="6">
        <v>1222</v>
      </c>
      <c r="B1224" s="6" t="str">
        <f>"508120230421094203138218"</f>
        <v>508120230421094203138218</v>
      </c>
      <c r="C1224" s="6" t="s">
        <v>8</v>
      </c>
      <c r="D1224" s="6" t="str">
        <f>"赵志航"</f>
        <v>赵志航</v>
      </c>
    </row>
    <row r="1225" spans="1:4" ht="30" customHeight="1">
      <c r="A1225" s="6">
        <v>1223</v>
      </c>
      <c r="B1225" s="6" t="str">
        <f>"508120230421101926138311"</f>
        <v>508120230421101926138311</v>
      </c>
      <c r="C1225" s="6" t="s">
        <v>8</v>
      </c>
      <c r="D1225" s="6" t="str">
        <f>"何丽丽"</f>
        <v>何丽丽</v>
      </c>
    </row>
    <row r="1226" spans="1:4" ht="30" customHeight="1">
      <c r="A1226" s="6">
        <v>1224</v>
      </c>
      <c r="B1226" s="6" t="str">
        <f>"508120230421102613138333"</f>
        <v>508120230421102613138333</v>
      </c>
      <c r="C1226" s="6" t="s">
        <v>8</v>
      </c>
      <c r="D1226" s="6" t="str">
        <f>"羊嘉球"</f>
        <v>羊嘉球</v>
      </c>
    </row>
    <row r="1227" spans="1:4" ht="30" customHeight="1">
      <c r="A1227" s="6">
        <v>1225</v>
      </c>
      <c r="B1227" s="6" t="str">
        <f>"508120230421103717138365"</f>
        <v>508120230421103717138365</v>
      </c>
      <c r="C1227" s="6" t="s">
        <v>8</v>
      </c>
      <c r="D1227" s="6" t="str">
        <f>"李丽红"</f>
        <v>李丽红</v>
      </c>
    </row>
    <row r="1228" spans="1:4" ht="30" customHeight="1">
      <c r="A1228" s="6">
        <v>1226</v>
      </c>
      <c r="B1228" s="6" t="str">
        <f>"508120230421090905138115"</f>
        <v>508120230421090905138115</v>
      </c>
      <c r="C1228" s="6" t="s">
        <v>8</v>
      </c>
      <c r="D1228" s="6" t="str">
        <f>"吴春燕"</f>
        <v>吴春燕</v>
      </c>
    </row>
    <row r="1229" spans="1:4" ht="30" customHeight="1">
      <c r="A1229" s="6">
        <v>1227</v>
      </c>
      <c r="B1229" s="6" t="str">
        <f>"508120230421104406138383"</f>
        <v>508120230421104406138383</v>
      </c>
      <c r="C1229" s="6" t="s">
        <v>8</v>
      </c>
      <c r="D1229" s="6" t="str">
        <f>"李文多"</f>
        <v>李文多</v>
      </c>
    </row>
    <row r="1230" spans="1:4" ht="30" customHeight="1">
      <c r="A1230" s="6">
        <v>1228</v>
      </c>
      <c r="B1230" s="6" t="str">
        <f>"508120230421102019138316"</f>
        <v>508120230421102019138316</v>
      </c>
      <c r="C1230" s="6" t="s">
        <v>8</v>
      </c>
      <c r="D1230" s="6" t="str">
        <f>"吴壮"</f>
        <v>吴壮</v>
      </c>
    </row>
    <row r="1231" spans="1:4" ht="30" customHeight="1">
      <c r="A1231" s="6">
        <v>1229</v>
      </c>
      <c r="B1231" s="6" t="str">
        <f>"508120230421105200138401"</f>
        <v>508120230421105200138401</v>
      </c>
      <c r="C1231" s="6" t="s">
        <v>8</v>
      </c>
      <c r="D1231" s="6" t="str">
        <f>"李茂帆"</f>
        <v>李茂帆</v>
      </c>
    </row>
    <row r="1232" spans="1:4" ht="30" customHeight="1">
      <c r="A1232" s="6">
        <v>1230</v>
      </c>
      <c r="B1232" s="6" t="str">
        <f>"508120230421104859138395"</f>
        <v>508120230421104859138395</v>
      </c>
      <c r="C1232" s="6" t="s">
        <v>8</v>
      </c>
      <c r="D1232" s="6" t="str">
        <f>"黄美端"</f>
        <v>黄美端</v>
      </c>
    </row>
    <row r="1233" spans="1:4" ht="30" customHeight="1">
      <c r="A1233" s="6">
        <v>1231</v>
      </c>
      <c r="B1233" s="6" t="str">
        <f>"508120230421104611138386"</f>
        <v>508120230421104611138386</v>
      </c>
      <c r="C1233" s="6" t="s">
        <v>8</v>
      </c>
      <c r="D1233" s="6" t="str">
        <f>"林婷"</f>
        <v>林婷</v>
      </c>
    </row>
    <row r="1234" spans="1:4" ht="30" customHeight="1">
      <c r="A1234" s="6">
        <v>1232</v>
      </c>
      <c r="B1234" s="6" t="str">
        <f>"508120230421100839138290"</f>
        <v>508120230421100839138290</v>
      </c>
      <c r="C1234" s="6" t="s">
        <v>8</v>
      </c>
      <c r="D1234" s="6" t="str">
        <f>"李松"</f>
        <v>李松</v>
      </c>
    </row>
    <row r="1235" spans="1:4" ht="30" customHeight="1">
      <c r="A1235" s="6">
        <v>1233</v>
      </c>
      <c r="B1235" s="6" t="str">
        <f>"508120230421110413138423"</f>
        <v>508120230421110413138423</v>
      </c>
      <c r="C1235" s="6" t="s">
        <v>8</v>
      </c>
      <c r="D1235" s="6" t="str">
        <f>"李运顺"</f>
        <v>李运顺</v>
      </c>
    </row>
    <row r="1236" spans="1:4" ht="30" customHeight="1">
      <c r="A1236" s="6">
        <v>1234</v>
      </c>
      <c r="B1236" s="6" t="str">
        <f>"508120230421104620138387"</f>
        <v>508120230421104620138387</v>
      </c>
      <c r="C1236" s="6" t="s">
        <v>8</v>
      </c>
      <c r="D1236" s="6" t="str">
        <f>"赵皓文"</f>
        <v>赵皓文</v>
      </c>
    </row>
    <row r="1237" spans="1:4" ht="30" customHeight="1">
      <c r="A1237" s="6">
        <v>1235</v>
      </c>
      <c r="B1237" s="6" t="str">
        <f>"508120230421090105138080"</f>
        <v>508120230421090105138080</v>
      </c>
      <c r="C1237" s="6" t="s">
        <v>8</v>
      </c>
      <c r="D1237" s="6" t="str">
        <f>"陈南姑"</f>
        <v>陈南姑</v>
      </c>
    </row>
    <row r="1238" spans="1:4" ht="30" customHeight="1">
      <c r="A1238" s="6">
        <v>1236</v>
      </c>
      <c r="B1238" s="6" t="str">
        <f>"508120230421120940138535"</f>
        <v>508120230421120940138535</v>
      </c>
      <c r="C1238" s="6" t="s">
        <v>8</v>
      </c>
      <c r="D1238" s="6" t="str">
        <f>"冯平"</f>
        <v>冯平</v>
      </c>
    </row>
    <row r="1239" spans="1:4" ht="30" customHeight="1">
      <c r="A1239" s="6">
        <v>1237</v>
      </c>
      <c r="B1239" s="6" t="str">
        <f>"508120230421121805138549"</f>
        <v>508120230421121805138549</v>
      </c>
      <c r="C1239" s="6" t="s">
        <v>8</v>
      </c>
      <c r="D1239" s="6" t="str">
        <f>"林树栋"</f>
        <v>林树栋</v>
      </c>
    </row>
    <row r="1240" spans="1:4" ht="30" customHeight="1">
      <c r="A1240" s="6">
        <v>1238</v>
      </c>
      <c r="B1240" s="6" t="str">
        <f>"508120230421123247138569"</f>
        <v>508120230421123247138569</v>
      </c>
      <c r="C1240" s="6" t="s">
        <v>8</v>
      </c>
      <c r="D1240" s="6" t="str">
        <f>"李健华"</f>
        <v>李健华</v>
      </c>
    </row>
    <row r="1241" spans="1:4" ht="30" customHeight="1">
      <c r="A1241" s="6">
        <v>1239</v>
      </c>
      <c r="B1241" s="6" t="str">
        <f>"508120230421115603138518"</f>
        <v>508120230421115603138518</v>
      </c>
      <c r="C1241" s="6" t="s">
        <v>8</v>
      </c>
      <c r="D1241" s="6" t="str">
        <f>"刘珂莹"</f>
        <v>刘珂莹</v>
      </c>
    </row>
    <row r="1242" spans="1:4" ht="30" customHeight="1">
      <c r="A1242" s="6">
        <v>1240</v>
      </c>
      <c r="B1242" s="6" t="str">
        <f>"508120230421132356138609"</f>
        <v>508120230421132356138609</v>
      </c>
      <c r="C1242" s="6" t="s">
        <v>8</v>
      </c>
      <c r="D1242" s="6" t="str">
        <f>"吴珠伟"</f>
        <v>吴珠伟</v>
      </c>
    </row>
    <row r="1243" spans="1:4" ht="30" customHeight="1">
      <c r="A1243" s="6">
        <v>1241</v>
      </c>
      <c r="B1243" s="6" t="str">
        <f>"508120230421133708138617"</f>
        <v>508120230421133708138617</v>
      </c>
      <c r="C1243" s="6" t="s">
        <v>8</v>
      </c>
      <c r="D1243" s="6" t="str">
        <f>"唐电培"</f>
        <v>唐电培</v>
      </c>
    </row>
    <row r="1244" spans="1:4" ht="30" customHeight="1">
      <c r="A1244" s="6">
        <v>1242</v>
      </c>
      <c r="B1244" s="6" t="str">
        <f>"508120230421103949138372"</f>
        <v>508120230421103949138372</v>
      </c>
      <c r="C1244" s="6" t="s">
        <v>8</v>
      </c>
      <c r="D1244" s="6" t="str">
        <f>"朱振磊"</f>
        <v>朱振磊</v>
      </c>
    </row>
    <row r="1245" spans="1:4" ht="30" customHeight="1">
      <c r="A1245" s="6">
        <v>1243</v>
      </c>
      <c r="B1245" s="6" t="str">
        <f>"508120230421134703138623"</f>
        <v>508120230421134703138623</v>
      </c>
      <c r="C1245" s="6" t="s">
        <v>8</v>
      </c>
      <c r="D1245" s="6" t="str">
        <f>"陆元彬"</f>
        <v>陆元彬</v>
      </c>
    </row>
    <row r="1246" spans="1:4" ht="30" customHeight="1">
      <c r="A1246" s="6">
        <v>1244</v>
      </c>
      <c r="B1246" s="6" t="str">
        <f>"508120230421122614138561"</f>
        <v>508120230421122614138561</v>
      </c>
      <c r="C1246" s="6" t="s">
        <v>8</v>
      </c>
      <c r="D1246" s="6" t="str">
        <f>"王寅"</f>
        <v>王寅</v>
      </c>
    </row>
    <row r="1247" spans="1:4" ht="30" customHeight="1">
      <c r="A1247" s="6">
        <v>1245</v>
      </c>
      <c r="B1247" s="6" t="str">
        <f>"508120230421140540138638"</f>
        <v>508120230421140540138638</v>
      </c>
      <c r="C1247" s="6" t="s">
        <v>8</v>
      </c>
      <c r="D1247" s="6" t="str">
        <f>"赖宇翔"</f>
        <v>赖宇翔</v>
      </c>
    </row>
    <row r="1248" spans="1:4" ht="30" customHeight="1">
      <c r="A1248" s="6">
        <v>1246</v>
      </c>
      <c r="B1248" s="6" t="str">
        <f>"508120230421143706138671"</f>
        <v>508120230421143706138671</v>
      </c>
      <c r="C1248" s="6" t="s">
        <v>8</v>
      </c>
      <c r="D1248" s="6" t="str">
        <f>"黎惠娴"</f>
        <v>黎惠娴</v>
      </c>
    </row>
    <row r="1249" spans="1:4" ht="30" customHeight="1">
      <c r="A1249" s="6">
        <v>1247</v>
      </c>
      <c r="B1249" s="6" t="str">
        <f>"508120230421150330138712"</f>
        <v>508120230421150330138712</v>
      </c>
      <c r="C1249" s="6" t="s">
        <v>8</v>
      </c>
      <c r="D1249" s="6" t="str">
        <f>"李翰宇"</f>
        <v>李翰宇</v>
      </c>
    </row>
    <row r="1250" spans="1:4" ht="30" customHeight="1">
      <c r="A1250" s="6">
        <v>1248</v>
      </c>
      <c r="B1250" s="6" t="str">
        <f>"508120230421145511138696"</f>
        <v>508120230421145511138696</v>
      </c>
      <c r="C1250" s="6" t="s">
        <v>8</v>
      </c>
      <c r="D1250" s="6" t="str">
        <f>"黄中正"</f>
        <v>黄中正</v>
      </c>
    </row>
    <row r="1251" spans="1:4" ht="30" customHeight="1">
      <c r="A1251" s="6">
        <v>1249</v>
      </c>
      <c r="B1251" s="6" t="str">
        <f>"508120230421150950138728"</f>
        <v>508120230421150950138728</v>
      </c>
      <c r="C1251" s="6" t="s">
        <v>8</v>
      </c>
      <c r="D1251" s="6" t="str">
        <f>"王浩宇"</f>
        <v>王浩宇</v>
      </c>
    </row>
    <row r="1252" spans="1:4" ht="30" customHeight="1">
      <c r="A1252" s="6">
        <v>1250</v>
      </c>
      <c r="B1252" s="6" t="str">
        <f>"508120230421155128138794"</f>
        <v>508120230421155128138794</v>
      </c>
      <c r="C1252" s="6" t="s">
        <v>8</v>
      </c>
      <c r="D1252" s="6" t="str">
        <f>"吴昊"</f>
        <v>吴昊</v>
      </c>
    </row>
    <row r="1253" spans="1:4" ht="30" customHeight="1">
      <c r="A1253" s="6">
        <v>1251</v>
      </c>
      <c r="B1253" s="6" t="str">
        <f>"508120230421160912138824"</f>
        <v>508120230421160912138824</v>
      </c>
      <c r="C1253" s="6" t="s">
        <v>8</v>
      </c>
      <c r="D1253" s="6" t="str">
        <f>"江祖南"</f>
        <v>江祖南</v>
      </c>
    </row>
    <row r="1254" spans="1:4" ht="30" customHeight="1">
      <c r="A1254" s="6">
        <v>1252</v>
      </c>
      <c r="B1254" s="6" t="str">
        <f>"508120230421162138138840"</f>
        <v>508120230421162138138840</v>
      </c>
      <c r="C1254" s="6" t="s">
        <v>8</v>
      </c>
      <c r="D1254" s="6" t="str">
        <f>"何莎莎"</f>
        <v>何莎莎</v>
      </c>
    </row>
    <row r="1255" spans="1:4" ht="30" customHeight="1">
      <c r="A1255" s="6">
        <v>1253</v>
      </c>
      <c r="B1255" s="6" t="str">
        <f>"508120230421164018138862"</f>
        <v>508120230421164018138862</v>
      </c>
      <c r="C1255" s="6" t="s">
        <v>8</v>
      </c>
      <c r="D1255" s="6" t="str">
        <f>"程薪凝"</f>
        <v>程薪凝</v>
      </c>
    </row>
    <row r="1256" spans="1:4" ht="30" customHeight="1">
      <c r="A1256" s="6">
        <v>1254</v>
      </c>
      <c r="B1256" s="6" t="str">
        <f>"508120230421170701138896"</f>
        <v>508120230421170701138896</v>
      </c>
      <c r="C1256" s="6" t="s">
        <v>8</v>
      </c>
      <c r="D1256" s="6" t="str">
        <f>"吴多举"</f>
        <v>吴多举</v>
      </c>
    </row>
    <row r="1257" spans="1:4" ht="30" customHeight="1">
      <c r="A1257" s="6">
        <v>1255</v>
      </c>
      <c r="B1257" s="6" t="str">
        <f>"508120230421141107138644"</f>
        <v>508120230421141107138644</v>
      </c>
      <c r="C1257" s="6" t="s">
        <v>8</v>
      </c>
      <c r="D1257" s="6" t="str">
        <f>"王利莉"</f>
        <v>王利莉</v>
      </c>
    </row>
    <row r="1258" spans="1:4" ht="30" customHeight="1">
      <c r="A1258" s="6">
        <v>1256</v>
      </c>
      <c r="B1258" s="6" t="str">
        <f>"508120230421094603138228"</f>
        <v>508120230421094603138228</v>
      </c>
      <c r="C1258" s="6" t="s">
        <v>8</v>
      </c>
      <c r="D1258" s="6" t="str">
        <f>"李中博"</f>
        <v>李中博</v>
      </c>
    </row>
    <row r="1259" spans="1:4" ht="30" customHeight="1">
      <c r="A1259" s="6">
        <v>1257</v>
      </c>
      <c r="B1259" s="6" t="str">
        <f>"508120230421180430138958"</f>
        <v>508120230421180430138958</v>
      </c>
      <c r="C1259" s="6" t="s">
        <v>8</v>
      </c>
      <c r="D1259" s="6" t="str">
        <f>"李忠浪"</f>
        <v>李忠浪</v>
      </c>
    </row>
    <row r="1260" spans="1:4" ht="30" customHeight="1">
      <c r="A1260" s="6">
        <v>1258</v>
      </c>
      <c r="B1260" s="6" t="str">
        <f>"508120230421094933138239"</f>
        <v>508120230421094933138239</v>
      </c>
      <c r="C1260" s="6" t="s">
        <v>8</v>
      </c>
      <c r="D1260" s="6" t="str">
        <f>"王国威"</f>
        <v>王国威</v>
      </c>
    </row>
    <row r="1261" spans="1:4" ht="30" customHeight="1">
      <c r="A1261" s="6">
        <v>1259</v>
      </c>
      <c r="B1261" s="6" t="str">
        <f>"508120230421102839138341"</f>
        <v>508120230421102839138341</v>
      </c>
      <c r="C1261" s="6" t="s">
        <v>8</v>
      </c>
      <c r="D1261" s="6" t="str">
        <f>"何秋怡"</f>
        <v>何秋怡</v>
      </c>
    </row>
    <row r="1262" spans="1:4" ht="30" customHeight="1">
      <c r="A1262" s="6">
        <v>1260</v>
      </c>
      <c r="B1262" s="6" t="str">
        <f>"508120230421092648138174"</f>
        <v>508120230421092648138174</v>
      </c>
      <c r="C1262" s="6" t="s">
        <v>8</v>
      </c>
      <c r="D1262" s="6" t="str">
        <f>"刘文娟"</f>
        <v>刘文娟</v>
      </c>
    </row>
    <row r="1263" spans="1:4" ht="30" customHeight="1">
      <c r="A1263" s="6">
        <v>1261</v>
      </c>
      <c r="B1263" s="6" t="str">
        <f>"508120230421171502138906"</f>
        <v>508120230421171502138906</v>
      </c>
      <c r="C1263" s="6" t="s">
        <v>8</v>
      </c>
      <c r="D1263" s="6" t="str">
        <f>"梁文彬"</f>
        <v>梁文彬</v>
      </c>
    </row>
    <row r="1264" spans="1:4" ht="30" customHeight="1">
      <c r="A1264" s="6">
        <v>1262</v>
      </c>
      <c r="B1264" s="6" t="str">
        <f>"508120230421194011139017"</f>
        <v>508120230421194011139017</v>
      </c>
      <c r="C1264" s="6" t="s">
        <v>8</v>
      </c>
      <c r="D1264" s="6" t="str">
        <f>"关人翀"</f>
        <v>关人翀</v>
      </c>
    </row>
    <row r="1265" spans="1:4" ht="30" customHeight="1">
      <c r="A1265" s="6">
        <v>1263</v>
      </c>
      <c r="B1265" s="6" t="str">
        <f>"508120230421151056138729"</f>
        <v>508120230421151056138729</v>
      </c>
      <c r="C1265" s="6" t="s">
        <v>8</v>
      </c>
      <c r="D1265" s="6" t="str">
        <f>"林芳优"</f>
        <v>林芳优</v>
      </c>
    </row>
    <row r="1266" spans="1:4" ht="30" customHeight="1">
      <c r="A1266" s="6">
        <v>1264</v>
      </c>
      <c r="B1266" s="6" t="str">
        <f>"508120230421194646139022"</f>
        <v>508120230421194646139022</v>
      </c>
      <c r="C1266" s="6" t="s">
        <v>8</v>
      </c>
      <c r="D1266" s="6" t="str">
        <f>"林光海"</f>
        <v>林光海</v>
      </c>
    </row>
    <row r="1267" spans="1:4" ht="30" customHeight="1">
      <c r="A1267" s="6">
        <v>1265</v>
      </c>
      <c r="B1267" s="6" t="str">
        <f>"508120230421200259139036"</f>
        <v>508120230421200259139036</v>
      </c>
      <c r="C1267" s="6" t="s">
        <v>8</v>
      </c>
      <c r="D1267" s="6" t="str">
        <f>"陈炳文"</f>
        <v>陈炳文</v>
      </c>
    </row>
    <row r="1268" spans="1:4" ht="30" customHeight="1">
      <c r="A1268" s="6">
        <v>1266</v>
      </c>
      <c r="B1268" s="6" t="str">
        <f>"508120230421164417138867"</f>
        <v>508120230421164417138867</v>
      </c>
      <c r="C1268" s="6" t="s">
        <v>8</v>
      </c>
      <c r="D1268" s="6" t="str">
        <f>"吴莫伊"</f>
        <v>吴莫伊</v>
      </c>
    </row>
    <row r="1269" spans="1:4" ht="30" customHeight="1">
      <c r="A1269" s="6">
        <v>1267</v>
      </c>
      <c r="B1269" s="6" t="str">
        <f>"508120230421182447138973"</f>
        <v>508120230421182447138973</v>
      </c>
      <c r="C1269" s="6" t="s">
        <v>8</v>
      </c>
      <c r="D1269" s="6" t="str">
        <f>"黄智鹏"</f>
        <v>黄智鹏</v>
      </c>
    </row>
    <row r="1270" spans="1:4" ht="30" customHeight="1">
      <c r="A1270" s="6">
        <v>1268</v>
      </c>
      <c r="B1270" s="6" t="str">
        <f>"508120230421092246138161"</f>
        <v>508120230421092246138161</v>
      </c>
      <c r="C1270" s="6" t="s">
        <v>8</v>
      </c>
      <c r="D1270" s="6" t="str">
        <f>"郑清才"</f>
        <v>郑清才</v>
      </c>
    </row>
    <row r="1271" spans="1:4" ht="30" customHeight="1">
      <c r="A1271" s="6">
        <v>1269</v>
      </c>
      <c r="B1271" s="6" t="str">
        <f>"508120230421174758138939"</f>
        <v>508120230421174758138939</v>
      </c>
      <c r="C1271" s="6" t="s">
        <v>8</v>
      </c>
      <c r="D1271" s="6" t="str">
        <f>"林明智"</f>
        <v>林明智</v>
      </c>
    </row>
    <row r="1272" spans="1:4" ht="30" customHeight="1">
      <c r="A1272" s="6">
        <v>1270</v>
      </c>
      <c r="B1272" s="6" t="str">
        <f>"508120230421183900138983"</f>
        <v>508120230421183900138983</v>
      </c>
      <c r="C1272" s="6" t="s">
        <v>8</v>
      </c>
      <c r="D1272" s="6" t="str">
        <f>"蔡明"</f>
        <v>蔡明</v>
      </c>
    </row>
    <row r="1273" spans="1:4" ht="30" customHeight="1">
      <c r="A1273" s="6">
        <v>1271</v>
      </c>
      <c r="B1273" s="6" t="str">
        <f>"508120230422102232139219"</f>
        <v>508120230422102232139219</v>
      </c>
      <c r="C1273" s="6" t="s">
        <v>8</v>
      </c>
      <c r="D1273" s="6" t="str">
        <f>"谢燕花"</f>
        <v>谢燕花</v>
      </c>
    </row>
    <row r="1274" spans="1:4" ht="30" customHeight="1">
      <c r="A1274" s="6">
        <v>1272</v>
      </c>
      <c r="B1274" s="6" t="str">
        <f>"508120230422102016139218"</f>
        <v>508120230422102016139218</v>
      </c>
      <c r="C1274" s="6" t="s">
        <v>8</v>
      </c>
      <c r="D1274" s="6" t="str">
        <f>"杜钟宝"</f>
        <v>杜钟宝</v>
      </c>
    </row>
    <row r="1275" spans="1:4" ht="30" customHeight="1">
      <c r="A1275" s="6">
        <v>1273</v>
      </c>
      <c r="B1275" s="6" t="str">
        <f>"508120230422104250139230"</f>
        <v>508120230422104250139230</v>
      </c>
      <c r="C1275" s="6" t="s">
        <v>8</v>
      </c>
      <c r="D1275" s="6" t="str">
        <f>"蒙柔妮"</f>
        <v>蒙柔妮</v>
      </c>
    </row>
    <row r="1276" spans="1:4" ht="30" customHeight="1">
      <c r="A1276" s="6">
        <v>1274</v>
      </c>
      <c r="B1276" s="6" t="str">
        <f>"508120230422120544139285"</f>
        <v>508120230422120544139285</v>
      </c>
      <c r="C1276" s="6" t="s">
        <v>8</v>
      </c>
      <c r="D1276" s="6" t="str">
        <f>"陈腾"</f>
        <v>陈腾</v>
      </c>
    </row>
    <row r="1277" spans="1:4" ht="30" customHeight="1">
      <c r="A1277" s="6">
        <v>1275</v>
      </c>
      <c r="B1277" s="6" t="str">
        <f>"508120230422092523139189"</f>
        <v>508120230422092523139189</v>
      </c>
      <c r="C1277" s="6" t="s">
        <v>8</v>
      </c>
      <c r="D1277" s="6" t="str">
        <f>"吴鹏"</f>
        <v>吴鹏</v>
      </c>
    </row>
    <row r="1278" spans="1:4" ht="30" customHeight="1">
      <c r="A1278" s="6">
        <v>1276</v>
      </c>
      <c r="B1278" s="6" t="str">
        <f>"508120230422131436139333"</f>
        <v>508120230422131436139333</v>
      </c>
      <c r="C1278" s="6" t="s">
        <v>8</v>
      </c>
      <c r="D1278" s="6" t="str">
        <f>"郑民豪"</f>
        <v>郑民豪</v>
      </c>
    </row>
    <row r="1279" spans="1:4" ht="30" customHeight="1">
      <c r="A1279" s="6">
        <v>1277</v>
      </c>
      <c r="B1279" s="6" t="str">
        <f>"508120230422121112139288"</f>
        <v>508120230422121112139288</v>
      </c>
      <c r="C1279" s="6" t="s">
        <v>8</v>
      </c>
      <c r="D1279" s="6" t="str">
        <f>"丁颖达"</f>
        <v>丁颖达</v>
      </c>
    </row>
    <row r="1280" spans="1:4" ht="30" customHeight="1">
      <c r="A1280" s="6">
        <v>1278</v>
      </c>
      <c r="B1280" s="6" t="str">
        <f>"508120230422113628139265"</f>
        <v>508120230422113628139265</v>
      </c>
      <c r="C1280" s="6" t="s">
        <v>8</v>
      </c>
      <c r="D1280" s="6" t="str">
        <f>"赖宇恒"</f>
        <v>赖宇恒</v>
      </c>
    </row>
    <row r="1281" spans="1:4" ht="30" customHeight="1">
      <c r="A1281" s="6">
        <v>1279</v>
      </c>
      <c r="B1281" s="6" t="str">
        <f>"508120230421182058138969"</f>
        <v>508120230421182058138969</v>
      </c>
      <c r="C1281" s="6" t="s">
        <v>8</v>
      </c>
      <c r="D1281" s="6" t="str">
        <f>"莫升辉"</f>
        <v>莫升辉</v>
      </c>
    </row>
    <row r="1282" spans="1:4" ht="30" customHeight="1">
      <c r="A1282" s="6">
        <v>1280</v>
      </c>
      <c r="B1282" s="6" t="str">
        <f>"508120230422153822139390"</f>
        <v>508120230422153822139390</v>
      </c>
      <c r="C1282" s="6" t="s">
        <v>8</v>
      </c>
      <c r="D1282" s="6" t="str">
        <f>"何贤椿"</f>
        <v>何贤椿</v>
      </c>
    </row>
    <row r="1283" spans="1:4" ht="30" customHeight="1">
      <c r="A1283" s="6">
        <v>1281</v>
      </c>
      <c r="B1283" s="6" t="str">
        <f>"508120230422155255139398"</f>
        <v>508120230422155255139398</v>
      </c>
      <c r="C1283" s="6" t="s">
        <v>8</v>
      </c>
      <c r="D1283" s="6" t="str">
        <f>"蒙绪靖"</f>
        <v>蒙绪靖</v>
      </c>
    </row>
    <row r="1284" spans="1:4" ht="30" customHeight="1">
      <c r="A1284" s="6">
        <v>1282</v>
      </c>
      <c r="B1284" s="6" t="str">
        <f>"508120230422164111139414"</f>
        <v>508120230422164111139414</v>
      </c>
      <c r="C1284" s="6" t="s">
        <v>8</v>
      </c>
      <c r="D1284" s="6" t="str">
        <f>"黄武飞"</f>
        <v>黄武飞</v>
      </c>
    </row>
    <row r="1285" spans="1:4" ht="30" customHeight="1">
      <c r="A1285" s="6">
        <v>1283</v>
      </c>
      <c r="B1285" s="6" t="str">
        <f>"508120230422155633139399"</f>
        <v>508120230422155633139399</v>
      </c>
      <c r="C1285" s="6" t="s">
        <v>8</v>
      </c>
      <c r="D1285" s="6" t="str">
        <f>"颜彩云"</f>
        <v>颜彩云</v>
      </c>
    </row>
    <row r="1286" spans="1:4" ht="30" customHeight="1">
      <c r="A1286" s="6">
        <v>1284</v>
      </c>
      <c r="B1286" s="6" t="str">
        <f>"508120230422165402139423"</f>
        <v>508120230422165402139423</v>
      </c>
      <c r="C1286" s="6" t="s">
        <v>8</v>
      </c>
      <c r="D1286" s="6" t="str">
        <f>"王小灵"</f>
        <v>王小灵</v>
      </c>
    </row>
    <row r="1287" spans="1:4" ht="30" customHeight="1">
      <c r="A1287" s="6">
        <v>1285</v>
      </c>
      <c r="B1287" s="6" t="str">
        <f>"508120230422174626139456"</f>
        <v>508120230422174626139456</v>
      </c>
      <c r="C1287" s="6" t="s">
        <v>8</v>
      </c>
      <c r="D1287" s="6" t="str">
        <f>"蒲才喜"</f>
        <v>蒲才喜</v>
      </c>
    </row>
    <row r="1288" spans="1:4" ht="30" customHeight="1">
      <c r="A1288" s="6">
        <v>1286</v>
      </c>
      <c r="B1288" s="6" t="str">
        <f>"508120230422181249139470"</f>
        <v>508120230422181249139470</v>
      </c>
      <c r="C1288" s="6" t="s">
        <v>8</v>
      </c>
      <c r="D1288" s="6" t="str">
        <f>"关业添"</f>
        <v>关业添</v>
      </c>
    </row>
    <row r="1289" spans="1:4" ht="30" customHeight="1">
      <c r="A1289" s="6">
        <v>1287</v>
      </c>
      <c r="B1289" s="6" t="str">
        <f>"508120230421162634138848"</f>
        <v>508120230421162634138848</v>
      </c>
      <c r="C1289" s="6" t="s">
        <v>8</v>
      </c>
      <c r="D1289" s="6" t="str">
        <f>"符策芬"</f>
        <v>符策芬</v>
      </c>
    </row>
    <row r="1290" spans="1:4" ht="30" customHeight="1">
      <c r="A1290" s="6">
        <v>1288</v>
      </c>
      <c r="B1290" s="6" t="str">
        <f>"508120230422134131139343"</f>
        <v>508120230422134131139343</v>
      </c>
      <c r="C1290" s="6" t="s">
        <v>8</v>
      </c>
      <c r="D1290" s="6" t="str">
        <f>"徐俊毅"</f>
        <v>徐俊毅</v>
      </c>
    </row>
    <row r="1291" spans="1:4" ht="30" customHeight="1">
      <c r="A1291" s="6">
        <v>1289</v>
      </c>
      <c r="B1291" s="6" t="str">
        <f>"508120230422210236139577"</f>
        <v>508120230422210236139577</v>
      </c>
      <c r="C1291" s="6" t="s">
        <v>8</v>
      </c>
      <c r="D1291" s="6" t="str">
        <f>"邓正宏"</f>
        <v>邓正宏</v>
      </c>
    </row>
    <row r="1292" spans="1:4" ht="30" customHeight="1">
      <c r="A1292" s="6">
        <v>1290</v>
      </c>
      <c r="B1292" s="6" t="str">
        <f>"508120230422205433139571"</f>
        <v>508120230422205433139571</v>
      </c>
      <c r="C1292" s="6" t="s">
        <v>8</v>
      </c>
      <c r="D1292" s="6" t="str">
        <f>"农广南"</f>
        <v>农广南</v>
      </c>
    </row>
    <row r="1293" spans="1:4" ht="30" customHeight="1">
      <c r="A1293" s="6">
        <v>1291</v>
      </c>
      <c r="B1293" s="6" t="str">
        <f>"508120230422212156139586"</f>
        <v>508120230422212156139586</v>
      </c>
      <c r="C1293" s="6" t="s">
        <v>8</v>
      </c>
      <c r="D1293" s="6" t="str">
        <f>"王延欢"</f>
        <v>王延欢</v>
      </c>
    </row>
    <row r="1294" spans="1:4" ht="30" customHeight="1">
      <c r="A1294" s="6">
        <v>1292</v>
      </c>
      <c r="B1294" s="6" t="str">
        <f>"508120230422203305139550"</f>
        <v>508120230422203305139550</v>
      </c>
      <c r="C1294" s="6" t="s">
        <v>8</v>
      </c>
      <c r="D1294" s="6" t="str">
        <f>"王助"</f>
        <v>王助</v>
      </c>
    </row>
    <row r="1295" spans="1:4" ht="30" customHeight="1">
      <c r="A1295" s="6">
        <v>1293</v>
      </c>
      <c r="B1295" s="6" t="str">
        <f>"508120230422214621139598"</f>
        <v>508120230422214621139598</v>
      </c>
      <c r="C1295" s="6" t="s">
        <v>8</v>
      </c>
      <c r="D1295" s="6" t="str">
        <f>"覃进"</f>
        <v>覃进</v>
      </c>
    </row>
    <row r="1296" spans="1:4" ht="30" customHeight="1">
      <c r="A1296" s="6">
        <v>1294</v>
      </c>
      <c r="B1296" s="6" t="str">
        <f>"508120230422223257139635"</f>
        <v>508120230422223257139635</v>
      </c>
      <c r="C1296" s="6" t="s">
        <v>8</v>
      </c>
      <c r="D1296" s="6" t="str">
        <f>"李畅利"</f>
        <v>李畅利</v>
      </c>
    </row>
    <row r="1297" spans="1:4" ht="30" customHeight="1">
      <c r="A1297" s="6">
        <v>1295</v>
      </c>
      <c r="B1297" s="6" t="str">
        <f>"508120230422224649139642"</f>
        <v>508120230422224649139642</v>
      </c>
      <c r="C1297" s="6" t="s">
        <v>8</v>
      </c>
      <c r="D1297" s="6" t="str">
        <f>"李日睿"</f>
        <v>李日睿</v>
      </c>
    </row>
    <row r="1298" spans="1:4" ht="30" customHeight="1">
      <c r="A1298" s="6">
        <v>1296</v>
      </c>
      <c r="B1298" s="6" t="str">
        <f>"508120230421233857139134"</f>
        <v>508120230421233857139134</v>
      </c>
      <c r="C1298" s="6" t="s">
        <v>8</v>
      </c>
      <c r="D1298" s="6" t="str">
        <f>"易思梦"</f>
        <v>易思梦</v>
      </c>
    </row>
    <row r="1299" spans="1:4" ht="30" customHeight="1">
      <c r="A1299" s="6">
        <v>1297</v>
      </c>
      <c r="B1299" s="6" t="str">
        <f>"508120230422233846139671"</f>
        <v>508120230422233846139671</v>
      </c>
      <c r="C1299" s="6" t="s">
        <v>8</v>
      </c>
      <c r="D1299" s="6" t="str">
        <f>"吴雷"</f>
        <v>吴雷</v>
      </c>
    </row>
    <row r="1300" spans="1:4" ht="30" customHeight="1">
      <c r="A1300" s="6">
        <v>1298</v>
      </c>
      <c r="B1300" s="6" t="str">
        <f>"508120230422113410139262"</f>
        <v>508120230422113410139262</v>
      </c>
      <c r="C1300" s="6" t="s">
        <v>8</v>
      </c>
      <c r="D1300" s="6" t="str">
        <f>"林万贤"</f>
        <v>林万贤</v>
      </c>
    </row>
    <row r="1301" spans="1:4" ht="30" customHeight="1">
      <c r="A1301" s="6">
        <v>1299</v>
      </c>
      <c r="B1301" s="6" t="str">
        <f>"508120230423003138139687"</f>
        <v>508120230423003138139687</v>
      </c>
      <c r="C1301" s="6" t="s">
        <v>8</v>
      </c>
      <c r="D1301" s="6" t="str">
        <f>"钟斌"</f>
        <v>钟斌</v>
      </c>
    </row>
    <row r="1302" spans="1:4" ht="30" customHeight="1">
      <c r="A1302" s="6">
        <v>1300</v>
      </c>
      <c r="B1302" s="6" t="str">
        <f>"508120230423012847139691"</f>
        <v>508120230423012847139691</v>
      </c>
      <c r="C1302" s="6" t="s">
        <v>8</v>
      </c>
      <c r="D1302" s="6" t="str">
        <f>"刘学嘉"</f>
        <v>刘学嘉</v>
      </c>
    </row>
    <row r="1303" spans="1:4" ht="30" customHeight="1">
      <c r="A1303" s="6">
        <v>1301</v>
      </c>
      <c r="B1303" s="6" t="str">
        <f>"508120230423075510139699"</f>
        <v>508120230423075510139699</v>
      </c>
      <c r="C1303" s="6" t="s">
        <v>8</v>
      </c>
      <c r="D1303" s="6" t="str">
        <f>"欧诒干"</f>
        <v>欧诒干</v>
      </c>
    </row>
    <row r="1304" spans="1:4" ht="30" customHeight="1">
      <c r="A1304" s="6">
        <v>1302</v>
      </c>
      <c r="B1304" s="6" t="str">
        <f>"508120230423084810139717"</f>
        <v>508120230423084810139717</v>
      </c>
      <c r="C1304" s="6" t="s">
        <v>8</v>
      </c>
      <c r="D1304" s="6" t="str">
        <f>"蔡奕明"</f>
        <v>蔡奕明</v>
      </c>
    </row>
    <row r="1305" spans="1:4" ht="30" customHeight="1">
      <c r="A1305" s="6">
        <v>1303</v>
      </c>
      <c r="B1305" s="6" t="str">
        <f>"508120230423095757139801"</f>
        <v>508120230423095757139801</v>
      </c>
      <c r="C1305" s="6" t="s">
        <v>8</v>
      </c>
      <c r="D1305" s="6" t="str">
        <f>"陈宇"</f>
        <v>陈宇</v>
      </c>
    </row>
    <row r="1306" spans="1:4" ht="30" customHeight="1">
      <c r="A1306" s="6">
        <v>1304</v>
      </c>
      <c r="B1306" s="6" t="str">
        <f>"508120230423083547139708"</f>
        <v>508120230423083547139708</v>
      </c>
      <c r="C1306" s="6" t="s">
        <v>8</v>
      </c>
      <c r="D1306" s="6" t="str">
        <f>"梁其柏"</f>
        <v>梁其柏</v>
      </c>
    </row>
    <row r="1307" spans="1:4" ht="30" customHeight="1">
      <c r="A1307" s="6">
        <v>1305</v>
      </c>
      <c r="B1307" s="6" t="str">
        <f>"508120230422105033139237"</f>
        <v>508120230422105033139237</v>
      </c>
      <c r="C1307" s="6" t="s">
        <v>8</v>
      </c>
      <c r="D1307" s="6" t="str">
        <f>"吴育林"</f>
        <v>吴育林</v>
      </c>
    </row>
    <row r="1308" spans="1:4" ht="30" customHeight="1">
      <c r="A1308" s="6">
        <v>1306</v>
      </c>
      <c r="B1308" s="6" t="str">
        <f>"508120230423085400139724"</f>
        <v>508120230423085400139724</v>
      </c>
      <c r="C1308" s="6" t="s">
        <v>8</v>
      </c>
      <c r="D1308" s="6" t="str">
        <f>"郭泽春"</f>
        <v>郭泽春</v>
      </c>
    </row>
    <row r="1309" spans="1:4" ht="30" customHeight="1">
      <c r="A1309" s="6">
        <v>1307</v>
      </c>
      <c r="B1309" s="6" t="str">
        <f>"508120230423110104139858"</f>
        <v>508120230423110104139858</v>
      </c>
      <c r="C1309" s="6" t="s">
        <v>8</v>
      </c>
      <c r="D1309" s="6" t="str">
        <f>"严东"</f>
        <v>严东</v>
      </c>
    </row>
    <row r="1310" spans="1:4" ht="30" customHeight="1">
      <c r="A1310" s="6">
        <v>1308</v>
      </c>
      <c r="B1310" s="6" t="str">
        <f>"508120230423112717139889"</f>
        <v>508120230423112717139889</v>
      </c>
      <c r="C1310" s="6" t="s">
        <v>8</v>
      </c>
      <c r="D1310" s="6" t="str">
        <f>"苏菊"</f>
        <v>苏菊</v>
      </c>
    </row>
    <row r="1311" spans="1:4" ht="30" customHeight="1">
      <c r="A1311" s="6">
        <v>1309</v>
      </c>
      <c r="B1311" s="6" t="str">
        <f>"508120230423110621139866"</f>
        <v>508120230423110621139866</v>
      </c>
      <c r="C1311" s="6" t="s">
        <v>8</v>
      </c>
      <c r="D1311" s="6" t="str">
        <f>"符方思"</f>
        <v>符方思</v>
      </c>
    </row>
    <row r="1312" spans="1:4" ht="30" customHeight="1">
      <c r="A1312" s="6">
        <v>1310</v>
      </c>
      <c r="B1312" s="6" t="str">
        <f>"508120230422121116139289"</f>
        <v>508120230422121116139289</v>
      </c>
      <c r="C1312" s="6" t="s">
        <v>8</v>
      </c>
      <c r="D1312" s="6" t="str">
        <f>"董冠林"</f>
        <v>董冠林</v>
      </c>
    </row>
    <row r="1313" spans="1:4" ht="30" customHeight="1">
      <c r="A1313" s="6">
        <v>1311</v>
      </c>
      <c r="B1313" s="6" t="str">
        <f>"508120230422224806139644"</f>
        <v>508120230422224806139644</v>
      </c>
      <c r="C1313" s="6" t="s">
        <v>8</v>
      </c>
      <c r="D1313" s="6" t="str">
        <f>" 孟立君"</f>
        <v> 孟立君</v>
      </c>
    </row>
    <row r="1314" spans="1:4" ht="30" customHeight="1">
      <c r="A1314" s="6">
        <v>1312</v>
      </c>
      <c r="B1314" s="6" t="str">
        <f>"508120230423124158139938"</f>
        <v>508120230423124158139938</v>
      </c>
      <c r="C1314" s="6" t="s">
        <v>8</v>
      </c>
      <c r="D1314" s="6" t="str">
        <f>"周昌霞"</f>
        <v>周昌霞</v>
      </c>
    </row>
    <row r="1315" spans="1:4" ht="30" customHeight="1">
      <c r="A1315" s="6">
        <v>1313</v>
      </c>
      <c r="B1315" s="6" t="str">
        <f>"508120230421103824138367"</f>
        <v>508120230421103824138367</v>
      </c>
      <c r="C1315" s="6" t="s">
        <v>8</v>
      </c>
      <c r="D1315" s="6" t="str">
        <f>"郑媛娟"</f>
        <v>郑媛娟</v>
      </c>
    </row>
    <row r="1316" spans="1:4" ht="30" customHeight="1">
      <c r="A1316" s="6">
        <v>1314</v>
      </c>
      <c r="B1316" s="6" t="str">
        <f>"508120230422131342139332"</f>
        <v>508120230422131342139332</v>
      </c>
      <c r="C1316" s="6" t="s">
        <v>8</v>
      </c>
      <c r="D1316" s="6" t="str">
        <f>"李成杰"</f>
        <v>李成杰</v>
      </c>
    </row>
    <row r="1317" spans="1:4" ht="30" customHeight="1">
      <c r="A1317" s="6">
        <v>1315</v>
      </c>
      <c r="B1317" s="6" t="str">
        <f>"508120230423142643139982"</f>
        <v>508120230423142643139982</v>
      </c>
      <c r="C1317" s="6" t="s">
        <v>8</v>
      </c>
      <c r="D1317" s="6" t="str">
        <f>"郑友行"</f>
        <v>郑友行</v>
      </c>
    </row>
    <row r="1318" spans="1:4" ht="30" customHeight="1">
      <c r="A1318" s="6">
        <v>1316</v>
      </c>
      <c r="B1318" s="6" t="str">
        <f>"508120230423145425140002"</f>
        <v>508120230423145425140002</v>
      </c>
      <c r="C1318" s="6" t="s">
        <v>8</v>
      </c>
      <c r="D1318" s="6" t="str">
        <f>"吴明锦"</f>
        <v>吴明锦</v>
      </c>
    </row>
    <row r="1319" spans="1:4" ht="30" customHeight="1">
      <c r="A1319" s="6">
        <v>1317</v>
      </c>
      <c r="B1319" s="6" t="str">
        <f>"508120230421110545138425"</f>
        <v>508120230421110545138425</v>
      </c>
      <c r="C1319" s="6" t="s">
        <v>8</v>
      </c>
      <c r="D1319" s="6" t="str">
        <f>"郑蓝辉"</f>
        <v>郑蓝辉</v>
      </c>
    </row>
    <row r="1320" spans="1:4" ht="30" customHeight="1">
      <c r="A1320" s="6">
        <v>1318</v>
      </c>
      <c r="B1320" s="6" t="str">
        <f>"508120230423145727140006"</f>
        <v>508120230423145727140006</v>
      </c>
      <c r="C1320" s="6" t="s">
        <v>8</v>
      </c>
      <c r="D1320" s="6" t="str">
        <f>"吴耿"</f>
        <v>吴耿</v>
      </c>
    </row>
    <row r="1321" spans="1:4" ht="30" customHeight="1">
      <c r="A1321" s="6">
        <v>1319</v>
      </c>
      <c r="B1321" s="6" t="str">
        <f>"508120230423121005139922"</f>
        <v>508120230423121005139922</v>
      </c>
      <c r="C1321" s="6" t="s">
        <v>8</v>
      </c>
      <c r="D1321" s="6" t="str">
        <f>"薛诒松"</f>
        <v>薛诒松</v>
      </c>
    </row>
    <row r="1322" spans="1:4" ht="30" customHeight="1">
      <c r="A1322" s="6">
        <v>1320</v>
      </c>
      <c r="B1322" s="6" t="str">
        <f>"508120230423153939140050"</f>
        <v>508120230423153939140050</v>
      </c>
      <c r="C1322" s="6" t="s">
        <v>8</v>
      </c>
      <c r="D1322" s="6" t="str">
        <f>"李静"</f>
        <v>李静</v>
      </c>
    </row>
    <row r="1323" spans="1:4" ht="30" customHeight="1">
      <c r="A1323" s="6">
        <v>1321</v>
      </c>
      <c r="B1323" s="6" t="str">
        <f>"508120230423154619140058"</f>
        <v>508120230423154619140058</v>
      </c>
      <c r="C1323" s="6" t="s">
        <v>8</v>
      </c>
      <c r="D1323" s="6" t="str">
        <f>"王祈平"</f>
        <v>王祈平</v>
      </c>
    </row>
    <row r="1324" spans="1:4" ht="30" customHeight="1">
      <c r="A1324" s="6">
        <v>1322</v>
      </c>
      <c r="B1324" s="6" t="str">
        <f>"508120230423144823139992"</f>
        <v>508120230423144823139992</v>
      </c>
      <c r="C1324" s="6" t="s">
        <v>8</v>
      </c>
      <c r="D1324" s="6" t="str">
        <f>"祁大超"</f>
        <v>祁大超</v>
      </c>
    </row>
    <row r="1325" spans="1:4" ht="30" customHeight="1">
      <c r="A1325" s="6">
        <v>1323</v>
      </c>
      <c r="B1325" s="6" t="str">
        <f>"508120230423162736140103"</f>
        <v>508120230423162736140103</v>
      </c>
      <c r="C1325" s="6" t="s">
        <v>8</v>
      </c>
      <c r="D1325" s="6" t="str">
        <f>"符传明"</f>
        <v>符传明</v>
      </c>
    </row>
    <row r="1326" spans="1:4" ht="30" customHeight="1">
      <c r="A1326" s="6">
        <v>1324</v>
      </c>
      <c r="B1326" s="6" t="str">
        <f>"508120230423164632140126"</f>
        <v>508120230423164632140126</v>
      </c>
      <c r="C1326" s="6" t="s">
        <v>8</v>
      </c>
      <c r="D1326" s="6" t="str">
        <f>"王海珍"</f>
        <v>王海珍</v>
      </c>
    </row>
    <row r="1327" spans="1:4" ht="30" customHeight="1">
      <c r="A1327" s="6">
        <v>1325</v>
      </c>
      <c r="B1327" s="6" t="str">
        <f>"508120230423165537140138"</f>
        <v>508120230423165537140138</v>
      </c>
      <c r="C1327" s="6" t="s">
        <v>8</v>
      </c>
      <c r="D1327" s="6" t="str">
        <f>"蔡钰"</f>
        <v>蔡钰</v>
      </c>
    </row>
    <row r="1328" spans="1:4" ht="30" customHeight="1">
      <c r="A1328" s="6">
        <v>1326</v>
      </c>
      <c r="B1328" s="6" t="str">
        <f>"508120230423170638140145"</f>
        <v>508120230423170638140145</v>
      </c>
      <c r="C1328" s="6" t="s">
        <v>8</v>
      </c>
      <c r="D1328" s="6" t="str">
        <f>"王玲"</f>
        <v>王玲</v>
      </c>
    </row>
    <row r="1329" spans="1:4" ht="30" customHeight="1">
      <c r="A1329" s="6">
        <v>1327</v>
      </c>
      <c r="B1329" s="6" t="str">
        <f>"508120230423144908139994"</f>
        <v>508120230423144908139994</v>
      </c>
      <c r="C1329" s="6" t="s">
        <v>8</v>
      </c>
      <c r="D1329" s="6" t="str">
        <f>"郑义成"</f>
        <v>郑义成</v>
      </c>
    </row>
    <row r="1330" spans="1:4" ht="30" customHeight="1">
      <c r="A1330" s="6">
        <v>1328</v>
      </c>
      <c r="B1330" s="6" t="str">
        <f>"508120230423180809140176"</f>
        <v>508120230423180809140176</v>
      </c>
      <c r="C1330" s="6" t="s">
        <v>8</v>
      </c>
      <c r="D1330" s="6" t="str">
        <f>"符永柏"</f>
        <v>符永柏</v>
      </c>
    </row>
    <row r="1331" spans="1:4" ht="30" customHeight="1">
      <c r="A1331" s="6">
        <v>1329</v>
      </c>
      <c r="B1331" s="6" t="str">
        <f>"508120230423155924140074"</f>
        <v>508120230423155924140074</v>
      </c>
      <c r="C1331" s="6" t="s">
        <v>8</v>
      </c>
      <c r="D1331" s="6" t="str">
        <f>"李育任"</f>
        <v>李育任</v>
      </c>
    </row>
    <row r="1332" spans="1:4" ht="30" customHeight="1">
      <c r="A1332" s="6">
        <v>1330</v>
      </c>
      <c r="B1332" s="6" t="str">
        <f>"508120230422173837139454"</f>
        <v>508120230422173837139454</v>
      </c>
      <c r="C1332" s="6" t="s">
        <v>8</v>
      </c>
      <c r="D1332" s="6" t="str">
        <f>"吴启皇"</f>
        <v>吴启皇</v>
      </c>
    </row>
    <row r="1333" spans="1:4" ht="30" customHeight="1">
      <c r="A1333" s="6">
        <v>1331</v>
      </c>
      <c r="B1333" s="6" t="str">
        <f>"508120230423195915140244"</f>
        <v>508120230423195915140244</v>
      </c>
      <c r="C1333" s="6" t="s">
        <v>8</v>
      </c>
      <c r="D1333" s="6" t="str">
        <f>"钟新新"</f>
        <v>钟新新</v>
      </c>
    </row>
    <row r="1334" spans="1:4" ht="30" customHeight="1">
      <c r="A1334" s="6">
        <v>1332</v>
      </c>
      <c r="B1334" s="6" t="str">
        <f>"508120230423201854140259"</f>
        <v>508120230423201854140259</v>
      </c>
      <c r="C1334" s="6" t="s">
        <v>8</v>
      </c>
      <c r="D1334" s="6" t="str">
        <f>"罗毅"</f>
        <v>罗毅</v>
      </c>
    </row>
    <row r="1335" spans="1:4" ht="30" customHeight="1">
      <c r="A1335" s="6">
        <v>1333</v>
      </c>
      <c r="B1335" s="6" t="str">
        <f>"508120230423205044140287"</f>
        <v>508120230423205044140287</v>
      </c>
      <c r="C1335" s="6" t="s">
        <v>8</v>
      </c>
      <c r="D1335" s="6" t="str">
        <f>"邢王秀"</f>
        <v>邢王秀</v>
      </c>
    </row>
    <row r="1336" spans="1:4" ht="30" customHeight="1">
      <c r="A1336" s="6">
        <v>1334</v>
      </c>
      <c r="B1336" s="6" t="str">
        <f>"508120230423204506140282"</f>
        <v>508120230423204506140282</v>
      </c>
      <c r="C1336" s="6" t="s">
        <v>8</v>
      </c>
      <c r="D1336" s="6" t="str">
        <f>"郑丽娟"</f>
        <v>郑丽娟</v>
      </c>
    </row>
    <row r="1337" spans="1:4" ht="30" customHeight="1">
      <c r="A1337" s="6">
        <v>1335</v>
      </c>
      <c r="B1337" s="6" t="str">
        <f>"508120230423210738140304"</f>
        <v>508120230423210738140304</v>
      </c>
      <c r="C1337" s="6" t="s">
        <v>8</v>
      </c>
      <c r="D1337" s="6" t="str">
        <f>"蒋少兰"</f>
        <v>蒋少兰</v>
      </c>
    </row>
    <row r="1338" spans="1:4" ht="30" customHeight="1">
      <c r="A1338" s="6">
        <v>1336</v>
      </c>
      <c r="B1338" s="6" t="str">
        <f>"508120230422202523139541"</f>
        <v>508120230422202523139541</v>
      </c>
      <c r="C1338" s="6" t="s">
        <v>8</v>
      </c>
      <c r="D1338" s="6" t="str">
        <f>"曾德超"</f>
        <v>曾德超</v>
      </c>
    </row>
    <row r="1339" spans="1:4" ht="30" customHeight="1">
      <c r="A1339" s="6">
        <v>1337</v>
      </c>
      <c r="B1339" s="6" t="str">
        <f>"508120230422022603139157"</f>
        <v>508120230422022603139157</v>
      </c>
      <c r="C1339" s="6" t="s">
        <v>8</v>
      </c>
      <c r="D1339" s="6" t="str">
        <f>"钟振儒"</f>
        <v>钟振儒</v>
      </c>
    </row>
    <row r="1340" spans="1:4" ht="30" customHeight="1">
      <c r="A1340" s="6">
        <v>1338</v>
      </c>
      <c r="B1340" s="6" t="str">
        <f>"508120230422105915139240"</f>
        <v>508120230422105915139240</v>
      </c>
      <c r="C1340" s="6" t="s">
        <v>8</v>
      </c>
      <c r="D1340" s="6" t="str">
        <f>"李毅龙"</f>
        <v>李毅龙</v>
      </c>
    </row>
    <row r="1341" spans="1:4" ht="30" customHeight="1">
      <c r="A1341" s="6">
        <v>1339</v>
      </c>
      <c r="B1341" s="6" t="str">
        <f>"508120230423162156140097"</f>
        <v>508120230423162156140097</v>
      </c>
      <c r="C1341" s="6" t="s">
        <v>8</v>
      </c>
      <c r="D1341" s="6" t="str">
        <f>"王汉鸿"</f>
        <v>王汉鸿</v>
      </c>
    </row>
    <row r="1342" spans="1:4" ht="30" customHeight="1">
      <c r="A1342" s="6">
        <v>1340</v>
      </c>
      <c r="B1342" s="6" t="str">
        <f>"508120230423210259140300"</f>
        <v>508120230423210259140300</v>
      </c>
      <c r="C1342" s="6" t="s">
        <v>8</v>
      </c>
      <c r="D1342" s="6" t="str">
        <f>"罗敏"</f>
        <v>罗敏</v>
      </c>
    </row>
    <row r="1343" spans="1:4" ht="30" customHeight="1">
      <c r="A1343" s="6">
        <v>1341</v>
      </c>
      <c r="B1343" s="6" t="str">
        <f>"508120230423091200139741"</f>
        <v>508120230423091200139741</v>
      </c>
      <c r="C1343" s="6" t="s">
        <v>8</v>
      </c>
      <c r="D1343" s="6" t="str">
        <f>"陈云"</f>
        <v>陈云</v>
      </c>
    </row>
    <row r="1344" spans="1:4" ht="30" customHeight="1">
      <c r="A1344" s="6">
        <v>1342</v>
      </c>
      <c r="B1344" s="6" t="str">
        <f>"508120230422200634139526"</f>
        <v>508120230422200634139526</v>
      </c>
      <c r="C1344" s="6" t="s">
        <v>8</v>
      </c>
      <c r="D1344" s="6" t="str">
        <f>"曾琦智"</f>
        <v>曾琦智</v>
      </c>
    </row>
    <row r="1345" spans="1:4" ht="30" customHeight="1">
      <c r="A1345" s="6">
        <v>1343</v>
      </c>
      <c r="B1345" s="6" t="str">
        <f>"508120230423231231140405"</f>
        <v>508120230423231231140405</v>
      </c>
      <c r="C1345" s="6" t="s">
        <v>8</v>
      </c>
      <c r="D1345" s="6" t="str">
        <f>"李金泽"</f>
        <v>李金泽</v>
      </c>
    </row>
    <row r="1346" spans="1:4" ht="30" customHeight="1">
      <c r="A1346" s="6">
        <v>1344</v>
      </c>
      <c r="B1346" s="6" t="str">
        <f>"508120230422101609139215"</f>
        <v>508120230422101609139215</v>
      </c>
      <c r="C1346" s="6" t="s">
        <v>8</v>
      </c>
      <c r="D1346" s="6" t="str">
        <f>"周千琳"</f>
        <v>周千琳</v>
      </c>
    </row>
    <row r="1347" spans="1:4" ht="30" customHeight="1">
      <c r="A1347" s="6">
        <v>1345</v>
      </c>
      <c r="B1347" s="6" t="str">
        <f>"508120230424011204140436"</f>
        <v>508120230424011204140436</v>
      </c>
      <c r="C1347" s="6" t="s">
        <v>8</v>
      </c>
      <c r="D1347" s="6" t="str">
        <f>"符维铨"</f>
        <v>符维铨</v>
      </c>
    </row>
    <row r="1348" spans="1:4" ht="30" customHeight="1">
      <c r="A1348" s="6">
        <v>1346</v>
      </c>
      <c r="B1348" s="6" t="str">
        <f>"508120230421160647138818"</f>
        <v>508120230421160647138818</v>
      </c>
      <c r="C1348" s="6" t="s">
        <v>8</v>
      </c>
      <c r="D1348" s="6" t="str">
        <f>"邝超"</f>
        <v>邝超</v>
      </c>
    </row>
    <row r="1349" spans="1:4" ht="30" customHeight="1">
      <c r="A1349" s="6">
        <v>1347</v>
      </c>
      <c r="B1349" s="6" t="str">
        <f>"508120230424085001140472"</f>
        <v>508120230424085001140472</v>
      </c>
      <c r="C1349" s="6" t="s">
        <v>8</v>
      </c>
      <c r="D1349" s="6" t="str">
        <f>"陈泰晶"</f>
        <v>陈泰晶</v>
      </c>
    </row>
    <row r="1350" spans="1:4" ht="30" customHeight="1">
      <c r="A1350" s="6">
        <v>1348</v>
      </c>
      <c r="B1350" s="6" t="str">
        <f>"508120230424083557140463"</f>
        <v>508120230424083557140463</v>
      </c>
      <c r="C1350" s="6" t="s">
        <v>8</v>
      </c>
      <c r="D1350" s="6" t="str">
        <f>"杨达新"</f>
        <v>杨达新</v>
      </c>
    </row>
    <row r="1351" spans="1:4" ht="30" customHeight="1">
      <c r="A1351" s="6">
        <v>1349</v>
      </c>
      <c r="B1351" s="6" t="str">
        <f>"508120230424094646140532"</f>
        <v>508120230424094646140532</v>
      </c>
      <c r="C1351" s="6" t="s">
        <v>8</v>
      </c>
      <c r="D1351" s="6" t="str">
        <f>"陈太鹏"</f>
        <v>陈太鹏</v>
      </c>
    </row>
    <row r="1352" spans="1:4" ht="30" customHeight="1">
      <c r="A1352" s="6">
        <v>1350</v>
      </c>
      <c r="B1352" s="6" t="str">
        <f>"508120230424095109140541"</f>
        <v>508120230424095109140541</v>
      </c>
      <c r="C1352" s="6" t="s">
        <v>8</v>
      </c>
      <c r="D1352" s="6" t="str">
        <f>"林欣"</f>
        <v>林欣</v>
      </c>
    </row>
    <row r="1353" spans="1:4" ht="30" customHeight="1">
      <c r="A1353" s="6">
        <v>1351</v>
      </c>
      <c r="B1353" s="6" t="str">
        <f>"508120230423150712140018"</f>
        <v>508120230423150712140018</v>
      </c>
      <c r="C1353" s="6" t="s">
        <v>8</v>
      </c>
      <c r="D1353" s="6" t="str">
        <f>"陈辉映"</f>
        <v>陈辉映</v>
      </c>
    </row>
    <row r="1354" spans="1:4" ht="30" customHeight="1">
      <c r="A1354" s="6">
        <v>1352</v>
      </c>
      <c r="B1354" s="6" t="str">
        <f>"508120230423204416140280"</f>
        <v>508120230423204416140280</v>
      </c>
      <c r="C1354" s="6" t="s">
        <v>8</v>
      </c>
      <c r="D1354" s="6" t="str">
        <f>"黎子桦"</f>
        <v>黎子桦</v>
      </c>
    </row>
    <row r="1355" spans="1:4" ht="30" customHeight="1">
      <c r="A1355" s="6">
        <v>1353</v>
      </c>
      <c r="B1355" s="6" t="str">
        <f>"508120230424101024140565"</f>
        <v>508120230424101024140565</v>
      </c>
      <c r="C1355" s="6" t="s">
        <v>8</v>
      </c>
      <c r="D1355" s="6" t="str">
        <f>"邓国兴"</f>
        <v>邓国兴</v>
      </c>
    </row>
    <row r="1356" spans="1:4" ht="30" customHeight="1">
      <c r="A1356" s="6">
        <v>1354</v>
      </c>
      <c r="B1356" s="6" t="str">
        <f>"508120230424102649140581"</f>
        <v>508120230424102649140581</v>
      </c>
      <c r="C1356" s="6" t="s">
        <v>8</v>
      </c>
      <c r="D1356" s="6" t="str">
        <f>"裘晨格"</f>
        <v>裘晨格</v>
      </c>
    </row>
    <row r="1357" spans="1:4" ht="30" customHeight="1">
      <c r="A1357" s="6">
        <v>1355</v>
      </c>
      <c r="B1357" s="6" t="str">
        <f>"508120230424102917140584"</f>
        <v>508120230424102917140584</v>
      </c>
      <c r="C1357" s="6" t="s">
        <v>8</v>
      </c>
      <c r="D1357" s="6" t="str">
        <f>"严鸿"</f>
        <v>严鸿</v>
      </c>
    </row>
    <row r="1358" spans="1:4" ht="30" customHeight="1">
      <c r="A1358" s="6">
        <v>1356</v>
      </c>
      <c r="B1358" s="6" t="str">
        <f>"508120230422111612139249"</f>
        <v>508120230422111612139249</v>
      </c>
      <c r="C1358" s="6" t="s">
        <v>8</v>
      </c>
      <c r="D1358" s="6" t="str">
        <f>"王春山"</f>
        <v>王春山</v>
      </c>
    </row>
    <row r="1359" spans="1:4" ht="30" customHeight="1">
      <c r="A1359" s="6">
        <v>1357</v>
      </c>
      <c r="B1359" s="6" t="str">
        <f>"508120230424130840140713"</f>
        <v>508120230424130840140713</v>
      </c>
      <c r="C1359" s="6" t="s">
        <v>8</v>
      </c>
      <c r="D1359" s="6" t="str">
        <f>"王莉"</f>
        <v>王莉</v>
      </c>
    </row>
    <row r="1360" spans="1:4" ht="30" customHeight="1">
      <c r="A1360" s="6">
        <v>1358</v>
      </c>
      <c r="B1360" s="6" t="str">
        <f>"508120230424132744140722"</f>
        <v>508120230424132744140722</v>
      </c>
      <c r="C1360" s="6" t="s">
        <v>8</v>
      </c>
      <c r="D1360" s="6" t="str">
        <f>"陈礼坤"</f>
        <v>陈礼坤</v>
      </c>
    </row>
    <row r="1361" spans="1:4" ht="30" customHeight="1">
      <c r="A1361" s="6">
        <v>1359</v>
      </c>
      <c r="B1361" s="6" t="str">
        <f>"508120230422153323139388"</f>
        <v>508120230422153323139388</v>
      </c>
      <c r="C1361" s="6" t="s">
        <v>8</v>
      </c>
      <c r="D1361" s="6" t="str">
        <f>"黄宏泰"</f>
        <v>黄宏泰</v>
      </c>
    </row>
    <row r="1362" spans="1:4" ht="30" customHeight="1">
      <c r="A1362" s="6">
        <v>1360</v>
      </c>
      <c r="B1362" s="6" t="str">
        <f>"508120230421165028138875"</f>
        <v>508120230421165028138875</v>
      </c>
      <c r="C1362" s="6" t="s">
        <v>8</v>
      </c>
      <c r="D1362" s="6" t="str">
        <f>"蒋帅"</f>
        <v>蒋帅</v>
      </c>
    </row>
    <row r="1363" spans="1:4" ht="30" customHeight="1">
      <c r="A1363" s="6">
        <v>1361</v>
      </c>
      <c r="B1363" s="6" t="str">
        <f>"508120230423202232140264"</f>
        <v>508120230423202232140264</v>
      </c>
      <c r="C1363" s="6" t="s">
        <v>8</v>
      </c>
      <c r="D1363" s="6" t="str">
        <f>"黄赛"</f>
        <v>黄赛</v>
      </c>
    </row>
    <row r="1364" spans="1:4" ht="30" customHeight="1">
      <c r="A1364" s="6">
        <v>1362</v>
      </c>
      <c r="B1364" s="6" t="str">
        <f>"508120230423225320140390"</f>
        <v>508120230423225320140390</v>
      </c>
      <c r="C1364" s="6" t="s">
        <v>8</v>
      </c>
      <c r="D1364" s="6" t="str">
        <f>"邓丽筠"</f>
        <v>邓丽筠</v>
      </c>
    </row>
    <row r="1365" spans="1:4" ht="30" customHeight="1">
      <c r="A1365" s="6">
        <v>1363</v>
      </c>
      <c r="B1365" s="6" t="str">
        <f>"508120230424153316140781"</f>
        <v>508120230424153316140781</v>
      </c>
      <c r="C1365" s="6" t="s">
        <v>8</v>
      </c>
      <c r="D1365" s="6" t="str">
        <f>"陈后燕"</f>
        <v>陈后燕</v>
      </c>
    </row>
    <row r="1366" spans="1:4" ht="30" customHeight="1">
      <c r="A1366" s="6">
        <v>1364</v>
      </c>
      <c r="B1366" s="6" t="str">
        <f>"508120230424131736140716"</f>
        <v>508120230424131736140716</v>
      </c>
      <c r="C1366" s="6" t="s">
        <v>8</v>
      </c>
      <c r="D1366" s="6" t="str">
        <f>"王现"</f>
        <v>王现</v>
      </c>
    </row>
    <row r="1367" spans="1:4" ht="30" customHeight="1">
      <c r="A1367" s="6">
        <v>1365</v>
      </c>
      <c r="B1367" s="6" t="str">
        <f>"508120230424160719140814"</f>
        <v>508120230424160719140814</v>
      </c>
      <c r="C1367" s="6" t="s">
        <v>8</v>
      </c>
      <c r="D1367" s="6" t="str">
        <f>"吴源俊"</f>
        <v>吴源俊</v>
      </c>
    </row>
    <row r="1368" spans="1:4" ht="30" customHeight="1">
      <c r="A1368" s="6">
        <v>1366</v>
      </c>
      <c r="B1368" s="6" t="str">
        <f>"508120230424153645140785"</f>
        <v>508120230424153645140785</v>
      </c>
      <c r="C1368" s="6" t="s">
        <v>8</v>
      </c>
      <c r="D1368" s="6" t="str">
        <f>"吴夏珊"</f>
        <v>吴夏珊</v>
      </c>
    </row>
    <row r="1369" spans="1:4" ht="30" customHeight="1">
      <c r="A1369" s="6">
        <v>1367</v>
      </c>
      <c r="B1369" s="6" t="str">
        <f>"508120230424161213140819"</f>
        <v>508120230424161213140819</v>
      </c>
      <c r="C1369" s="6" t="s">
        <v>8</v>
      </c>
      <c r="D1369" s="6" t="str">
        <f>"李燕娣"</f>
        <v>李燕娣</v>
      </c>
    </row>
    <row r="1370" spans="1:4" ht="30" customHeight="1">
      <c r="A1370" s="6">
        <v>1368</v>
      </c>
      <c r="B1370" s="6" t="str">
        <f>"508120230424161640140823"</f>
        <v>508120230424161640140823</v>
      </c>
      <c r="C1370" s="6" t="s">
        <v>8</v>
      </c>
      <c r="D1370" s="6" t="str">
        <f>"周彰凰"</f>
        <v>周彰凰</v>
      </c>
    </row>
    <row r="1371" spans="1:4" ht="30" customHeight="1">
      <c r="A1371" s="6">
        <v>1369</v>
      </c>
      <c r="B1371" s="6" t="str">
        <f>"508120230424170043140859"</f>
        <v>508120230424170043140859</v>
      </c>
      <c r="C1371" s="6" t="s">
        <v>8</v>
      </c>
      <c r="D1371" s="6" t="str">
        <f>"柯维爽"</f>
        <v>柯维爽</v>
      </c>
    </row>
    <row r="1372" spans="1:4" ht="30" customHeight="1">
      <c r="A1372" s="6">
        <v>1370</v>
      </c>
      <c r="B1372" s="6" t="str">
        <f>"508120230424164212140846"</f>
        <v>508120230424164212140846</v>
      </c>
      <c r="C1372" s="6" t="s">
        <v>8</v>
      </c>
      <c r="D1372" s="6" t="str">
        <f>"许振群"</f>
        <v>许振群</v>
      </c>
    </row>
    <row r="1373" spans="1:4" ht="30" customHeight="1">
      <c r="A1373" s="6">
        <v>1371</v>
      </c>
      <c r="B1373" s="6" t="str">
        <f>"508120230421094120138215"</f>
        <v>508120230421094120138215</v>
      </c>
      <c r="C1373" s="6" t="s">
        <v>8</v>
      </c>
      <c r="D1373" s="6" t="str">
        <f>"廖以乐"</f>
        <v>廖以乐</v>
      </c>
    </row>
    <row r="1374" spans="1:4" ht="30" customHeight="1">
      <c r="A1374" s="6">
        <v>1372</v>
      </c>
      <c r="B1374" s="6" t="str">
        <f>"508120230424171756140874"</f>
        <v>508120230424171756140874</v>
      </c>
      <c r="C1374" s="6" t="s">
        <v>8</v>
      </c>
      <c r="D1374" s="6" t="str">
        <f>"付德敏"</f>
        <v>付德敏</v>
      </c>
    </row>
    <row r="1375" spans="1:4" ht="30" customHeight="1">
      <c r="A1375" s="6">
        <v>1373</v>
      </c>
      <c r="B1375" s="6" t="str">
        <f>"508120230424161747140824"</f>
        <v>508120230424161747140824</v>
      </c>
      <c r="C1375" s="6" t="s">
        <v>8</v>
      </c>
      <c r="D1375" s="6" t="str">
        <f>"李天录"</f>
        <v>李天录</v>
      </c>
    </row>
    <row r="1376" spans="1:4" ht="30" customHeight="1">
      <c r="A1376" s="6">
        <v>1374</v>
      </c>
      <c r="B1376" s="6" t="str">
        <f>"508120230424161834140825"</f>
        <v>508120230424161834140825</v>
      </c>
      <c r="C1376" s="6" t="s">
        <v>8</v>
      </c>
      <c r="D1376" s="6" t="str">
        <f>"黄青霞"</f>
        <v>黄青霞</v>
      </c>
    </row>
    <row r="1377" spans="1:4" ht="30" customHeight="1">
      <c r="A1377" s="6">
        <v>1375</v>
      </c>
      <c r="B1377" s="6" t="str">
        <f>"508120230421124434138581"</f>
        <v>508120230421124434138581</v>
      </c>
      <c r="C1377" s="6" t="s">
        <v>8</v>
      </c>
      <c r="D1377" s="6" t="str">
        <f>"林斌"</f>
        <v>林斌</v>
      </c>
    </row>
    <row r="1378" spans="1:4" ht="30" customHeight="1">
      <c r="A1378" s="6">
        <v>1376</v>
      </c>
      <c r="B1378" s="6" t="str">
        <f>"508120230424184109140926"</f>
        <v>508120230424184109140926</v>
      </c>
      <c r="C1378" s="6" t="s">
        <v>8</v>
      </c>
      <c r="D1378" s="6" t="str">
        <f>"符吉涛"</f>
        <v>符吉涛</v>
      </c>
    </row>
    <row r="1379" spans="1:4" ht="30" customHeight="1">
      <c r="A1379" s="6">
        <v>1377</v>
      </c>
      <c r="B1379" s="6" t="str">
        <f>"508120230424114951140666"</f>
        <v>508120230424114951140666</v>
      </c>
      <c r="C1379" s="6" t="s">
        <v>8</v>
      </c>
      <c r="D1379" s="6" t="str">
        <f>"苏杨棉"</f>
        <v>苏杨棉</v>
      </c>
    </row>
    <row r="1380" spans="1:4" ht="30" customHeight="1">
      <c r="A1380" s="6">
        <v>1378</v>
      </c>
      <c r="B1380" s="6" t="str">
        <f>"508120230424194647140958"</f>
        <v>508120230424194647140958</v>
      </c>
      <c r="C1380" s="6" t="s">
        <v>8</v>
      </c>
      <c r="D1380" s="6" t="str">
        <f>"黄良榜"</f>
        <v>黄良榜</v>
      </c>
    </row>
    <row r="1381" spans="1:4" ht="30" customHeight="1">
      <c r="A1381" s="6">
        <v>1379</v>
      </c>
      <c r="B1381" s="6" t="str">
        <f>"508120230421112022138455"</f>
        <v>508120230421112022138455</v>
      </c>
      <c r="C1381" s="6" t="s">
        <v>8</v>
      </c>
      <c r="D1381" s="6" t="str">
        <f>"马鑫"</f>
        <v>马鑫</v>
      </c>
    </row>
    <row r="1382" spans="1:4" ht="30" customHeight="1">
      <c r="A1382" s="6">
        <v>1380</v>
      </c>
      <c r="B1382" s="6" t="str">
        <f>"508120230422142256139356"</f>
        <v>508120230422142256139356</v>
      </c>
      <c r="C1382" s="6" t="s">
        <v>8</v>
      </c>
      <c r="D1382" s="6" t="str">
        <f>"林俊彦"</f>
        <v>林俊彦</v>
      </c>
    </row>
    <row r="1383" spans="1:4" ht="30" customHeight="1">
      <c r="A1383" s="6">
        <v>1381</v>
      </c>
      <c r="B1383" s="6" t="str">
        <f>"508120230421091812138147"</f>
        <v>508120230421091812138147</v>
      </c>
      <c r="C1383" s="6" t="s">
        <v>8</v>
      </c>
      <c r="D1383" s="6" t="str">
        <f>"林嘉明"</f>
        <v>林嘉明</v>
      </c>
    </row>
    <row r="1384" spans="1:4" ht="30" customHeight="1">
      <c r="A1384" s="6">
        <v>1382</v>
      </c>
      <c r="B1384" s="6" t="str">
        <f>"508120230424165517140857"</f>
        <v>508120230424165517140857</v>
      </c>
      <c r="C1384" s="6" t="s">
        <v>8</v>
      </c>
      <c r="D1384" s="6" t="str">
        <f>"黄盈盈"</f>
        <v>黄盈盈</v>
      </c>
    </row>
    <row r="1385" spans="1:4" ht="30" customHeight="1">
      <c r="A1385" s="6">
        <v>1383</v>
      </c>
      <c r="B1385" s="6" t="str">
        <f>"508120230423134658139965"</f>
        <v>508120230423134658139965</v>
      </c>
      <c r="C1385" s="6" t="s">
        <v>8</v>
      </c>
      <c r="D1385" s="6" t="str">
        <f>"孙庭伦"</f>
        <v>孙庭伦</v>
      </c>
    </row>
    <row r="1386" spans="1:4" ht="30" customHeight="1">
      <c r="A1386" s="6">
        <v>1384</v>
      </c>
      <c r="B1386" s="6" t="str">
        <f>"508120230423194448140234"</f>
        <v>508120230423194448140234</v>
      </c>
      <c r="C1386" s="6" t="s">
        <v>8</v>
      </c>
      <c r="D1386" s="6" t="str">
        <f>"徐铭"</f>
        <v>徐铭</v>
      </c>
    </row>
    <row r="1387" spans="1:4" ht="30" customHeight="1">
      <c r="A1387" s="6">
        <v>1385</v>
      </c>
      <c r="B1387" s="6" t="str">
        <f>"508120230423093500139773"</f>
        <v>508120230423093500139773</v>
      </c>
      <c r="C1387" s="6" t="s">
        <v>8</v>
      </c>
      <c r="D1387" s="6" t="str">
        <f>"郭泓强"</f>
        <v>郭泓强</v>
      </c>
    </row>
    <row r="1388" spans="1:4" ht="30" customHeight="1">
      <c r="A1388" s="6">
        <v>1386</v>
      </c>
      <c r="B1388" s="6" t="str">
        <f>"508120230423173145140161"</f>
        <v>508120230423173145140161</v>
      </c>
      <c r="C1388" s="6" t="s">
        <v>8</v>
      </c>
      <c r="D1388" s="6" t="str">
        <f>"吴英武"</f>
        <v>吴英武</v>
      </c>
    </row>
    <row r="1389" spans="1:4" ht="30" customHeight="1">
      <c r="A1389" s="6">
        <v>1387</v>
      </c>
      <c r="B1389" s="6" t="str">
        <f>"508120230424235254141120"</f>
        <v>508120230424235254141120</v>
      </c>
      <c r="C1389" s="6" t="s">
        <v>8</v>
      </c>
      <c r="D1389" s="6" t="str">
        <f>"林世叶"</f>
        <v>林世叶</v>
      </c>
    </row>
    <row r="1390" spans="1:4" ht="30" customHeight="1">
      <c r="A1390" s="6">
        <v>1388</v>
      </c>
      <c r="B1390" s="6" t="str">
        <f>"508120230424234935141117"</f>
        <v>508120230424234935141117</v>
      </c>
      <c r="C1390" s="6" t="s">
        <v>8</v>
      </c>
      <c r="D1390" s="6" t="str">
        <f>"唐仁"</f>
        <v>唐仁</v>
      </c>
    </row>
    <row r="1391" spans="1:4" ht="30" customHeight="1">
      <c r="A1391" s="6">
        <v>1389</v>
      </c>
      <c r="B1391" s="6" t="str">
        <f>"508120230424104541140607"</f>
        <v>508120230424104541140607</v>
      </c>
      <c r="C1391" s="6" t="s">
        <v>8</v>
      </c>
      <c r="D1391" s="6" t="str">
        <f>"许燕芬"</f>
        <v>许燕芬</v>
      </c>
    </row>
    <row r="1392" spans="1:4" ht="30" customHeight="1">
      <c r="A1392" s="6">
        <v>1390</v>
      </c>
      <c r="B1392" s="6" t="str">
        <f>"508120230425102810141217"</f>
        <v>508120230425102810141217</v>
      </c>
      <c r="C1392" s="6" t="s">
        <v>8</v>
      </c>
      <c r="D1392" s="6" t="str">
        <f>"符清源"</f>
        <v>符清源</v>
      </c>
    </row>
    <row r="1393" spans="1:4" ht="30" customHeight="1">
      <c r="A1393" s="6">
        <v>1391</v>
      </c>
      <c r="B1393" s="6" t="str">
        <f>"508120230425103322141222"</f>
        <v>508120230425103322141222</v>
      </c>
      <c r="C1393" s="6" t="s">
        <v>8</v>
      </c>
      <c r="D1393" s="6" t="str">
        <f>"殷朝辉"</f>
        <v>殷朝辉</v>
      </c>
    </row>
    <row r="1394" spans="1:4" ht="30" customHeight="1">
      <c r="A1394" s="6">
        <v>1392</v>
      </c>
      <c r="B1394" s="6" t="str">
        <f>"508120230424153348140782"</f>
        <v>508120230424153348140782</v>
      </c>
      <c r="C1394" s="6" t="s">
        <v>8</v>
      </c>
      <c r="D1394" s="6" t="str">
        <f>"于洋"</f>
        <v>于洋</v>
      </c>
    </row>
    <row r="1395" spans="1:4" ht="30" customHeight="1">
      <c r="A1395" s="6">
        <v>1393</v>
      </c>
      <c r="B1395" s="6" t="str">
        <f>"508120230422124602139311"</f>
        <v>508120230422124602139311</v>
      </c>
      <c r="C1395" s="6" t="s">
        <v>8</v>
      </c>
      <c r="D1395" s="6" t="str">
        <f>"李道悦"</f>
        <v>李道悦</v>
      </c>
    </row>
    <row r="1396" spans="1:4" ht="30" customHeight="1">
      <c r="A1396" s="6">
        <v>1394</v>
      </c>
      <c r="B1396" s="6" t="str">
        <f>"508120230424103727140599"</f>
        <v>508120230424103727140599</v>
      </c>
      <c r="C1396" s="6" t="s">
        <v>8</v>
      </c>
      <c r="D1396" s="6" t="str">
        <f>"王萍"</f>
        <v>王萍</v>
      </c>
    </row>
    <row r="1397" spans="1:4" ht="30" customHeight="1">
      <c r="A1397" s="6">
        <v>1395</v>
      </c>
      <c r="B1397" s="6" t="str">
        <f>"508120230421122830138565"</f>
        <v>508120230421122830138565</v>
      </c>
      <c r="C1397" s="6" t="s">
        <v>8</v>
      </c>
      <c r="D1397" s="6" t="str">
        <f>"吴毓翔"</f>
        <v>吴毓翔</v>
      </c>
    </row>
    <row r="1398" spans="1:4" ht="30" customHeight="1">
      <c r="A1398" s="6">
        <v>1396</v>
      </c>
      <c r="B1398" s="6" t="str">
        <f>"508120230425095759141198"</f>
        <v>508120230425095759141198</v>
      </c>
      <c r="C1398" s="6" t="s">
        <v>8</v>
      </c>
      <c r="D1398" s="6" t="str">
        <f>"韦克"</f>
        <v>韦克</v>
      </c>
    </row>
    <row r="1399" spans="1:4" ht="30" customHeight="1">
      <c r="A1399" s="6">
        <v>1397</v>
      </c>
      <c r="B1399" s="6" t="str">
        <f>"508120230425115217141294"</f>
        <v>508120230425115217141294</v>
      </c>
      <c r="C1399" s="6" t="s">
        <v>8</v>
      </c>
      <c r="D1399" s="6" t="str">
        <f>"郑树桐"</f>
        <v>郑树桐</v>
      </c>
    </row>
    <row r="1400" spans="1:4" ht="30" customHeight="1">
      <c r="A1400" s="6">
        <v>1398</v>
      </c>
      <c r="B1400" s="6" t="str">
        <f>"508120230423215750140350"</f>
        <v>508120230423215750140350</v>
      </c>
      <c r="C1400" s="6" t="s">
        <v>8</v>
      </c>
      <c r="D1400" s="6" t="str">
        <f>"谢浩义"</f>
        <v>谢浩义</v>
      </c>
    </row>
    <row r="1401" spans="1:4" ht="30" customHeight="1">
      <c r="A1401" s="6">
        <v>1399</v>
      </c>
      <c r="B1401" s="6" t="str">
        <f>"508120230423092314139755"</f>
        <v>508120230423092314139755</v>
      </c>
      <c r="C1401" s="6" t="s">
        <v>8</v>
      </c>
      <c r="D1401" s="6" t="str">
        <f>"符志官"</f>
        <v>符志官</v>
      </c>
    </row>
    <row r="1402" spans="1:4" ht="30" customHeight="1">
      <c r="A1402" s="6">
        <v>1400</v>
      </c>
      <c r="B1402" s="6" t="str">
        <f>"508120230423171957140155"</f>
        <v>508120230423171957140155</v>
      </c>
      <c r="C1402" s="6" t="s">
        <v>8</v>
      </c>
      <c r="D1402" s="6" t="str">
        <f>"邢辉"</f>
        <v>邢辉</v>
      </c>
    </row>
    <row r="1403" spans="1:4" ht="30" customHeight="1">
      <c r="A1403" s="6">
        <v>1401</v>
      </c>
      <c r="B1403" s="6" t="str">
        <f>"508120230425114643141292"</f>
        <v>508120230425114643141292</v>
      </c>
      <c r="C1403" s="6" t="s">
        <v>8</v>
      </c>
      <c r="D1403" s="6" t="str">
        <f>"孙贵龙"</f>
        <v>孙贵龙</v>
      </c>
    </row>
    <row r="1404" spans="1:4" ht="30" customHeight="1">
      <c r="A1404" s="6">
        <v>1402</v>
      </c>
      <c r="B1404" s="6" t="str">
        <f>"508120230425151652141376"</f>
        <v>508120230425151652141376</v>
      </c>
      <c r="C1404" s="6" t="s">
        <v>8</v>
      </c>
      <c r="D1404" s="6" t="str">
        <f>"赵雯祺"</f>
        <v>赵雯祺</v>
      </c>
    </row>
    <row r="1405" spans="1:4" ht="30" customHeight="1">
      <c r="A1405" s="6">
        <v>1403</v>
      </c>
      <c r="B1405" s="6" t="str">
        <f>"508120230424171653140873"</f>
        <v>508120230424171653140873</v>
      </c>
      <c r="C1405" s="6" t="s">
        <v>8</v>
      </c>
      <c r="D1405" s="6" t="str">
        <f>"刘顺利"</f>
        <v>刘顺利</v>
      </c>
    </row>
    <row r="1406" spans="1:4" ht="30" customHeight="1">
      <c r="A1406" s="6">
        <v>1404</v>
      </c>
      <c r="B1406" s="6" t="str">
        <f>"508120230422142842139359"</f>
        <v>508120230422142842139359</v>
      </c>
      <c r="C1406" s="6" t="s">
        <v>8</v>
      </c>
      <c r="D1406" s="6" t="str">
        <f>"赵宗颂"</f>
        <v>赵宗颂</v>
      </c>
    </row>
    <row r="1407" spans="1:4" ht="30" customHeight="1">
      <c r="A1407" s="6">
        <v>1405</v>
      </c>
      <c r="B1407" s="6" t="str">
        <f>"508120230425164403141444"</f>
        <v>508120230425164403141444</v>
      </c>
      <c r="C1407" s="6" t="s">
        <v>8</v>
      </c>
      <c r="D1407" s="6" t="str">
        <f>"羊翊鑫"</f>
        <v>羊翊鑫</v>
      </c>
    </row>
    <row r="1408" spans="1:4" ht="30" customHeight="1">
      <c r="A1408" s="6">
        <v>1406</v>
      </c>
      <c r="B1408" s="6" t="str">
        <f>"508120230425170903141461"</f>
        <v>508120230425170903141461</v>
      </c>
      <c r="C1408" s="6" t="s">
        <v>8</v>
      </c>
      <c r="D1408" s="6" t="str">
        <f>"吴华"</f>
        <v>吴华</v>
      </c>
    </row>
    <row r="1409" spans="1:4" ht="30" customHeight="1">
      <c r="A1409" s="6">
        <v>1407</v>
      </c>
      <c r="B1409" s="6" t="str">
        <f>"508120230425164658141447"</f>
        <v>508120230425164658141447</v>
      </c>
      <c r="C1409" s="6" t="s">
        <v>8</v>
      </c>
      <c r="D1409" s="6" t="str">
        <f>"卞在成"</f>
        <v>卞在成</v>
      </c>
    </row>
    <row r="1410" spans="1:4" ht="30" customHeight="1">
      <c r="A1410" s="6">
        <v>1408</v>
      </c>
      <c r="B1410" s="6" t="str">
        <f>"508120230425173421141476"</f>
        <v>508120230425173421141476</v>
      </c>
      <c r="C1410" s="6" t="s">
        <v>8</v>
      </c>
      <c r="D1410" s="6" t="str">
        <f>"沈诗立"</f>
        <v>沈诗立</v>
      </c>
    </row>
    <row r="1411" spans="1:4" ht="30" customHeight="1">
      <c r="A1411" s="6">
        <v>1409</v>
      </c>
      <c r="B1411" s="6" t="str">
        <f>"508120230425175856141490"</f>
        <v>508120230425175856141490</v>
      </c>
      <c r="C1411" s="6" t="s">
        <v>8</v>
      </c>
      <c r="D1411" s="6" t="str">
        <f>"孟凡凯"</f>
        <v>孟凡凯</v>
      </c>
    </row>
    <row r="1412" spans="1:4" ht="30" customHeight="1">
      <c r="A1412" s="6">
        <v>1410</v>
      </c>
      <c r="B1412" s="6" t="str">
        <f>"508120230423214842140339"</f>
        <v>508120230423214842140339</v>
      </c>
      <c r="C1412" s="6" t="s">
        <v>8</v>
      </c>
      <c r="D1412" s="6" t="str">
        <f>"李美星"</f>
        <v>李美星</v>
      </c>
    </row>
    <row r="1413" spans="1:4" ht="30" customHeight="1">
      <c r="A1413" s="6">
        <v>1411</v>
      </c>
      <c r="B1413" s="6" t="str">
        <f>"508120230425190758141522"</f>
        <v>508120230425190758141522</v>
      </c>
      <c r="C1413" s="6" t="s">
        <v>8</v>
      </c>
      <c r="D1413" s="6" t="str">
        <f>"黄小岸"</f>
        <v>黄小岸</v>
      </c>
    </row>
    <row r="1414" spans="1:4" ht="30" customHeight="1">
      <c r="A1414" s="6">
        <v>1412</v>
      </c>
      <c r="B1414" s="6" t="str">
        <f>"508120230425164519141446"</f>
        <v>508120230425164519141446</v>
      </c>
      <c r="C1414" s="6" t="s">
        <v>8</v>
      </c>
      <c r="D1414" s="6" t="str">
        <f>"高宇"</f>
        <v>高宇</v>
      </c>
    </row>
    <row r="1415" spans="1:4" ht="30" customHeight="1">
      <c r="A1415" s="6">
        <v>1413</v>
      </c>
      <c r="B1415" s="6" t="str">
        <f>"508120230425184156141513"</f>
        <v>508120230425184156141513</v>
      </c>
      <c r="C1415" s="6" t="s">
        <v>8</v>
      </c>
      <c r="D1415" s="6" t="str">
        <f>"邱程"</f>
        <v>邱程</v>
      </c>
    </row>
    <row r="1416" spans="1:4" ht="30" customHeight="1">
      <c r="A1416" s="6">
        <v>1414</v>
      </c>
      <c r="B1416" s="6" t="str">
        <f>"508120230425123014141315"</f>
        <v>508120230425123014141315</v>
      </c>
      <c r="C1416" s="6" t="s">
        <v>8</v>
      </c>
      <c r="D1416" s="6" t="str">
        <f>"石明玉"</f>
        <v>石明玉</v>
      </c>
    </row>
    <row r="1417" spans="1:4" ht="30" customHeight="1">
      <c r="A1417" s="6">
        <v>1415</v>
      </c>
      <c r="B1417" s="6" t="str">
        <f>"508120230425160754141416"</f>
        <v>508120230425160754141416</v>
      </c>
      <c r="C1417" s="6" t="s">
        <v>8</v>
      </c>
      <c r="D1417" s="6" t="str">
        <f>"黄飞虎"</f>
        <v>黄飞虎</v>
      </c>
    </row>
    <row r="1418" spans="1:4" ht="30" customHeight="1">
      <c r="A1418" s="6">
        <v>1416</v>
      </c>
      <c r="B1418" s="6" t="str">
        <f>"508120230423163723140117"</f>
        <v>508120230423163723140117</v>
      </c>
      <c r="C1418" s="6" t="s">
        <v>8</v>
      </c>
      <c r="D1418" s="6" t="str">
        <f>"陈荣春"</f>
        <v>陈荣春</v>
      </c>
    </row>
    <row r="1419" spans="1:4" ht="30" customHeight="1">
      <c r="A1419" s="6">
        <v>1417</v>
      </c>
      <c r="B1419" s="6" t="str">
        <f>"508120230425201514141549"</f>
        <v>508120230425201514141549</v>
      </c>
      <c r="C1419" s="6" t="s">
        <v>8</v>
      </c>
      <c r="D1419" s="6" t="str">
        <f>"邱泉文"</f>
        <v>邱泉文</v>
      </c>
    </row>
    <row r="1420" spans="1:4" ht="30" customHeight="1">
      <c r="A1420" s="6">
        <v>1418</v>
      </c>
      <c r="B1420" s="6" t="str">
        <f>"508120230425210022141567"</f>
        <v>508120230425210022141567</v>
      </c>
      <c r="C1420" s="6" t="s">
        <v>8</v>
      </c>
      <c r="D1420" s="6" t="str">
        <f>"冯文志"</f>
        <v>冯文志</v>
      </c>
    </row>
    <row r="1421" spans="1:4" ht="30" customHeight="1">
      <c r="A1421" s="6">
        <v>1419</v>
      </c>
      <c r="B1421" s="6" t="str">
        <f>"508120230425212131141586"</f>
        <v>508120230425212131141586</v>
      </c>
      <c r="C1421" s="6" t="s">
        <v>8</v>
      </c>
      <c r="D1421" s="6" t="str">
        <f>"陈高民"</f>
        <v>陈高民</v>
      </c>
    </row>
    <row r="1422" spans="1:4" ht="30" customHeight="1">
      <c r="A1422" s="6">
        <v>1420</v>
      </c>
      <c r="B1422" s="6" t="str">
        <f>"508120230425213704141597"</f>
        <v>508120230425213704141597</v>
      </c>
      <c r="C1422" s="6" t="s">
        <v>8</v>
      </c>
      <c r="D1422" s="6" t="str">
        <f>"黎斌"</f>
        <v>黎斌</v>
      </c>
    </row>
    <row r="1423" spans="1:4" ht="30" customHeight="1">
      <c r="A1423" s="6">
        <v>1421</v>
      </c>
      <c r="B1423" s="6" t="str">
        <f>"508120230425205202141560"</f>
        <v>508120230425205202141560</v>
      </c>
      <c r="C1423" s="6" t="s">
        <v>8</v>
      </c>
      <c r="D1423" s="6" t="str">
        <f>"卢开飞"</f>
        <v>卢开飞</v>
      </c>
    </row>
    <row r="1424" spans="1:4" ht="30" customHeight="1">
      <c r="A1424" s="6">
        <v>1422</v>
      </c>
      <c r="B1424" s="6" t="str">
        <f>"508120230421222117139107"</f>
        <v>508120230421222117139107</v>
      </c>
      <c r="C1424" s="6" t="s">
        <v>8</v>
      </c>
      <c r="D1424" s="6" t="str">
        <f>"官瑞杰"</f>
        <v>官瑞杰</v>
      </c>
    </row>
    <row r="1425" spans="1:4" ht="30" customHeight="1">
      <c r="A1425" s="6">
        <v>1423</v>
      </c>
      <c r="B1425" s="6" t="str">
        <f>"508120230425225644141649"</f>
        <v>508120230425225644141649</v>
      </c>
      <c r="C1425" s="6" t="s">
        <v>8</v>
      </c>
      <c r="D1425" s="6" t="str">
        <f>"文娉婷"</f>
        <v>文娉婷</v>
      </c>
    </row>
    <row r="1426" spans="1:4" ht="30" customHeight="1">
      <c r="A1426" s="6">
        <v>1424</v>
      </c>
      <c r="B1426" s="6" t="str">
        <f>"508120230424081535140451"</f>
        <v>508120230424081535140451</v>
      </c>
      <c r="C1426" s="6" t="s">
        <v>8</v>
      </c>
      <c r="D1426" s="6" t="str">
        <f>"李昌和"</f>
        <v>李昌和</v>
      </c>
    </row>
    <row r="1427" spans="1:4" ht="30" customHeight="1">
      <c r="A1427" s="6">
        <v>1425</v>
      </c>
      <c r="B1427" s="6" t="str">
        <f>"508120230426000606141677"</f>
        <v>508120230426000606141677</v>
      </c>
      <c r="C1427" s="6" t="s">
        <v>8</v>
      </c>
      <c r="D1427" s="6" t="str">
        <f>"郑春伟"</f>
        <v>郑春伟</v>
      </c>
    </row>
    <row r="1428" spans="1:4" ht="30" customHeight="1">
      <c r="A1428" s="6">
        <v>1426</v>
      </c>
      <c r="B1428" s="6" t="str">
        <f>"508120230425102833141218"</f>
        <v>508120230425102833141218</v>
      </c>
      <c r="C1428" s="6" t="s">
        <v>8</v>
      </c>
      <c r="D1428" s="6" t="str">
        <f>"文婷"</f>
        <v>文婷</v>
      </c>
    </row>
    <row r="1429" spans="1:4" ht="30" customHeight="1">
      <c r="A1429" s="6">
        <v>1427</v>
      </c>
      <c r="B1429" s="6" t="str">
        <f>"508120230423111014139874"</f>
        <v>508120230423111014139874</v>
      </c>
      <c r="C1429" s="6" t="s">
        <v>8</v>
      </c>
      <c r="D1429" s="6" t="str">
        <f>"李懿轩"</f>
        <v>李懿轩</v>
      </c>
    </row>
    <row r="1430" spans="1:4" ht="30" customHeight="1">
      <c r="A1430" s="6">
        <v>1428</v>
      </c>
      <c r="B1430" s="6" t="str">
        <f>"508120230425141046141336"</f>
        <v>508120230425141046141336</v>
      </c>
      <c r="C1430" s="6" t="s">
        <v>8</v>
      </c>
      <c r="D1430" s="6" t="str">
        <f>"刘大卫"</f>
        <v>刘大卫</v>
      </c>
    </row>
    <row r="1431" spans="1:4" ht="30" customHeight="1">
      <c r="A1431" s="6">
        <v>1429</v>
      </c>
      <c r="B1431" s="6" t="str">
        <f>"508120230423210218140299"</f>
        <v>508120230423210218140299</v>
      </c>
      <c r="C1431" s="6" t="s">
        <v>8</v>
      </c>
      <c r="D1431" s="6" t="str">
        <f>"杨敏笙"</f>
        <v>杨敏笙</v>
      </c>
    </row>
    <row r="1432" spans="1:4" ht="30" customHeight="1">
      <c r="A1432" s="6">
        <v>1430</v>
      </c>
      <c r="B1432" s="6" t="str">
        <f>"508120230426111033141801"</f>
        <v>508120230426111033141801</v>
      </c>
      <c r="C1432" s="6" t="s">
        <v>8</v>
      </c>
      <c r="D1432" s="6" t="str">
        <f>"梁日带"</f>
        <v>梁日带</v>
      </c>
    </row>
    <row r="1433" spans="1:4" ht="30" customHeight="1">
      <c r="A1433" s="6">
        <v>1431</v>
      </c>
      <c r="B1433" s="6" t="str">
        <f>"508120230426114636141824"</f>
        <v>508120230426114636141824</v>
      </c>
      <c r="C1433" s="6" t="s">
        <v>8</v>
      </c>
      <c r="D1433" s="6" t="str">
        <f>"周仙敏"</f>
        <v>周仙敏</v>
      </c>
    </row>
    <row r="1434" spans="1:4" ht="30" customHeight="1">
      <c r="A1434" s="6">
        <v>1432</v>
      </c>
      <c r="B1434" s="6" t="str">
        <f>"508120230422173715139453"</f>
        <v>508120230422173715139453</v>
      </c>
      <c r="C1434" s="6" t="s">
        <v>8</v>
      </c>
      <c r="D1434" s="6" t="str">
        <f>"胡凡"</f>
        <v>胡凡</v>
      </c>
    </row>
    <row r="1435" spans="1:4" ht="30" customHeight="1">
      <c r="A1435" s="6">
        <v>1433</v>
      </c>
      <c r="B1435" s="6" t="str">
        <f>"508120230426130204141859"</f>
        <v>508120230426130204141859</v>
      </c>
      <c r="C1435" s="6" t="s">
        <v>8</v>
      </c>
      <c r="D1435" s="6" t="str">
        <f>"劳一鸣"</f>
        <v>劳一鸣</v>
      </c>
    </row>
    <row r="1436" spans="1:4" ht="30" customHeight="1">
      <c r="A1436" s="6">
        <v>1434</v>
      </c>
      <c r="B1436" s="6" t="str">
        <f>"508120230426131038141861"</f>
        <v>508120230426131038141861</v>
      </c>
      <c r="C1436" s="6" t="s">
        <v>8</v>
      </c>
      <c r="D1436" s="6" t="str">
        <f>"邹崇彬"</f>
        <v>邹崇彬</v>
      </c>
    </row>
    <row r="1437" spans="1:4" ht="30" customHeight="1">
      <c r="A1437" s="6">
        <v>1435</v>
      </c>
      <c r="B1437" s="6" t="str">
        <f>"508120230426134101141876"</f>
        <v>508120230426134101141876</v>
      </c>
      <c r="C1437" s="6" t="s">
        <v>8</v>
      </c>
      <c r="D1437" s="6" t="str">
        <f>"林秀"</f>
        <v>林秀</v>
      </c>
    </row>
    <row r="1438" spans="1:4" ht="30" customHeight="1">
      <c r="A1438" s="6">
        <v>1436</v>
      </c>
      <c r="B1438" s="6" t="str">
        <f>"508120230426143902141894"</f>
        <v>508120230426143902141894</v>
      </c>
      <c r="C1438" s="6" t="s">
        <v>8</v>
      </c>
      <c r="D1438" s="6" t="str">
        <f>"周鑫"</f>
        <v>周鑫</v>
      </c>
    </row>
    <row r="1439" spans="1:4" ht="30" customHeight="1">
      <c r="A1439" s="6">
        <v>1437</v>
      </c>
      <c r="B1439" s="6" t="str">
        <f>"508120230421162733138849"</f>
        <v>508120230421162733138849</v>
      </c>
      <c r="C1439" s="6" t="s">
        <v>8</v>
      </c>
      <c r="D1439" s="6" t="str">
        <f>"王滋琪"</f>
        <v>王滋琪</v>
      </c>
    </row>
    <row r="1440" spans="1:4" ht="30" customHeight="1">
      <c r="A1440" s="6">
        <v>1438</v>
      </c>
      <c r="B1440" s="6" t="str">
        <f>"508120230425230453141653"</f>
        <v>508120230425230453141653</v>
      </c>
      <c r="C1440" s="6" t="s">
        <v>8</v>
      </c>
      <c r="D1440" s="6" t="str">
        <f>"陈桂厚"</f>
        <v>陈桂厚</v>
      </c>
    </row>
    <row r="1441" spans="1:4" ht="30" customHeight="1">
      <c r="A1441" s="6">
        <v>1439</v>
      </c>
      <c r="B1441" s="6" t="str">
        <f>"508120230421165319138879"</f>
        <v>508120230421165319138879</v>
      </c>
      <c r="C1441" s="6" t="s">
        <v>8</v>
      </c>
      <c r="D1441" s="6" t="str">
        <f>"李超凡"</f>
        <v>李超凡</v>
      </c>
    </row>
    <row r="1442" spans="1:4" ht="30" customHeight="1">
      <c r="A1442" s="6">
        <v>1440</v>
      </c>
      <c r="B1442" s="6" t="str">
        <f>"508120230421213957139085"</f>
        <v>508120230421213957139085</v>
      </c>
      <c r="C1442" s="6" t="s">
        <v>8</v>
      </c>
      <c r="D1442" s="6" t="str">
        <f>"王启哲"</f>
        <v>王启哲</v>
      </c>
    </row>
    <row r="1443" spans="1:4" ht="30" customHeight="1">
      <c r="A1443" s="6">
        <v>1441</v>
      </c>
      <c r="B1443" s="6" t="str">
        <f>"508120230426095826141751"</f>
        <v>508120230426095826141751</v>
      </c>
      <c r="C1443" s="6" t="s">
        <v>8</v>
      </c>
      <c r="D1443" s="6" t="str">
        <f>"关义杰"</f>
        <v>关义杰</v>
      </c>
    </row>
    <row r="1444" spans="1:4" ht="30" customHeight="1">
      <c r="A1444" s="6">
        <v>1442</v>
      </c>
      <c r="B1444" s="6" t="str">
        <f>"508120230426131345141864"</f>
        <v>508120230426131345141864</v>
      </c>
      <c r="C1444" s="6" t="s">
        <v>8</v>
      </c>
      <c r="D1444" s="6" t="str">
        <f>"莫惠洁"</f>
        <v>莫惠洁</v>
      </c>
    </row>
    <row r="1445" spans="1:4" ht="30" customHeight="1">
      <c r="A1445" s="6">
        <v>1443</v>
      </c>
      <c r="B1445" s="6" t="str">
        <f>"508120230426171352142035"</f>
        <v>508120230426171352142035</v>
      </c>
      <c r="C1445" s="6" t="s">
        <v>8</v>
      </c>
      <c r="D1445" s="6" t="str">
        <f>"谢人为"</f>
        <v>谢人为</v>
      </c>
    </row>
    <row r="1446" spans="1:4" ht="30" customHeight="1">
      <c r="A1446" s="6">
        <v>1444</v>
      </c>
      <c r="B1446" s="6" t="str">
        <f>"508120230426172754142045"</f>
        <v>508120230426172754142045</v>
      </c>
      <c r="C1446" s="6" t="s">
        <v>8</v>
      </c>
      <c r="D1446" s="6" t="str">
        <f>"李燕君"</f>
        <v>李燕君</v>
      </c>
    </row>
    <row r="1447" spans="1:4" ht="30" customHeight="1">
      <c r="A1447" s="6">
        <v>1445</v>
      </c>
      <c r="B1447" s="6" t="str">
        <f>"508120230426181717142074"</f>
        <v>508120230426181717142074</v>
      </c>
      <c r="C1447" s="6" t="s">
        <v>8</v>
      </c>
      <c r="D1447" s="6" t="str">
        <f>"康霞"</f>
        <v>康霞</v>
      </c>
    </row>
    <row r="1448" spans="1:4" ht="30" customHeight="1">
      <c r="A1448" s="6">
        <v>1446</v>
      </c>
      <c r="B1448" s="6" t="str">
        <f>"508120230421205709139066"</f>
        <v>508120230421205709139066</v>
      </c>
      <c r="C1448" s="6" t="s">
        <v>8</v>
      </c>
      <c r="D1448" s="6" t="str">
        <f>"梁元"</f>
        <v>梁元</v>
      </c>
    </row>
    <row r="1449" spans="1:4" ht="30" customHeight="1">
      <c r="A1449" s="6">
        <v>1447</v>
      </c>
      <c r="B1449" s="6" t="str">
        <f>"508120230426174008142054"</f>
        <v>508120230426174008142054</v>
      </c>
      <c r="C1449" s="6" t="s">
        <v>8</v>
      </c>
      <c r="D1449" s="6" t="str">
        <f>"沈廷仲"</f>
        <v>沈廷仲</v>
      </c>
    </row>
    <row r="1450" spans="1:4" ht="30" customHeight="1">
      <c r="A1450" s="6">
        <v>1448</v>
      </c>
      <c r="B1450" s="6" t="str">
        <f>"508120230425214615141602"</f>
        <v>508120230425214615141602</v>
      </c>
      <c r="C1450" s="6" t="s">
        <v>8</v>
      </c>
      <c r="D1450" s="6" t="str">
        <f>"王鸿禄"</f>
        <v>王鸿禄</v>
      </c>
    </row>
    <row r="1451" spans="1:4" ht="30" customHeight="1">
      <c r="A1451" s="6">
        <v>1449</v>
      </c>
      <c r="B1451" s="6" t="str">
        <f>"508120230426172806142046"</f>
        <v>508120230426172806142046</v>
      </c>
      <c r="C1451" s="6" t="s">
        <v>8</v>
      </c>
      <c r="D1451" s="6" t="str">
        <f>"陈忠秀"</f>
        <v>陈忠秀</v>
      </c>
    </row>
    <row r="1452" spans="1:4" ht="30" customHeight="1">
      <c r="A1452" s="6">
        <v>1450</v>
      </c>
      <c r="B1452" s="6" t="str">
        <f>"508120230425163503141437"</f>
        <v>508120230425163503141437</v>
      </c>
      <c r="C1452" s="6" t="s">
        <v>8</v>
      </c>
      <c r="D1452" s="6" t="str">
        <f>"林大伟"</f>
        <v>林大伟</v>
      </c>
    </row>
    <row r="1453" spans="1:4" ht="30" customHeight="1">
      <c r="A1453" s="6">
        <v>1451</v>
      </c>
      <c r="B1453" s="6" t="str">
        <f>"508120230426202758142156"</f>
        <v>508120230426202758142156</v>
      </c>
      <c r="C1453" s="6" t="s">
        <v>8</v>
      </c>
      <c r="D1453" s="6" t="str">
        <f>"秦丽冰"</f>
        <v>秦丽冰</v>
      </c>
    </row>
    <row r="1454" spans="1:4" ht="30" customHeight="1">
      <c r="A1454" s="6">
        <v>1452</v>
      </c>
      <c r="B1454" s="6" t="str">
        <f>"508120230424113553140653"</f>
        <v>508120230424113553140653</v>
      </c>
      <c r="C1454" s="6" t="s">
        <v>8</v>
      </c>
      <c r="D1454" s="6" t="str">
        <f>"邢孔体"</f>
        <v>邢孔体</v>
      </c>
    </row>
    <row r="1455" spans="1:4" ht="30" customHeight="1">
      <c r="A1455" s="6">
        <v>1453</v>
      </c>
      <c r="B1455" s="6" t="str">
        <f>"508120230425224047141639"</f>
        <v>508120230425224047141639</v>
      </c>
      <c r="C1455" s="6" t="s">
        <v>8</v>
      </c>
      <c r="D1455" s="6" t="str">
        <f>"殷东"</f>
        <v>殷东</v>
      </c>
    </row>
    <row r="1456" spans="1:4" ht="30" customHeight="1">
      <c r="A1456" s="6">
        <v>1454</v>
      </c>
      <c r="B1456" s="6" t="str">
        <f>"508120230422160115139403"</f>
        <v>508120230422160115139403</v>
      </c>
      <c r="C1456" s="6" t="s">
        <v>8</v>
      </c>
      <c r="D1456" s="6" t="str">
        <f>"洪亚娇"</f>
        <v>洪亚娇</v>
      </c>
    </row>
    <row r="1457" spans="1:4" ht="30" customHeight="1">
      <c r="A1457" s="6">
        <v>1455</v>
      </c>
      <c r="B1457" s="6" t="str">
        <f>"508120230424165231140853"</f>
        <v>508120230424165231140853</v>
      </c>
      <c r="C1457" s="6" t="s">
        <v>8</v>
      </c>
      <c r="D1457" s="6" t="str">
        <f>"李元"</f>
        <v>李元</v>
      </c>
    </row>
    <row r="1458" spans="1:4" ht="30" customHeight="1">
      <c r="A1458" s="6">
        <v>1456</v>
      </c>
      <c r="B1458" s="6" t="str">
        <f>"508120230426221829142243"</f>
        <v>508120230426221829142243</v>
      </c>
      <c r="C1458" s="6" t="s">
        <v>8</v>
      </c>
      <c r="D1458" s="6" t="str">
        <f>"冯所杰"</f>
        <v>冯所杰</v>
      </c>
    </row>
    <row r="1459" spans="1:4" ht="30" customHeight="1">
      <c r="A1459" s="6">
        <v>1457</v>
      </c>
      <c r="B1459" s="6" t="str">
        <f>"508120230421221547139102"</f>
        <v>508120230421221547139102</v>
      </c>
      <c r="C1459" s="6" t="s">
        <v>8</v>
      </c>
      <c r="D1459" s="6" t="str">
        <f>"何受军"</f>
        <v>何受军</v>
      </c>
    </row>
    <row r="1460" spans="1:4" ht="30" customHeight="1">
      <c r="A1460" s="6">
        <v>1458</v>
      </c>
      <c r="B1460" s="6" t="str">
        <f>"508120230425221050141621"</f>
        <v>508120230425221050141621</v>
      </c>
      <c r="C1460" s="6" t="s">
        <v>8</v>
      </c>
      <c r="D1460" s="6" t="str">
        <f>"马铭洋"</f>
        <v>马铭洋</v>
      </c>
    </row>
    <row r="1461" spans="1:4" ht="30" customHeight="1">
      <c r="A1461" s="6">
        <v>1459</v>
      </c>
      <c r="B1461" s="6" t="str">
        <f>"508120230426223652142263"</f>
        <v>508120230426223652142263</v>
      </c>
      <c r="C1461" s="6" t="s">
        <v>8</v>
      </c>
      <c r="D1461" s="6" t="str">
        <f>"黄愉"</f>
        <v>黄愉</v>
      </c>
    </row>
    <row r="1462" spans="1:4" ht="30" customHeight="1">
      <c r="A1462" s="6">
        <v>1460</v>
      </c>
      <c r="B1462" s="6" t="str">
        <f>"508120230426224835142273"</f>
        <v>508120230426224835142273</v>
      </c>
      <c r="C1462" s="6" t="s">
        <v>8</v>
      </c>
      <c r="D1462" s="6" t="str">
        <f>"陈文花"</f>
        <v>陈文花</v>
      </c>
    </row>
    <row r="1463" spans="1:4" ht="30" customHeight="1">
      <c r="A1463" s="6">
        <v>1461</v>
      </c>
      <c r="B1463" s="6" t="str">
        <f>"508120230426231032142292"</f>
        <v>508120230426231032142292</v>
      </c>
      <c r="C1463" s="6" t="s">
        <v>8</v>
      </c>
      <c r="D1463" s="6" t="str">
        <f>"华红伶"</f>
        <v>华红伶</v>
      </c>
    </row>
    <row r="1464" spans="1:4" ht="30" customHeight="1">
      <c r="A1464" s="6">
        <v>1462</v>
      </c>
      <c r="B1464" s="6" t="str">
        <f>"508120230426192705142121"</f>
        <v>508120230426192705142121</v>
      </c>
      <c r="C1464" s="6" t="s">
        <v>8</v>
      </c>
      <c r="D1464" s="6" t="str">
        <f>"刘欣瑶"</f>
        <v>刘欣瑶</v>
      </c>
    </row>
    <row r="1465" spans="1:4" ht="30" customHeight="1">
      <c r="A1465" s="6">
        <v>1463</v>
      </c>
      <c r="B1465" s="6" t="str">
        <f>"508120230426231429142293"</f>
        <v>508120230426231429142293</v>
      </c>
      <c r="C1465" s="6" t="s">
        <v>8</v>
      </c>
      <c r="D1465" s="6" t="str">
        <f>"王诗晴"</f>
        <v>王诗晴</v>
      </c>
    </row>
    <row r="1466" spans="1:4" ht="30" customHeight="1">
      <c r="A1466" s="6">
        <v>1464</v>
      </c>
      <c r="B1466" s="6" t="str">
        <f>"508120230427000122142326"</f>
        <v>508120230427000122142326</v>
      </c>
      <c r="C1466" s="6" t="s">
        <v>8</v>
      </c>
      <c r="D1466" s="6" t="str">
        <f>"苏俊"</f>
        <v>苏俊</v>
      </c>
    </row>
    <row r="1467" spans="1:4" ht="30" customHeight="1">
      <c r="A1467" s="6">
        <v>1465</v>
      </c>
      <c r="B1467" s="6" t="str">
        <f>"508120230427004054142344"</f>
        <v>508120230427004054142344</v>
      </c>
      <c r="C1467" s="6" t="s">
        <v>8</v>
      </c>
      <c r="D1467" s="6" t="str">
        <f>"房鹏程"</f>
        <v>房鹏程</v>
      </c>
    </row>
    <row r="1468" spans="1:4" ht="30" customHeight="1">
      <c r="A1468" s="6">
        <v>1466</v>
      </c>
      <c r="B1468" s="6" t="str">
        <f>"508120230423141620139975"</f>
        <v>508120230423141620139975</v>
      </c>
      <c r="C1468" s="6" t="s">
        <v>8</v>
      </c>
      <c r="D1468" s="6" t="str">
        <f>"郭教勇"</f>
        <v>郭教勇</v>
      </c>
    </row>
    <row r="1469" spans="1:4" ht="30" customHeight="1">
      <c r="A1469" s="6">
        <v>1467</v>
      </c>
      <c r="B1469" s="6" t="str">
        <f>"508120230427083818142397"</f>
        <v>508120230427083818142397</v>
      </c>
      <c r="C1469" s="6" t="s">
        <v>8</v>
      </c>
      <c r="D1469" s="6" t="str">
        <f>"李想"</f>
        <v>李想</v>
      </c>
    </row>
    <row r="1470" spans="1:4" ht="30" customHeight="1">
      <c r="A1470" s="6">
        <v>1468</v>
      </c>
      <c r="B1470" s="6" t="str">
        <f>"508120230426090324141722"</f>
        <v>508120230426090324141722</v>
      </c>
      <c r="C1470" s="6" t="s">
        <v>8</v>
      </c>
      <c r="D1470" s="6" t="str">
        <f>"黄明瑜"</f>
        <v>黄明瑜</v>
      </c>
    </row>
    <row r="1471" spans="1:4" ht="30" customHeight="1">
      <c r="A1471" s="6">
        <v>1469</v>
      </c>
      <c r="B1471" s="6" t="str">
        <f>"508120230426131127141863"</f>
        <v>508120230426131127141863</v>
      </c>
      <c r="C1471" s="6" t="s">
        <v>8</v>
      </c>
      <c r="D1471" s="6" t="str">
        <f>"陈美君"</f>
        <v>陈美君</v>
      </c>
    </row>
    <row r="1472" spans="1:4" ht="30" customHeight="1">
      <c r="A1472" s="6">
        <v>1470</v>
      </c>
      <c r="B1472" s="6" t="str">
        <f>"508120230425200025141540"</f>
        <v>508120230425200025141540</v>
      </c>
      <c r="C1472" s="6" t="s">
        <v>8</v>
      </c>
      <c r="D1472" s="6" t="str">
        <f>"符方凯"</f>
        <v>符方凯</v>
      </c>
    </row>
    <row r="1473" spans="1:4" ht="30" customHeight="1">
      <c r="A1473" s="6">
        <v>1471</v>
      </c>
      <c r="B1473" s="6" t="str">
        <f>"508120230427095847142479"</f>
        <v>508120230427095847142479</v>
      </c>
      <c r="C1473" s="6" t="s">
        <v>8</v>
      </c>
      <c r="D1473" s="6" t="str">
        <f>"陈名丽"</f>
        <v>陈名丽</v>
      </c>
    </row>
    <row r="1474" spans="1:4" ht="30" customHeight="1">
      <c r="A1474" s="6">
        <v>1472</v>
      </c>
      <c r="B1474" s="6" t="str">
        <f>"508120230427104413142528"</f>
        <v>508120230427104413142528</v>
      </c>
      <c r="C1474" s="6" t="s">
        <v>8</v>
      </c>
      <c r="D1474" s="6" t="str">
        <f>"李浩"</f>
        <v>李浩</v>
      </c>
    </row>
    <row r="1475" spans="1:4" ht="30" customHeight="1">
      <c r="A1475" s="6">
        <v>1473</v>
      </c>
      <c r="B1475" s="6" t="str">
        <f>"508120230427103633142519"</f>
        <v>508120230427103633142519</v>
      </c>
      <c r="C1475" s="6" t="s">
        <v>8</v>
      </c>
      <c r="D1475" s="6" t="str">
        <f>"汤兴伯"</f>
        <v>汤兴伯</v>
      </c>
    </row>
    <row r="1476" spans="1:4" ht="30" customHeight="1">
      <c r="A1476" s="6">
        <v>1474</v>
      </c>
      <c r="B1476" s="6" t="str">
        <f>"508120230421191725139006"</f>
        <v>508120230421191725139006</v>
      </c>
      <c r="C1476" s="6" t="s">
        <v>8</v>
      </c>
      <c r="D1476" s="6" t="str">
        <f>"梁原溢"</f>
        <v>梁原溢</v>
      </c>
    </row>
    <row r="1477" spans="1:4" ht="30" customHeight="1">
      <c r="A1477" s="6">
        <v>1475</v>
      </c>
      <c r="B1477" s="6" t="str">
        <f>"508120230427105353142539"</f>
        <v>508120230427105353142539</v>
      </c>
      <c r="C1477" s="6" t="s">
        <v>8</v>
      </c>
      <c r="D1477" s="6" t="str">
        <f>"刘雪华"</f>
        <v>刘雪华</v>
      </c>
    </row>
    <row r="1478" spans="1:4" ht="30" customHeight="1">
      <c r="A1478" s="6">
        <v>1476</v>
      </c>
      <c r="B1478" s="6" t="str">
        <f>"508120230427110417142543"</f>
        <v>508120230427110417142543</v>
      </c>
      <c r="C1478" s="6" t="s">
        <v>8</v>
      </c>
      <c r="D1478" s="6" t="str">
        <f>"林觉健"</f>
        <v>林觉健</v>
      </c>
    </row>
    <row r="1479" spans="1:4" ht="30" customHeight="1">
      <c r="A1479" s="6">
        <v>1477</v>
      </c>
      <c r="B1479" s="6" t="str">
        <f>"508120230421090148138086"</f>
        <v>508120230421090148138086</v>
      </c>
      <c r="C1479" s="6" t="s">
        <v>9</v>
      </c>
      <c r="D1479" s="6" t="str">
        <f>"彭崇明"</f>
        <v>彭崇明</v>
      </c>
    </row>
    <row r="1480" spans="1:4" ht="30" customHeight="1">
      <c r="A1480" s="6">
        <v>1478</v>
      </c>
      <c r="B1480" s="6" t="str">
        <f>"508120230421091840138150"</f>
        <v>508120230421091840138150</v>
      </c>
      <c r="C1480" s="6" t="s">
        <v>9</v>
      </c>
      <c r="D1480" s="6" t="str">
        <f>"王琼禾"</f>
        <v>王琼禾</v>
      </c>
    </row>
    <row r="1481" spans="1:4" ht="30" customHeight="1">
      <c r="A1481" s="6">
        <v>1479</v>
      </c>
      <c r="B1481" s="6" t="str">
        <f>"508120230421093303138189"</f>
        <v>508120230421093303138189</v>
      </c>
      <c r="C1481" s="6" t="s">
        <v>9</v>
      </c>
      <c r="D1481" s="6" t="str">
        <f>"李文宇"</f>
        <v>李文宇</v>
      </c>
    </row>
    <row r="1482" spans="1:4" ht="30" customHeight="1">
      <c r="A1482" s="6">
        <v>1480</v>
      </c>
      <c r="B1482" s="6" t="str">
        <f>"508120230421091955138154"</f>
        <v>508120230421091955138154</v>
      </c>
      <c r="C1482" s="6" t="s">
        <v>9</v>
      </c>
      <c r="D1482" s="6" t="str">
        <f>"顾野"</f>
        <v>顾野</v>
      </c>
    </row>
    <row r="1483" spans="1:4" ht="30" customHeight="1">
      <c r="A1483" s="6">
        <v>1481</v>
      </c>
      <c r="B1483" s="6" t="str">
        <f>"508120230421103820138366"</f>
        <v>508120230421103820138366</v>
      </c>
      <c r="C1483" s="6" t="s">
        <v>9</v>
      </c>
      <c r="D1483" s="6" t="str">
        <f>"王有伦"</f>
        <v>王有伦</v>
      </c>
    </row>
    <row r="1484" spans="1:4" ht="30" customHeight="1">
      <c r="A1484" s="6">
        <v>1482</v>
      </c>
      <c r="B1484" s="6" t="str">
        <f>"508120230421145730138700"</f>
        <v>508120230421145730138700</v>
      </c>
      <c r="C1484" s="6" t="s">
        <v>9</v>
      </c>
      <c r="D1484" s="6" t="str">
        <f>"施智元"</f>
        <v>施智元</v>
      </c>
    </row>
    <row r="1485" spans="1:4" ht="30" customHeight="1">
      <c r="A1485" s="6">
        <v>1483</v>
      </c>
      <c r="B1485" s="6" t="str">
        <f>"508120230421091350138133"</f>
        <v>508120230421091350138133</v>
      </c>
      <c r="C1485" s="6" t="s">
        <v>9</v>
      </c>
      <c r="D1485" s="6" t="str">
        <f>"林丰"</f>
        <v>林丰</v>
      </c>
    </row>
    <row r="1486" spans="1:4" ht="30" customHeight="1">
      <c r="A1486" s="6">
        <v>1484</v>
      </c>
      <c r="B1486" s="6" t="str">
        <f>"508120230421154808138788"</f>
        <v>508120230421154808138788</v>
      </c>
      <c r="C1486" s="6" t="s">
        <v>9</v>
      </c>
      <c r="D1486" s="6" t="str">
        <f>"莫秀铖"</f>
        <v>莫秀铖</v>
      </c>
    </row>
    <row r="1487" spans="1:4" ht="30" customHeight="1">
      <c r="A1487" s="6">
        <v>1485</v>
      </c>
      <c r="B1487" s="6" t="str">
        <f>"508120230421152700138750"</f>
        <v>508120230421152700138750</v>
      </c>
      <c r="C1487" s="6" t="s">
        <v>9</v>
      </c>
      <c r="D1487" s="6" t="str">
        <f>"黄远精"</f>
        <v>黄远精</v>
      </c>
    </row>
    <row r="1488" spans="1:4" ht="30" customHeight="1">
      <c r="A1488" s="6">
        <v>1486</v>
      </c>
      <c r="B1488" s="6" t="str">
        <f>"508120230421155634138803"</f>
        <v>508120230421155634138803</v>
      </c>
      <c r="C1488" s="6" t="s">
        <v>9</v>
      </c>
      <c r="D1488" s="6" t="str">
        <f>"文飞越"</f>
        <v>文飞越</v>
      </c>
    </row>
    <row r="1489" spans="1:4" ht="30" customHeight="1">
      <c r="A1489" s="6">
        <v>1487</v>
      </c>
      <c r="B1489" s="6" t="str">
        <f>"508120230421174916138940"</f>
        <v>508120230421174916138940</v>
      </c>
      <c r="C1489" s="6" t="s">
        <v>9</v>
      </c>
      <c r="D1489" s="6" t="str">
        <f>"洪绵豪"</f>
        <v>洪绵豪</v>
      </c>
    </row>
    <row r="1490" spans="1:4" ht="30" customHeight="1">
      <c r="A1490" s="6">
        <v>1488</v>
      </c>
      <c r="B1490" s="6" t="str">
        <f>"508120230421193731139014"</f>
        <v>508120230421193731139014</v>
      </c>
      <c r="C1490" s="6" t="s">
        <v>9</v>
      </c>
      <c r="D1490" s="6" t="str">
        <f>"符怀"</f>
        <v>符怀</v>
      </c>
    </row>
    <row r="1491" spans="1:4" ht="30" customHeight="1">
      <c r="A1491" s="6">
        <v>1489</v>
      </c>
      <c r="B1491" s="6" t="str">
        <f>"508120230421182354138972"</f>
        <v>508120230421182354138972</v>
      </c>
      <c r="C1491" s="6" t="s">
        <v>9</v>
      </c>
      <c r="D1491" s="6" t="str">
        <f>"吴宗睦"</f>
        <v>吴宗睦</v>
      </c>
    </row>
    <row r="1492" spans="1:4" ht="30" customHeight="1">
      <c r="A1492" s="6">
        <v>1490</v>
      </c>
      <c r="B1492" s="6" t="str">
        <f>"508120230421123921138578"</f>
        <v>508120230421123921138578</v>
      </c>
      <c r="C1492" s="6" t="s">
        <v>9</v>
      </c>
      <c r="D1492" s="6" t="str">
        <f>"韩东畴"</f>
        <v>韩东畴</v>
      </c>
    </row>
    <row r="1493" spans="1:4" ht="30" customHeight="1">
      <c r="A1493" s="6">
        <v>1491</v>
      </c>
      <c r="B1493" s="6" t="str">
        <f>"508120230421205042139065"</f>
        <v>508120230421205042139065</v>
      </c>
      <c r="C1493" s="6" t="s">
        <v>9</v>
      </c>
      <c r="D1493" s="6" t="str">
        <f>"梁茂"</f>
        <v>梁茂</v>
      </c>
    </row>
    <row r="1494" spans="1:4" ht="30" customHeight="1">
      <c r="A1494" s="6">
        <v>1492</v>
      </c>
      <c r="B1494" s="6" t="str">
        <f>"508120230421221538139101"</f>
        <v>508120230421221538139101</v>
      </c>
      <c r="C1494" s="6" t="s">
        <v>9</v>
      </c>
      <c r="D1494" s="6" t="str">
        <f>"陈涛"</f>
        <v>陈涛</v>
      </c>
    </row>
    <row r="1495" spans="1:4" ht="30" customHeight="1">
      <c r="A1495" s="6">
        <v>1493</v>
      </c>
      <c r="B1495" s="6" t="str">
        <f>"508120230421132917138613"</f>
        <v>508120230421132917138613</v>
      </c>
      <c r="C1495" s="6" t="s">
        <v>9</v>
      </c>
      <c r="D1495" s="6" t="str">
        <f>"王世豪"</f>
        <v>王世豪</v>
      </c>
    </row>
    <row r="1496" spans="1:4" ht="30" customHeight="1">
      <c r="A1496" s="6">
        <v>1494</v>
      </c>
      <c r="B1496" s="6" t="str">
        <f>"508120230421231905139128"</f>
        <v>508120230421231905139128</v>
      </c>
      <c r="C1496" s="6" t="s">
        <v>9</v>
      </c>
      <c r="D1496" s="6" t="str">
        <f>"杨志有"</f>
        <v>杨志有</v>
      </c>
    </row>
    <row r="1497" spans="1:4" ht="30" customHeight="1">
      <c r="A1497" s="6">
        <v>1495</v>
      </c>
      <c r="B1497" s="6" t="str">
        <f>"508120230421141217138647"</f>
        <v>508120230421141217138647</v>
      </c>
      <c r="C1497" s="6" t="s">
        <v>9</v>
      </c>
      <c r="D1497" s="6" t="str">
        <f>"蔡帆"</f>
        <v>蔡帆</v>
      </c>
    </row>
    <row r="1498" spans="1:4" ht="30" customHeight="1">
      <c r="A1498" s="6">
        <v>1496</v>
      </c>
      <c r="B1498" s="6" t="str">
        <f>"508120230422101402139213"</f>
        <v>508120230422101402139213</v>
      </c>
      <c r="C1498" s="6" t="s">
        <v>9</v>
      </c>
      <c r="D1498" s="6" t="str">
        <f>"苏日坚"</f>
        <v>苏日坚</v>
      </c>
    </row>
    <row r="1499" spans="1:4" ht="30" customHeight="1">
      <c r="A1499" s="6">
        <v>1497</v>
      </c>
      <c r="B1499" s="6" t="str">
        <f>"508120230422105128139238"</f>
        <v>508120230422105128139238</v>
      </c>
      <c r="C1499" s="6" t="s">
        <v>9</v>
      </c>
      <c r="D1499" s="6" t="str">
        <f>"黄闻锦"</f>
        <v>黄闻锦</v>
      </c>
    </row>
    <row r="1500" spans="1:4" ht="30" customHeight="1">
      <c r="A1500" s="6">
        <v>1498</v>
      </c>
      <c r="B1500" s="6" t="str">
        <f>"508120230421110108138419"</f>
        <v>508120230421110108138419</v>
      </c>
      <c r="C1500" s="6" t="s">
        <v>9</v>
      </c>
      <c r="D1500" s="6" t="str">
        <f>"李乾"</f>
        <v>李乾</v>
      </c>
    </row>
    <row r="1501" spans="1:4" ht="30" customHeight="1">
      <c r="A1501" s="6">
        <v>1499</v>
      </c>
      <c r="B1501" s="6" t="str">
        <f>"508120230422122820139299"</f>
        <v>508120230422122820139299</v>
      </c>
      <c r="C1501" s="6" t="s">
        <v>9</v>
      </c>
      <c r="D1501" s="6" t="str">
        <f>"林达"</f>
        <v>林达</v>
      </c>
    </row>
    <row r="1502" spans="1:4" ht="30" customHeight="1">
      <c r="A1502" s="6">
        <v>1500</v>
      </c>
      <c r="B1502" s="6" t="str">
        <f>"508120230421110810138432"</f>
        <v>508120230421110810138432</v>
      </c>
      <c r="C1502" s="6" t="s">
        <v>9</v>
      </c>
      <c r="D1502" s="6" t="str">
        <f>"杨栋"</f>
        <v>杨栋</v>
      </c>
    </row>
    <row r="1503" spans="1:4" ht="30" customHeight="1">
      <c r="A1503" s="6">
        <v>1501</v>
      </c>
      <c r="B1503" s="6" t="str">
        <f>"508120230422153006139386"</f>
        <v>508120230422153006139386</v>
      </c>
      <c r="C1503" s="6" t="s">
        <v>9</v>
      </c>
      <c r="D1503" s="6" t="str">
        <f>"李耀琼"</f>
        <v>李耀琼</v>
      </c>
    </row>
    <row r="1504" spans="1:4" ht="30" customHeight="1">
      <c r="A1504" s="6">
        <v>1502</v>
      </c>
      <c r="B1504" s="6" t="str">
        <f>"508120230422195046139518"</f>
        <v>508120230422195046139518</v>
      </c>
      <c r="C1504" s="6" t="s">
        <v>9</v>
      </c>
      <c r="D1504" s="6" t="str">
        <f>"冯成就"</f>
        <v>冯成就</v>
      </c>
    </row>
    <row r="1505" spans="1:4" ht="30" customHeight="1">
      <c r="A1505" s="6">
        <v>1503</v>
      </c>
      <c r="B1505" s="6" t="str">
        <f>"508120230421120904138534"</f>
        <v>508120230421120904138534</v>
      </c>
      <c r="C1505" s="6" t="s">
        <v>9</v>
      </c>
      <c r="D1505" s="6" t="str">
        <f>"洪玉盛"</f>
        <v>洪玉盛</v>
      </c>
    </row>
    <row r="1506" spans="1:4" ht="30" customHeight="1">
      <c r="A1506" s="6">
        <v>1504</v>
      </c>
      <c r="B1506" s="6" t="str">
        <f>"508120230422203216139549"</f>
        <v>508120230422203216139549</v>
      </c>
      <c r="C1506" s="6" t="s">
        <v>9</v>
      </c>
      <c r="D1506" s="6" t="str">
        <f>"谢开亮"</f>
        <v>谢开亮</v>
      </c>
    </row>
    <row r="1507" spans="1:4" ht="30" customHeight="1">
      <c r="A1507" s="6">
        <v>1505</v>
      </c>
      <c r="B1507" s="6" t="str">
        <f>"508120230422211225139581"</f>
        <v>508120230422211225139581</v>
      </c>
      <c r="C1507" s="6" t="s">
        <v>9</v>
      </c>
      <c r="D1507" s="6" t="str">
        <f>"韦其睿"</f>
        <v>韦其睿</v>
      </c>
    </row>
    <row r="1508" spans="1:4" ht="30" customHeight="1">
      <c r="A1508" s="6">
        <v>1506</v>
      </c>
      <c r="B1508" s="6" t="str">
        <f>"508120230422224703139643"</f>
        <v>508120230422224703139643</v>
      </c>
      <c r="C1508" s="6" t="s">
        <v>9</v>
      </c>
      <c r="D1508" s="6" t="str">
        <f>"王上龙"</f>
        <v>王上龙</v>
      </c>
    </row>
    <row r="1509" spans="1:4" ht="30" customHeight="1">
      <c r="A1509" s="6">
        <v>1507</v>
      </c>
      <c r="B1509" s="6" t="str">
        <f>"508120230422230743139653"</f>
        <v>508120230422230743139653</v>
      </c>
      <c r="C1509" s="6" t="s">
        <v>9</v>
      </c>
      <c r="D1509" s="6" t="str">
        <f>"曾学政"</f>
        <v>曾学政</v>
      </c>
    </row>
    <row r="1510" spans="1:4" ht="30" customHeight="1">
      <c r="A1510" s="6">
        <v>1508</v>
      </c>
      <c r="B1510" s="6" t="str">
        <f>"508120230422224058139638"</f>
        <v>508120230422224058139638</v>
      </c>
      <c r="C1510" s="6" t="s">
        <v>9</v>
      </c>
      <c r="D1510" s="6" t="str">
        <f>"马艳飞"</f>
        <v>马艳飞</v>
      </c>
    </row>
    <row r="1511" spans="1:4" ht="30" customHeight="1">
      <c r="A1511" s="6">
        <v>1509</v>
      </c>
      <c r="B1511" s="6" t="str">
        <f>"508120230423092917139764"</f>
        <v>508120230423092917139764</v>
      </c>
      <c r="C1511" s="6" t="s">
        <v>9</v>
      </c>
      <c r="D1511" s="6" t="str">
        <f>"陈泊汕"</f>
        <v>陈泊汕</v>
      </c>
    </row>
    <row r="1512" spans="1:4" ht="30" customHeight="1">
      <c r="A1512" s="6">
        <v>1510</v>
      </c>
      <c r="B1512" s="6" t="str">
        <f>"508120230423102914139821"</f>
        <v>508120230423102914139821</v>
      </c>
      <c r="C1512" s="6" t="s">
        <v>9</v>
      </c>
      <c r="D1512" s="6" t="str">
        <f>"张海东"</f>
        <v>张海东</v>
      </c>
    </row>
    <row r="1513" spans="1:4" ht="30" customHeight="1">
      <c r="A1513" s="6">
        <v>1511</v>
      </c>
      <c r="B1513" s="6" t="str">
        <f>"508120230423121934139930"</f>
        <v>508120230423121934139930</v>
      </c>
      <c r="C1513" s="6" t="s">
        <v>9</v>
      </c>
      <c r="D1513" s="6" t="str">
        <f>"吴体金"</f>
        <v>吴体金</v>
      </c>
    </row>
    <row r="1514" spans="1:4" ht="30" customHeight="1">
      <c r="A1514" s="6">
        <v>1512</v>
      </c>
      <c r="B1514" s="6" t="str">
        <f>"508120230422170226139428"</f>
        <v>508120230422170226139428</v>
      </c>
      <c r="C1514" s="6" t="s">
        <v>9</v>
      </c>
      <c r="D1514" s="6" t="str">
        <f>"邢少林"</f>
        <v>邢少林</v>
      </c>
    </row>
    <row r="1515" spans="1:4" ht="30" customHeight="1">
      <c r="A1515" s="6">
        <v>1513</v>
      </c>
      <c r="B1515" s="6" t="str">
        <f>"508120230423153514140047"</f>
        <v>508120230423153514140047</v>
      </c>
      <c r="C1515" s="6" t="s">
        <v>9</v>
      </c>
      <c r="D1515" s="6" t="str">
        <f>"符源相"</f>
        <v>符源相</v>
      </c>
    </row>
    <row r="1516" spans="1:4" ht="30" customHeight="1">
      <c r="A1516" s="6">
        <v>1514</v>
      </c>
      <c r="B1516" s="6" t="str">
        <f>"508120230423165511140137"</f>
        <v>508120230423165511140137</v>
      </c>
      <c r="C1516" s="6" t="s">
        <v>9</v>
      </c>
      <c r="D1516" s="6" t="str">
        <f>"陈德叶"</f>
        <v>陈德叶</v>
      </c>
    </row>
    <row r="1517" spans="1:4" ht="30" customHeight="1">
      <c r="A1517" s="6">
        <v>1515</v>
      </c>
      <c r="B1517" s="6" t="str">
        <f>"508120230421211231139072"</f>
        <v>508120230421211231139072</v>
      </c>
      <c r="C1517" s="6" t="s">
        <v>9</v>
      </c>
      <c r="D1517" s="6" t="str">
        <f>"符成相"</f>
        <v>符成相</v>
      </c>
    </row>
    <row r="1518" spans="1:4" ht="30" customHeight="1">
      <c r="A1518" s="6">
        <v>1516</v>
      </c>
      <c r="B1518" s="6" t="str">
        <f>"508120230423201823140258"</f>
        <v>508120230423201823140258</v>
      </c>
      <c r="C1518" s="6" t="s">
        <v>9</v>
      </c>
      <c r="D1518" s="6" t="str">
        <f>"符芳竞"</f>
        <v>符芳竞</v>
      </c>
    </row>
    <row r="1519" spans="1:4" ht="30" customHeight="1">
      <c r="A1519" s="6">
        <v>1517</v>
      </c>
      <c r="B1519" s="6" t="str">
        <f>"508120230421175634138952"</f>
        <v>508120230421175634138952</v>
      </c>
      <c r="C1519" s="6" t="s">
        <v>9</v>
      </c>
      <c r="D1519" s="6" t="str">
        <f>"容超"</f>
        <v>容超</v>
      </c>
    </row>
    <row r="1520" spans="1:4" ht="30" customHeight="1">
      <c r="A1520" s="6">
        <v>1518</v>
      </c>
      <c r="B1520" s="6" t="str">
        <f>"508120230423223942140381"</f>
        <v>508120230423223942140381</v>
      </c>
      <c r="C1520" s="6" t="s">
        <v>9</v>
      </c>
      <c r="D1520" s="6" t="str">
        <f>"何昌瑜"</f>
        <v>何昌瑜</v>
      </c>
    </row>
    <row r="1521" spans="1:4" ht="30" customHeight="1">
      <c r="A1521" s="6">
        <v>1519</v>
      </c>
      <c r="B1521" s="6" t="str">
        <f>"508120230423213250140326"</f>
        <v>508120230423213250140326</v>
      </c>
      <c r="C1521" s="6" t="s">
        <v>9</v>
      </c>
      <c r="D1521" s="6" t="str">
        <f>"李远"</f>
        <v>李远</v>
      </c>
    </row>
    <row r="1522" spans="1:4" ht="30" customHeight="1">
      <c r="A1522" s="6">
        <v>1520</v>
      </c>
      <c r="B1522" s="6" t="str">
        <f>"508120230423233642140418"</f>
        <v>508120230423233642140418</v>
      </c>
      <c r="C1522" s="6" t="s">
        <v>9</v>
      </c>
      <c r="D1522" s="6" t="str">
        <f>"吴克华"</f>
        <v>吴克华</v>
      </c>
    </row>
    <row r="1523" spans="1:4" ht="30" customHeight="1">
      <c r="A1523" s="6">
        <v>1521</v>
      </c>
      <c r="B1523" s="6" t="str">
        <f>"508120230422131520139334"</f>
        <v>508120230422131520139334</v>
      </c>
      <c r="C1523" s="6" t="s">
        <v>9</v>
      </c>
      <c r="D1523" s="6" t="str">
        <f>"黄史佳"</f>
        <v>黄史佳</v>
      </c>
    </row>
    <row r="1524" spans="1:4" ht="30" customHeight="1">
      <c r="A1524" s="6">
        <v>1522</v>
      </c>
      <c r="B1524" s="6" t="str">
        <f>"508120230421094832138232"</f>
        <v>508120230421094832138232</v>
      </c>
      <c r="C1524" s="6" t="s">
        <v>9</v>
      </c>
      <c r="D1524" s="6" t="str">
        <f>"苏伟思"</f>
        <v>苏伟思</v>
      </c>
    </row>
    <row r="1525" spans="1:4" ht="30" customHeight="1">
      <c r="A1525" s="6">
        <v>1523</v>
      </c>
      <c r="B1525" s="6" t="str">
        <f>"508120230424082206140455"</f>
        <v>508120230424082206140455</v>
      </c>
      <c r="C1525" s="6" t="s">
        <v>9</v>
      </c>
      <c r="D1525" s="6" t="str">
        <f>"陶宇晨"</f>
        <v>陶宇晨</v>
      </c>
    </row>
    <row r="1526" spans="1:4" ht="30" customHeight="1">
      <c r="A1526" s="6">
        <v>1524</v>
      </c>
      <c r="B1526" s="6" t="str">
        <f>"508120230424101129140568"</f>
        <v>508120230424101129140568</v>
      </c>
      <c r="C1526" s="6" t="s">
        <v>9</v>
      </c>
      <c r="D1526" s="6" t="str">
        <f>"王叶安"</f>
        <v>王叶安</v>
      </c>
    </row>
    <row r="1527" spans="1:4" ht="30" customHeight="1">
      <c r="A1527" s="6">
        <v>1525</v>
      </c>
      <c r="B1527" s="6" t="str">
        <f>"508120230424104414140605"</f>
        <v>508120230424104414140605</v>
      </c>
      <c r="C1527" s="6" t="s">
        <v>9</v>
      </c>
      <c r="D1527" s="6" t="str">
        <f>"关才荐"</f>
        <v>关才荐</v>
      </c>
    </row>
    <row r="1528" spans="1:4" ht="30" customHeight="1">
      <c r="A1528" s="6">
        <v>1526</v>
      </c>
      <c r="B1528" s="6" t="str">
        <f>"508120230424123318140687"</f>
        <v>508120230424123318140687</v>
      </c>
      <c r="C1528" s="6" t="s">
        <v>9</v>
      </c>
      <c r="D1528" s="6" t="str">
        <f>"金耀全"</f>
        <v>金耀全</v>
      </c>
    </row>
    <row r="1529" spans="1:4" ht="30" customHeight="1">
      <c r="A1529" s="6">
        <v>1527</v>
      </c>
      <c r="B1529" s="6" t="str">
        <f>"508120230423175037140167"</f>
        <v>508120230423175037140167</v>
      </c>
      <c r="C1529" s="6" t="s">
        <v>9</v>
      </c>
      <c r="D1529" s="6" t="str">
        <f>"符文华"</f>
        <v>符文华</v>
      </c>
    </row>
    <row r="1530" spans="1:4" ht="30" customHeight="1">
      <c r="A1530" s="6">
        <v>1528</v>
      </c>
      <c r="B1530" s="6" t="str">
        <f>"508120230424151504140768"</f>
        <v>508120230424151504140768</v>
      </c>
      <c r="C1530" s="6" t="s">
        <v>9</v>
      </c>
      <c r="D1530" s="6" t="str">
        <f>"陈柯安"</f>
        <v>陈柯安</v>
      </c>
    </row>
    <row r="1531" spans="1:4" ht="30" customHeight="1">
      <c r="A1531" s="6">
        <v>1529</v>
      </c>
      <c r="B1531" s="6" t="str">
        <f>"508120230424202650140990"</f>
        <v>508120230424202650140990</v>
      </c>
      <c r="C1531" s="6" t="s">
        <v>9</v>
      </c>
      <c r="D1531" s="6" t="str">
        <f>"邓现为"</f>
        <v>邓现为</v>
      </c>
    </row>
    <row r="1532" spans="1:4" ht="30" customHeight="1">
      <c r="A1532" s="6">
        <v>1530</v>
      </c>
      <c r="B1532" s="6" t="str">
        <f>"508120230424203348140995"</f>
        <v>508120230424203348140995</v>
      </c>
      <c r="C1532" s="6" t="s">
        <v>9</v>
      </c>
      <c r="D1532" s="6" t="str">
        <f>"黄正裕"</f>
        <v>黄正裕</v>
      </c>
    </row>
    <row r="1533" spans="1:4" ht="30" customHeight="1">
      <c r="A1533" s="6">
        <v>1531</v>
      </c>
      <c r="B1533" s="6" t="str">
        <f>"508120230425045547141141"</f>
        <v>508120230425045547141141</v>
      </c>
      <c r="C1533" s="6" t="s">
        <v>9</v>
      </c>
      <c r="D1533" s="6" t="str">
        <f>"黄齐伟"</f>
        <v>黄齐伟</v>
      </c>
    </row>
    <row r="1534" spans="1:4" ht="30" customHeight="1">
      <c r="A1534" s="6">
        <v>1532</v>
      </c>
      <c r="B1534" s="6" t="str">
        <f>"508120230425090437141168"</f>
        <v>508120230425090437141168</v>
      </c>
      <c r="C1534" s="6" t="s">
        <v>9</v>
      </c>
      <c r="D1534" s="6" t="str">
        <f>"陈波"</f>
        <v>陈波</v>
      </c>
    </row>
    <row r="1535" spans="1:4" ht="30" customHeight="1">
      <c r="A1535" s="6">
        <v>1533</v>
      </c>
      <c r="B1535" s="6" t="str">
        <f>"508120230425110819141256"</f>
        <v>508120230425110819141256</v>
      </c>
      <c r="C1535" s="6" t="s">
        <v>9</v>
      </c>
      <c r="D1535" s="6" t="str">
        <f>"王坚融 "</f>
        <v>王坚融 </v>
      </c>
    </row>
    <row r="1536" spans="1:4" ht="30" customHeight="1">
      <c r="A1536" s="6">
        <v>1534</v>
      </c>
      <c r="B1536" s="6" t="str">
        <f>"508120230425103001141219"</f>
        <v>508120230425103001141219</v>
      </c>
      <c r="C1536" s="6" t="s">
        <v>9</v>
      </c>
      <c r="D1536" s="6" t="str">
        <f>"李骞"</f>
        <v>李骞</v>
      </c>
    </row>
    <row r="1537" spans="1:4" ht="30" customHeight="1">
      <c r="A1537" s="6">
        <v>1535</v>
      </c>
      <c r="B1537" s="6" t="str">
        <f>"508120230425084947141161"</f>
        <v>508120230425084947141161</v>
      </c>
      <c r="C1537" s="6" t="s">
        <v>9</v>
      </c>
      <c r="D1537" s="6" t="str">
        <f>"蔡国威"</f>
        <v>蔡国威</v>
      </c>
    </row>
    <row r="1538" spans="1:4" ht="30" customHeight="1">
      <c r="A1538" s="6">
        <v>1536</v>
      </c>
      <c r="B1538" s="6" t="str">
        <f>"508120230425092030141178"</f>
        <v>508120230425092030141178</v>
      </c>
      <c r="C1538" s="6" t="s">
        <v>9</v>
      </c>
      <c r="D1538" s="6" t="str">
        <f>"李明博"</f>
        <v>李明博</v>
      </c>
    </row>
    <row r="1539" spans="1:4" ht="30" customHeight="1">
      <c r="A1539" s="6">
        <v>1537</v>
      </c>
      <c r="B1539" s="6" t="str">
        <f>"508120230424085523140479"</f>
        <v>508120230424085523140479</v>
      </c>
      <c r="C1539" s="6" t="s">
        <v>9</v>
      </c>
      <c r="D1539" s="6" t="str">
        <f>"陈基群"</f>
        <v>陈基群</v>
      </c>
    </row>
    <row r="1540" spans="1:4" ht="30" customHeight="1">
      <c r="A1540" s="6">
        <v>1538</v>
      </c>
      <c r="B1540" s="6" t="str">
        <f>"508120230424105107140612"</f>
        <v>508120230424105107140612</v>
      </c>
      <c r="C1540" s="6" t="s">
        <v>9</v>
      </c>
      <c r="D1540" s="6" t="str">
        <f>"周忠泽"</f>
        <v>周忠泽</v>
      </c>
    </row>
    <row r="1541" spans="1:4" ht="30" customHeight="1">
      <c r="A1541" s="6">
        <v>1539</v>
      </c>
      <c r="B1541" s="6" t="str">
        <f>"508120230422111530139247"</f>
        <v>508120230422111530139247</v>
      </c>
      <c r="C1541" s="6" t="s">
        <v>9</v>
      </c>
      <c r="D1541" s="6" t="str">
        <f>"林道卫"</f>
        <v>林道卫</v>
      </c>
    </row>
    <row r="1542" spans="1:4" ht="30" customHeight="1">
      <c r="A1542" s="6">
        <v>1540</v>
      </c>
      <c r="B1542" s="6" t="str">
        <f>"508120230425175831141488"</f>
        <v>508120230425175831141488</v>
      </c>
      <c r="C1542" s="6" t="s">
        <v>9</v>
      </c>
      <c r="D1542" s="6" t="str">
        <f>"钟伟"</f>
        <v>钟伟</v>
      </c>
    </row>
    <row r="1543" spans="1:4" ht="30" customHeight="1">
      <c r="A1543" s="6">
        <v>1541</v>
      </c>
      <c r="B1543" s="6" t="str">
        <f>"508120230425210205141569"</f>
        <v>508120230425210205141569</v>
      </c>
      <c r="C1543" s="6" t="s">
        <v>9</v>
      </c>
      <c r="D1543" s="6" t="str">
        <f>"张孝宗"</f>
        <v>张孝宗</v>
      </c>
    </row>
    <row r="1544" spans="1:4" ht="30" customHeight="1">
      <c r="A1544" s="6">
        <v>1542</v>
      </c>
      <c r="B1544" s="6" t="str">
        <f>"508120230423230610140403"</f>
        <v>508120230423230610140403</v>
      </c>
      <c r="C1544" s="6" t="s">
        <v>9</v>
      </c>
      <c r="D1544" s="6" t="str">
        <f>"朱文宇"</f>
        <v>朱文宇</v>
      </c>
    </row>
    <row r="1545" spans="1:4" ht="30" customHeight="1">
      <c r="A1545" s="6">
        <v>1543</v>
      </c>
      <c r="B1545" s="6" t="str">
        <f>"508120230425215743141614"</f>
        <v>508120230425215743141614</v>
      </c>
      <c r="C1545" s="6" t="s">
        <v>9</v>
      </c>
      <c r="D1545" s="6" t="str">
        <f>"陈元健"</f>
        <v>陈元健</v>
      </c>
    </row>
    <row r="1546" spans="1:4" ht="30" customHeight="1">
      <c r="A1546" s="6">
        <v>1544</v>
      </c>
      <c r="B1546" s="6" t="str">
        <f>"508120230425224755141643"</f>
        <v>508120230425224755141643</v>
      </c>
      <c r="C1546" s="6" t="s">
        <v>9</v>
      </c>
      <c r="D1546" s="6" t="str">
        <f>"钟立福"</f>
        <v>钟立福</v>
      </c>
    </row>
    <row r="1547" spans="1:4" ht="30" customHeight="1">
      <c r="A1547" s="6">
        <v>1545</v>
      </c>
      <c r="B1547" s="6" t="str">
        <f>"508120230424230724141105"</f>
        <v>508120230424230724141105</v>
      </c>
      <c r="C1547" s="6" t="s">
        <v>9</v>
      </c>
      <c r="D1547" s="6" t="str">
        <f>"杜传秀"</f>
        <v>杜传秀</v>
      </c>
    </row>
    <row r="1548" spans="1:4" ht="30" customHeight="1">
      <c r="A1548" s="6">
        <v>1546</v>
      </c>
      <c r="B1548" s="6" t="str">
        <f>"508120230424215507141046"</f>
        <v>508120230424215507141046</v>
      </c>
      <c r="C1548" s="6" t="s">
        <v>9</v>
      </c>
      <c r="D1548" s="6" t="str">
        <f>"黄辅明"</f>
        <v>黄辅明</v>
      </c>
    </row>
    <row r="1549" spans="1:4" ht="30" customHeight="1">
      <c r="A1549" s="6">
        <v>1547</v>
      </c>
      <c r="B1549" s="6" t="str">
        <f>"508120230426150331141914"</f>
        <v>508120230426150331141914</v>
      </c>
      <c r="C1549" s="6" t="s">
        <v>9</v>
      </c>
      <c r="D1549" s="6" t="str">
        <f>"黎加茂"</f>
        <v>黎加茂</v>
      </c>
    </row>
    <row r="1550" spans="1:4" ht="30" customHeight="1">
      <c r="A1550" s="6">
        <v>1548</v>
      </c>
      <c r="B1550" s="6" t="str">
        <f>"508120230426084619141715"</f>
        <v>508120230426084619141715</v>
      </c>
      <c r="C1550" s="6" t="s">
        <v>9</v>
      </c>
      <c r="D1550" s="6" t="str">
        <f>"冯文旭"</f>
        <v>冯文旭</v>
      </c>
    </row>
    <row r="1551" spans="1:4" ht="30" customHeight="1">
      <c r="A1551" s="6">
        <v>1549</v>
      </c>
      <c r="B1551" s="6" t="str">
        <f>"508120230426164615142000"</f>
        <v>508120230426164615142000</v>
      </c>
      <c r="C1551" s="6" t="s">
        <v>9</v>
      </c>
      <c r="D1551" s="6" t="str">
        <f>"唐宏"</f>
        <v>唐宏</v>
      </c>
    </row>
    <row r="1552" spans="1:4" ht="30" customHeight="1">
      <c r="A1552" s="6">
        <v>1550</v>
      </c>
      <c r="B1552" s="6" t="str">
        <f>"508120230426182813142081"</f>
        <v>508120230426182813142081</v>
      </c>
      <c r="C1552" s="6" t="s">
        <v>9</v>
      </c>
      <c r="D1552" s="6" t="str">
        <f>"郑仕儒"</f>
        <v>郑仕儒</v>
      </c>
    </row>
    <row r="1553" spans="1:4" ht="30" customHeight="1">
      <c r="A1553" s="6">
        <v>1551</v>
      </c>
      <c r="B1553" s="6" t="str">
        <f>"508120230424200549140970"</f>
        <v>508120230424200549140970</v>
      </c>
      <c r="C1553" s="6" t="s">
        <v>9</v>
      </c>
      <c r="D1553" s="6" t="str">
        <f>"王瑾伦"</f>
        <v>王瑾伦</v>
      </c>
    </row>
    <row r="1554" spans="1:4" ht="30" customHeight="1">
      <c r="A1554" s="6">
        <v>1552</v>
      </c>
      <c r="B1554" s="6" t="str">
        <f>"508120230426112841141813"</f>
        <v>508120230426112841141813</v>
      </c>
      <c r="C1554" s="6" t="s">
        <v>9</v>
      </c>
      <c r="D1554" s="6" t="str">
        <f>"杨小佳"</f>
        <v>杨小佳</v>
      </c>
    </row>
    <row r="1555" spans="1:4" ht="30" customHeight="1">
      <c r="A1555" s="6">
        <v>1553</v>
      </c>
      <c r="B1555" s="6" t="str">
        <f>"508120230422094542139199"</f>
        <v>508120230422094542139199</v>
      </c>
      <c r="C1555" s="6" t="s">
        <v>9</v>
      </c>
      <c r="D1555" s="6" t="str">
        <f>"陈玉敦"</f>
        <v>陈玉敦</v>
      </c>
    </row>
    <row r="1556" spans="1:4" ht="30" customHeight="1">
      <c r="A1556" s="6">
        <v>1554</v>
      </c>
      <c r="B1556" s="6" t="str">
        <f>"508120230426235159142317"</f>
        <v>508120230426235159142317</v>
      </c>
      <c r="C1556" s="6" t="s">
        <v>9</v>
      </c>
      <c r="D1556" s="6" t="str">
        <f>"林芳吉"</f>
        <v>林芳吉</v>
      </c>
    </row>
    <row r="1557" spans="1:4" ht="30" customHeight="1">
      <c r="A1557" s="6">
        <v>1555</v>
      </c>
      <c r="B1557" s="6" t="str">
        <f>"508120230427020251142364"</f>
        <v>508120230427020251142364</v>
      </c>
      <c r="C1557" s="6" t="s">
        <v>9</v>
      </c>
      <c r="D1557" s="6" t="str">
        <f>"李金超"</f>
        <v>李金超</v>
      </c>
    </row>
    <row r="1558" spans="1:4" ht="30" customHeight="1">
      <c r="A1558" s="6">
        <v>1556</v>
      </c>
      <c r="B1558" s="6" t="str">
        <f>"508120230426225705142282"</f>
        <v>508120230426225705142282</v>
      </c>
      <c r="C1558" s="6" t="s">
        <v>9</v>
      </c>
      <c r="D1558" s="6" t="str">
        <f>"符棉"</f>
        <v>符棉</v>
      </c>
    </row>
    <row r="1559" spans="1:4" ht="30" customHeight="1">
      <c r="A1559" s="6">
        <v>1557</v>
      </c>
      <c r="B1559" s="6" t="str">
        <f>"508120230427094846142467"</f>
        <v>508120230427094846142467</v>
      </c>
      <c r="C1559" s="6" t="s">
        <v>9</v>
      </c>
      <c r="D1559" s="6" t="str">
        <f>"赖文斌"</f>
        <v>赖文斌</v>
      </c>
    </row>
    <row r="1560" spans="1:4" ht="30" customHeight="1">
      <c r="A1560" s="6">
        <v>1558</v>
      </c>
      <c r="B1560" s="6" t="str">
        <f>"508120230421090959138119"</f>
        <v>508120230421090959138119</v>
      </c>
      <c r="C1560" s="6" t="s">
        <v>10</v>
      </c>
      <c r="D1560" s="6" t="str">
        <f>"林拥书"</f>
        <v>林拥书</v>
      </c>
    </row>
    <row r="1561" spans="1:4" ht="30" customHeight="1">
      <c r="A1561" s="6">
        <v>1559</v>
      </c>
      <c r="B1561" s="6" t="str">
        <f>"508120230421092930138180"</f>
        <v>508120230421092930138180</v>
      </c>
      <c r="C1561" s="6" t="s">
        <v>10</v>
      </c>
      <c r="D1561" s="6" t="str">
        <f>"吴立"</f>
        <v>吴立</v>
      </c>
    </row>
    <row r="1562" spans="1:4" ht="30" customHeight="1">
      <c r="A1562" s="6">
        <v>1560</v>
      </c>
      <c r="B1562" s="6" t="str">
        <f>"508120230421095012138241"</f>
        <v>508120230421095012138241</v>
      </c>
      <c r="C1562" s="6" t="s">
        <v>10</v>
      </c>
      <c r="D1562" s="6" t="str">
        <f>"黄菲菲"</f>
        <v>黄菲菲</v>
      </c>
    </row>
    <row r="1563" spans="1:4" ht="30" customHeight="1">
      <c r="A1563" s="6">
        <v>1561</v>
      </c>
      <c r="B1563" s="6" t="str">
        <f>"508120230421092526138168"</f>
        <v>508120230421092526138168</v>
      </c>
      <c r="C1563" s="6" t="s">
        <v>10</v>
      </c>
      <c r="D1563" s="6" t="str">
        <f>"符兰艳"</f>
        <v>符兰艳</v>
      </c>
    </row>
    <row r="1564" spans="1:4" ht="30" customHeight="1">
      <c r="A1564" s="6">
        <v>1562</v>
      </c>
      <c r="B1564" s="6" t="str">
        <f>"508120230421110914138436"</f>
        <v>508120230421110914138436</v>
      </c>
      <c r="C1564" s="6" t="s">
        <v>10</v>
      </c>
      <c r="D1564" s="6" t="str">
        <f>"苟雨浓"</f>
        <v>苟雨浓</v>
      </c>
    </row>
    <row r="1565" spans="1:4" ht="30" customHeight="1">
      <c r="A1565" s="6">
        <v>1563</v>
      </c>
      <c r="B1565" s="6" t="str">
        <f>"508120230421093122138185"</f>
        <v>508120230421093122138185</v>
      </c>
      <c r="C1565" s="6" t="s">
        <v>10</v>
      </c>
      <c r="D1565" s="6" t="str">
        <f>"曾雅"</f>
        <v>曾雅</v>
      </c>
    </row>
    <row r="1566" spans="1:4" ht="30" customHeight="1">
      <c r="A1566" s="6">
        <v>1564</v>
      </c>
      <c r="B1566" s="6" t="str">
        <f>"508120230421094909138237"</f>
        <v>508120230421094909138237</v>
      </c>
      <c r="C1566" s="6" t="s">
        <v>10</v>
      </c>
      <c r="D1566" s="6" t="str">
        <f>"何晓玟"</f>
        <v>何晓玟</v>
      </c>
    </row>
    <row r="1567" spans="1:4" ht="30" customHeight="1">
      <c r="A1567" s="6">
        <v>1565</v>
      </c>
      <c r="B1567" s="6" t="str">
        <f>"508120230421133911138620"</f>
        <v>508120230421133911138620</v>
      </c>
      <c r="C1567" s="6" t="s">
        <v>10</v>
      </c>
      <c r="D1567" s="6" t="str">
        <f>"林宣谷"</f>
        <v>林宣谷</v>
      </c>
    </row>
    <row r="1568" spans="1:4" ht="30" customHeight="1">
      <c r="A1568" s="6">
        <v>1566</v>
      </c>
      <c r="B1568" s="6" t="str">
        <f>"508120230421113147138471"</f>
        <v>508120230421113147138471</v>
      </c>
      <c r="C1568" s="6" t="s">
        <v>10</v>
      </c>
      <c r="D1568" s="6" t="str">
        <f>"孟春霖"</f>
        <v>孟春霖</v>
      </c>
    </row>
    <row r="1569" spans="1:4" ht="30" customHeight="1">
      <c r="A1569" s="6">
        <v>1567</v>
      </c>
      <c r="B1569" s="6" t="str">
        <f>"508120230421150010138708"</f>
        <v>508120230421150010138708</v>
      </c>
      <c r="C1569" s="6" t="s">
        <v>10</v>
      </c>
      <c r="D1569" s="6" t="str">
        <f>"王光隆"</f>
        <v>王光隆</v>
      </c>
    </row>
    <row r="1570" spans="1:4" ht="30" customHeight="1">
      <c r="A1570" s="6">
        <v>1568</v>
      </c>
      <c r="B1570" s="6" t="str">
        <f>"508120230421112815138466"</f>
        <v>508120230421112815138466</v>
      </c>
      <c r="C1570" s="6" t="s">
        <v>10</v>
      </c>
      <c r="D1570" s="6" t="str">
        <f>"蔡陈旋"</f>
        <v>蔡陈旋</v>
      </c>
    </row>
    <row r="1571" spans="1:4" ht="30" customHeight="1">
      <c r="A1571" s="6">
        <v>1569</v>
      </c>
      <c r="B1571" s="6" t="str">
        <f>"508120230421151646138735"</f>
        <v>508120230421151646138735</v>
      </c>
      <c r="C1571" s="6" t="s">
        <v>10</v>
      </c>
      <c r="D1571" s="6" t="str">
        <f>"韦泽涛"</f>
        <v>韦泽涛</v>
      </c>
    </row>
    <row r="1572" spans="1:4" ht="30" customHeight="1">
      <c r="A1572" s="6">
        <v>1570</v>
      </c>
      <c r="B1572" s="6" t="str">
        <f>"508120230421145009138689"</f>
        <v>508120230421145009138689</v>
      </c>
      <c r="C1572" s="6" t="s">
        <v>10</v>
      </c>
      <c r="D1572" s="6" t="str">
        <f>"符扬敏"</f>
        <v>符扬敏</v>
      </c>
    </row>
    <row r="1573" spans="1:4" ht="30" customHeight="1">
      <c r="A1573" s="6">
        <v>1571</v>
      </c>
      <c r="B1573" s="6" t="str">
        <f>"508120230421162302138843"</f>
        <v>508120230421162302138843</v>
      </c>
      <c r="C1573" s="6" t="s">
        <v>10</v>
      </c>
      <c r="D1573" s="6" t="str">
        <f>"高川"</f>
        <v>高川</v>
      </c>
    </row>
    <row r="1574" spans="1:4" ht="30" customHeight="1">
      <c r="A1574" s="6">
        <v>1572</v>
      </c>
      <c r="B1574" s="6" t="str">
        <f>"508120230421164301138866"</f>
        <v>508120230421164301138866</v>
      </c>
      <c r="C1574" s="6" t="s">
        <v>10</v>
      </c>
      <c r="D1574" s="6" t="str">
        <f>"吴珍"</f>
        <v>吴珍</v>
      </c>
    </row>
    <row r="1575" spans="1:4" ht="30" customHeight="1">
      <c r="A1575" s="6">
        <v>1573</v>
      </c>
      <c r="B1575" s="6" t="str">
        <f>"508120230421171416138905"</f>
        <v>508120230421171416138905</v>
      </c>
      <c r="C1575" s="6" t="s">
        <v>10</v>
      </c>
      <c r="D1575" s="6" t="str">
        <f>"羊生勇"</f>
        <v>羊生勇</v>
      </c>
    </row>
    <row r="1576" spans="1:4" ht="30" customHeight="1">
      <c r="A1576" s="6">
        <v>1574</v>
      </c>
      <c r="B1576" s="6" t="str">
        <f>"508120230421165321138880"</f>
        <v>508120230421165321138880</v>
      </c>
      <c r="C1576" s="6" t="s">
        <v>10</v>
      </c>
      <c r="D1576" s="6" t="str">
        <f>"陈人丞"</f>
        <v>陈人丞</v>
      </c>
    </row>
    <row r="1577" spans="1:4" ht="30" customHeight="1">
      <c r="A1577" s="6">
        <v>1575</v>
      </c>
      <c r="B1577" s="6" t="str">
        <f>"508120230421182237138970"</f>
        <v>508120230421182237138970</v>
      </c>
      <c r="C1577" s="6" t="s">
        <v>10</v>
      </c>
      <c r="D1577" s="6" t="str">
        <f>"刘丹玟"</f>
        <v>刘丹玟</v>
      </c>
    </row>
    <row r="1578" spans="1:4" ht="30" customHeight="1">
      <c r="A1578" s="6">
        <v>1576</v>
      </c>
      <c r="B1578" s="6" t="str">
        <f>"508120230421122231138557"</f>
        <v>508120230421122231138557</v>
      </c>
      <c r="C1578" s="6" t="s">
        <v>10</v>
      </c>
      <c r="D1578" s="6" t="str">
        <f>"岳彩周"</f>
        <v>岳彩周</v>
      </c>
    </row>
    <row r="1579" spans="1:4" ht="30" customHeight="1">
      <c r="A1579" s="6">
        <v>1577</v>
      </c>
      <c r="B1579" s="6" t="str">
        <f>"508120230421184225138989"</f>
        <v>508120230421184225138989</v>
      </c>
      <c r="C1579" s="6" t="s">
        <v>10</v>
      </c>
      <c r="D1579" s="6" t="str">
        <f>"李广廷"</f>
        <v>李广廷</v>
      </c>
    </row>
    <row r="1580" spans="1:4" ht="30" customHeight="1">
      <c r="A1580" s="6">
        <v>1578</v>
      </c>
      <c r="B1580" s="6" t="str">
        <f>"508120230421203802139058"</f>
        <v>508120230421203802139058</v>
      </c>
      <c r="C1580" s="6" t="s">
        <v>10</v>
      </c>
      <c r="D1580" s="6" t="str">
        <f>"王家卫"</f>
        <v>王家卫</v>
      </c>
    </row>
    <row r="1581" spans="1:4" ht="30" customHeight="1">
      <c r="A1581" s="6">
        <v>1579</v>
      </c>
      <c r="B1581" s="6" t="str">
        <f>"508120230421200825139039"</f>
        <v>508120230421200825139039</v>
      </c>
      <c r="C1581" s="6" t="s">
        <v>10</v>
      </c>
      <c r="D1581" s="6" t="str">
        <f>"王俊程"</f>
        <v>王俊程</v>
      </c>
    </row>
    <row r="1582" spans="1:4" ht="30" customHeight="1">
      <c r="A1582" s="6">
        <v>1580</v>
      </c>
      <c r="B1582" s="6" t="str">
        <f>"508120230422085310139175"</f>
        <v>508120230422085310139175</v>
      </c>
      <c r="C1582" s="6" t="s">
        <v>10</v>
      </c>
      <c r="D1582" s="6" t="str">
        <f>"周政旭"</f>
        <v>周政旭</v>
      </c>
    </row>
    <row r="1583" spans="1:4" ht="30" customHeight="1">
      <c r="A1583" s="6">
        <v>1581</v>
      </c>
      <c r="B1583" s="6" t="str">
        <f>"508120230422122503139295"</f>
        <v>508120230422122503139295</v>
      </c>
      <c r="C1583" s="6" t="s">
        <v>10</v>
      </c>
      <c r="D1583" s="6" t="str">
        <f>"许津滔"</f>
        <v>许津滔</v>
      </c>
    </row>
    <row r="1584" spans="1:4" ht="30" customHeight="1">
      <c r="A1584" s="6">
        <v>1582</v>
      </c>
      <c r="B1584" s="6" t="str">
        <f>"508120230421221403139100"</f>
        <v>508120230421221403139100</v>
      </c>
      <c r="C1584" s="6" t="s">
        <v>10</v>
      </c>
      <c r="D1584" s="6" t="str">
        <f>"程文"</f>
        <v>程文</v>
      </c>
    </row>
    <row r="1585" spans="1:4" ht="30" customHeight="1">
      <c r="A1585" s="6">
        <v>1583</v>
      </c>
      <c r="B1585" s="6" t="str">
        <f>"508120230422133631139341"</f>
        <v>508120230422133631139341</v>
      </c>
      <c r="C1585" s="6" t="s">
        <v>10</v>
      </c>
      <c r="D1585" s="6" t="str">
        <f>"梁萌"</f>
        <v>梁萌</v>
      </c>
    </row>
    <row r="1586" spans="1:4" ht="30" customHeight="1">
      <c r="A1586" s="6">
        <v>1584</v>
      </c>
      <c r="B1586" s="6" t="str">
        <f>"508120230422150814139372"</f>
        <v>508120230422150814139372</v>
      </c>
      <c r="C1586" s="6" t="s">
        <v>10</v>
      </c>
      <c r="D1586" s="6" t="str">
        <f>"林世宁"</f>
        <v>林世宁</v>
      </c>
    </row>
    <row r="1587" spans="1:4" ht="30" customHeight="1">
      <c r="A1587" s="6">
        <v>1585</v>
      </c>
      <c r="B1587" s="6" t="str">
        <f>"508120230421163441138857"</f>
        <v>508120230421163441138857</v>
      </c>
      <c r="C1587" s="6" t="s">
        <v>10</v>
      </c>
      <c r="D1587" s="6" t="str">
        <f>"许海余"</f>
        <v>许海余</v>
      </c>
    </row>
    <row r="1588" spans="1:4" ht="30" customHeight="1">
      <c r="A1588" s="6">
        <v>1586</v>
      </c>
      <c r="B1588" s="6" t="str">
        <f>"508120230421101454138302"</f>
        <v>508120230421101454138302</v>
      </c>
      <c r="C1588" s="6" t="s">
        <v>10</v>
      </c>
      <c r="D1588" s="6" t="str">
        <f>"肖阳"</f>
        <v>肖阳</v>
      </c>
    </row>
    <row r="1589" spans="1:4" ht="30" customHeight="1">
      <c r="A1589" s="6">
        <v>1587</v>
      </c>
      <c r="B1589" s="6" t="str">
        <f>"508120230422194833139514"</f>
        <v>508120230422194833139514</v>
      </c>
      <c r="C1589" s="6" t="s">
        <v>10</v>
      </c>
      <c r="D1589" s="6" t="str">
        <f>"吴辉"</f>
        <v>吴辉</v>
      </c>
    </row>
    <row r="1590" spans="1:4" ht="30" customHeight="1">
      <c r="A1590" s="6">
        <v>1588</v>
      </c>
      <c r="B1590" s="6" t="str">
        <f>"508120230423084911139718"</f>
        <v>508120230423084911139718</v>
      </c>
      <c r="C1590" s="6" t="s">
        <v>10</v>
      </c>
      <c r="D1590" s="6" t="str">
        <f>"颜志刚"</f>
        <v>颜志刚</v>
      </c>
    </row>
    <row r="1591" spans="1:4" ht="30" customHeight="1">
      <c r="A1591" s="6">
        <v>1589</v>
      </c>
      <c r="B1591" s="6" t="str">
        <f>"508120230421225002139118"</f>
        <v>508120230421225002139118</v>
      </c>
      <c r="C1591" s="6" t="s">
        <v>10</v>
      </c>
      <c r="D1591" s="6" t="str">
        <f>"王晓提"</f>
        <v>王晓提</v>
      </c>
    </row>
    <row r="1592" spans="1:4" ht="30" customHeight="1">
      <c r="A1592" s="6">
        <v>1590</v>
      </c>
      <c r="B1592" s="6" t="str">
        <f>"508120230423092704139762"</f>
        <v>508120230423092704139762</v>
      </c>
      <c r="C1592" s="6" t="s">
        <v>10</v>
      </c>
      <c r="D1592" s="6" t="str">
        <f>"李豫"</f>
        <v>李豫</v>
      </c>
    </row>
    <row r="1593" spans="1:4" ht="30" customHeight="1">
      <c r="A1593" s="6">
        <v>1591</v>
      </c>
      <c r="B1593" s="6" t="str">
        <f>"508120230422235217139676"</f>
        <v>508120230422235217139676</v>
      </c>
      <c r="C1593" s="6" t="s">
        <v>10</v>
      </c>
      <c r="D1593" s="6" t="str">
        <f>"周谦"</f>
        <v>周谦</v>
      </c>
    </row>
    <row r="1594" spans="1:4" ht="30" customHeight="1">
      <c r="A1594" s="6">
        <v>1592</v>
      </c>
      <c r="B1594" s="6" t="str">
        <f>"508120230423110247139861"</f>
        <v>508120230423110247139861</v>
      </c>
      <c r="C1594" s="6" t="s">
        <v>10</v>
      </c>
      <c r="D1594" s="6" t="str">
        <f>"黄东梁"</f>
        <v>黄东梁</v>
      </c>
    </row>
    <row r="1595" spans="1:4" ht="30" customHeight="1">
      <c r="A1595" s="6">
        <v>1593</v>
      </c>
      <c r="B1595" s="6" t="str">
        <f>"508120230423085837139728"</f>
        <v>508120230423085837139728</v>
      </c>
      <c r="C1595" s="6" t="s">
        <v>10</v>
      </c>
      <c r="D1595" s="6" t="str">
        <f>"林义柳"</f>
        <v>林义柳</v>
      </c>
    </row>
    <row r="1596" spans="1:4" ht="30" customHeight="1">
      <c r="A1596" s="6">
        <v>1594</v>
      </c>
      <c r="B1596" s="6" t="str">
        <f>"508120230423113054139896"</f>
        <v>508120230423113054139896</v>
      </c>
      <c r="C1596" s="6" t="s">
        <v>10</v>
      </c>
      <c r="D1596" s="6" t="str">
        <f>"朱磊"</f>
        <v>朱磊</v>
      </c>
    </row>
    <row r="1597" spans="1:4" ht="30" customHeight="1">
      <c r="A1597" s="6">
        <v>1595</v>
      </c>
      <c r="B1597" s="6" t="str">
        <f>"508120230423131101139952"</f>
        <v>508120230423131101139952</v>
      </c>
      <c r="C1597" s="6" t="s">
        <v>10</v>
      </c>
      <c r="D1597" s="6" t="str">
        <f>"吴乙锦"</f>
        <v>吴乙锦</v>
      </c>
    </row>
    <row r="1598" spans="1:4" ht="30" customHeight="1">
      <c r="A1598" s="6">
        <v>1596</v>
      </c>
      <c r="B1598" s="6" t="str">
        <f>"508120230423114029139902"</f>
        <v>508120230423114029139902</v>
      </c>
      <c r="C1598" s="6" t="s">
        <v>10</v>
      </c>
      <c r="D1598" s="6" t="str">
        <f>"潘春燕"</f>
        <v>潘春燕</v>
      </c>
    </row>
    <row r="1599" spans="1:4" ht="30" customHeight="1">
      <c r="A1599" s="6">
        <v>1597</v>
      </c>
      <c r="B1599" s="6" t="str">
        <f>"508120230421235958139140"</f>
        <v>508120230421235958139140</v>
      </c>
      <c r="C1599" s="6" t="s">
        <v>10</v>
      </c>
      <c r="D1599" s="6" t="str">
        <f>"张辰"</f>
        <v>张辰</v>
      </c>
    </row>
    <row r="1600" spans="1:4" ht="30" customHeight="1">
      <c r="A1600" s="6">
        <v>1598</v>
      </c>
      <c r="B1600" s="6" t="str">
        <f>"508120230423094838139793"</f>
        <v>508120230423094838139793</v>
      </c>
      <c r="C1600" s="6" t="s">
        <v>10</v>
      </c>
      <c r="D1600" s="6" t="str">
        <f>"刘文成"</f>
        <v>刘文成</v>
      </c>
    </row>
    <row r="1601" spans="1:4" ht="30" customHeight="1">
      <c r="A1601" s="6">
        <v>1599</v>
      </c>
      <c r="B1601" s="6" t="str">
        <f>"508120230423104319139831"</f>
        <v>508120230423104319139831</v>
      </c>
      <c r="C1601" s="6" t="s">
        <v>10</v>
      </c>
      <c r="D1601" s="6" t="str">
        <f>"王志"</f>
        <v>王志</v>
      </c>
    </row>
    <row r="1602" spans="1:4" ht="30" customHeight="1">
      <c r="A1602" s="6">
        <v>1600</v>
      </c>
      <c r="B1602" s="6" t="str">
        <f>"508120230423165309140132"</f>
        <v>508120230423165309140132</v>
      </c>
      <c r="C1602" s="6" t="s">
        <v>10</v>
      </c>
      <c r="D1602" s="6" t="str">
        <f>"卢肖怡"</f>
        <v>卢肖怡</v>
      </c>
    </row>
    <row r="1603" spans="1:4" ht="30" customHeight="1">
      <c r="A1603" s="6">
        <v>1601</v>
      </c>
      <c r="B1603" s="6" t="str">
        <f>"508120230421203616139057"</f>
        <v>508120230421203616139057</v>
      </c>
      <c r="C1603" s="6" t="s">
        <v>10</v>
      </c>
      <c r="D1603" s="6" t="str">
        <f>"陈昂"</f>
        <v>陈昂</v>
      </c>
    </row>
    <row r="1604" spans="1:4" ht="30" customHeight="1">
      <c r="A1604" s="6">
        <v>1602</v>
      </c>
      <c r="B1604" s="6" t="str">
        <f>"508120230422003201139148"</f>
        <v>508120230422003201139148</v>
      </c>
      <c r="C1604" s="6" t="s">
        <v>10</v>
      </c>
      <c r="D1604" s="6" t="str">
        <f>"伦峻"</f>
        <v>伦峻</v>
      </c>
    </row>
    <row r="1605" spans="1:4" ht="30" customHeight="1">
      <c r="A1605" s="6">
        <v>1603</v>
      </c>
      <c r="B1605" s="6" t="str">
        <f>"508120230423122059139932"</f>
        <v>508120230423122059139932</v>
      </c>
      <c r="C1605" s="6" t="s">
        <v>10</v>
      </c>
      <c r="D1605" s="6" t="str">
        <f>"黄华"</f>
        <v>黄华</v>
      </c>
    </row>
    <row r="1606" spans="1:4" ht="30" customHeight="1">
      <c r="A1606" s="6">
        <v>1604</v>
      </c>
      <c r="B1606" s="6" t="str">
        <f>"508120230421153248138767"</f>
        <v>508120230421153248138767</v>
      </c>
      <c r="C1606" s="6" t="s">
        <v>10</v>
      </c>
      <c r="D1606" s="6" t="str">
        <f>"韩旭阳"</f>
        <v>韩旭阳</v>
      </c>
    </row>
    <row r="1607" spans="1:4" ht="30" customHeight="1">
      <c r="A1607" s="6">
        <v>1605</v>
      </c>
      <c r="B1607" s="6" t="str">
        <f>"508120230423165346140133"</f>
        <v>508120230423165346140133</v>
      </c>
      <c r="C1607" s="6" t="s">
        <v>10</v>
      </c>
      <c r="D1607" s="6" t="str">
        <f>"符庆欢"</f>
        <v>符庆欢</v>
      </c>
    </row>
    <row r="1608" spans="1:4" ht="30" customHeight="1">
      <c r="A1608" s="6">
        <v>1606</v>
      </c>
      <c r="B1608" s="6" t="str">
        <f>"508120230424073718140445"</f>
        <v>508120230424073718140445</v>
      </c>
      <c r="C1608" s="6" t="s">
        <v>10</v>
      </c>
      <c r="D1608" s="6" t="str">
        <f>"常嘉伟"</f>
        <v>常嘉伟</v>
      </c>
    </row>
    <row r="1609" spans="1:4" ht="30" customHeight="1">
      <c r="A1609" s="6">
        <v>1607</v>
      </c>
      <c r="B1609" s="6" t="str">
        <f>"508120230424093030140510"</f>
        <v>508120230424093030140510</v>
      </c>
      <c r="C1609" s="6" t="s">
        <v>10</v>
      </c>
      <c r="D1609" s="6" t="str">
        <f>"王荣江"</f>
        <v>王荣江</v>
      </c>
    </row>
    <row r="1610" spans="1:4" ht="30" customHeight="1">
      <c r="A1610" s="6">
        <v>1608</v>
      </c>
      <c r="B1610" s="6" t="str">
        <f>"508120230421092159138159"</f>
        <v>508120230421092159138159</v>
      </c>
      <c r="C1610" s="6" t="s">
        <v>10</v>
      </c>
      <c r="D1610" s="6" t="str">
        <f>"陈明"</f>
        <v>陈明</v>
      </c>
    </row>
    <row r="1611" spans="1:4" ht="30" customHeight="1">
      <c r="A1611" s="6">
        <v>1609</v>
      </c>
      <c r="B1611" s="6" t="str">
        <f>"508120230424101718140571"</f>
        <v>508120230424101718140571</v>
      </c>
      <c r="C1611" s="6" t="s">
        <v>10</v>
      </c>
      <c r="D1611" s="6" t="str">
        <f>"林桂强"</f>
        <v>林桂强</v>
      </c>
    </row>
    <row r="1612" spans="1:4" ht="30" customHeight="1">
      <c r="A1612" s="6">
        <v>1610</v>
      </c>
      <c r="B1612" s="6" t="str">
        <f>"508120230424112431140640"</f>
        <v>508120230424112431140640</v>
      </c>
      <c r="C1612" s="6" t="s">
        <v>10</v>
      </c>
      <c r="D1612" s="6" t="str">
        <f>"黄钰铜"</f>
        <v>黄钰铜</v>
      </c>
    </row>
    <row r="1613" spans="1:4" ht="30" customHeight="1">
      <c r="A1613" s="6">
        <v>1611</v>
      </c>
      <c r="B1613" s="6" t="str">
        <f>"508120230423133020139959"</f>
        <v>508120230423133020139959</v>
      </c>
      <c r="C1613" s="6" t="s">
        <v>10</v>
      </c>
      <c r="D1613" s="6" t="str">
        <f>"冯伟波"</f>
        <v>冯伟波</v>
      </c>
    </row>
    <row r="1614" spans="1:4" ht="30" customHeight="1">
      <c r="A1614" s="6">
        <v>1612</v>
      </c>
      <c r="B1614" s="6" t="str">
        <f>"508120230424092750140506"</f>
        <v>508120230424092750140506</v>
      </c>
      <c r="C1614" s="6" t="s">
        <v>10</v>
      </c>
      <c r="D1614" s="6" t="str">
        <f>"唐季华"</f>
        <v>唐季华</v>
      </c>
    </row>
    <row r="1615" spans="1:4" ht="30" customHeight="1">
      <c r="A1615" s="6">
        <v>1613</v>
      </c>
      <c r="B1615" s="6" t="str">
        <f>"508120230424123940140691"</f>
        <v>508120230424123940140691</v>
      </c>
      <c r="C1615" s="6" t="s">
        <v>10</v>
      </c>
      <c r="D1615" s="6" t="str">
        <f>"林扬繁"</f>
        <v>林扬繁</v>
      </c>
    </row>
    <row r="1616" spans="1:4" ht="30" customHeight="1">
      <c r="A1616" s="6">
        <v>1614</v>
      </c>
      <c r="B1616" s="6" t="str">
        <f>"508120230424154501140789"</f>
        <v>508120230424154501140789</v>
      </c>
      <c r="C1616" s="6" t="s">
        <v>10</v>
      </c>
      <c r="D1616" s="6" t="str">
        <f>"胡茂山"</f>
        <v>胡茂山</v>
      </c>
    </row>
    <row r="1617" spans="1:4" ht="30" customHeight="1">
      <c r="A1617" s="6">
        <v>1615</v>
      </c>
      <c r="B1617" s="6" t="str">
        <f>"508120230424162257140830"</f>
        <v>508120230424162257140830</v>
      </c>
      <c r="C1617" s="6" t="s">
        <v>10</v>
      </c>
      <c r="D1617" s="6" t="str">
        <f>"符胜雄"</f>
        <v>符胜雄</v>
      </c>
    </row>
    <row r="1618" spans="1:4" ht="30" customHeight="1">
      <c r="A1618" s="6">
        <v>1616</v>
      </c>
      <c r="B1618" s="6" t="str">
        <f>"508120230423190113140214"</f>
        <v>508120230423190113140214</v>
      </c>
      <c r="C1618" s="6" t="s">
        <v>10</v>
      </c>
      <c r="D1618" s="6" t="str">
        <f>"林双玲"</f>
        <v>林双玲</v>
      </c>
    </row>
    <row r="1619" spans="1:4" ht="30" customHeight="1">
      <c r="A1619" s="6">
        <v>1617</v>
      </c>
      <c r="B1619" s="6" t="str">
        <f>"508120230424180955140906"</f>
        <v>508120230424180955140906</v>
      </c>
      <c r="C1619" s="6" t="s">
        <v>10</v>
      </c>
      <c r="D1619" s="6" t="str">
        <f>"李育彪"</f>
        <v>李育彪</v>
      </c>
    </row>
    <row r="1620" spans="1:4" ht="30" customHeight="1">
      <c r="A1620" s="6">
        <v>1618</v>
      </c>
      <c r="B1620" s="6" t="str">
        <f>"508120230424114834140664"</f>
        <v>508120230424114834140664</v>
      </c>
      <c r="C1620" s="6" t="s">
        <v>10</v>
      </c>
      <c r="D1620" s="6" t="str">
        <f>"曾维源"</f>
        <v>曾维源</v>
      </c>
    </row>
    <row r="1621" spans="1:4" ht="30" customHeight="1">
      <c r="A1621" s="6">
        <v>1619</v>
      </c>
      <c r="B1621" s="6" t="str">
        <f>"508120230423114411139904"</f>
        <v>508120230423114411139904</v>
      </c>
      <c r="C1621" s="6" t="s">
        <v>10</v>
      </c>
      <c r="D1621" s="6" t="str">
        <f>"黄小飞"</f>
        <v>黄小飞</v>
      </c>
    </row>
    <row r="1622" spans="1:4" ht="30" customHeight="1">
      <c r="A1622" s="6">
        <v>1620</v>
      </c>
      <c r="B1622" s="6" t="str">
        <f>"508120230424221519141066"</f>
        <v>508120230424221519141066</v>
      </c>
      <c r="C1622" s="6" t="s">
        <v>10</v>
      </c>
      <c r="D1622" s="6" t="str">
        <f>"吴用文"</f>
        <v>吴用文</v>
      </c>
    </row>
    <row r="1623" spans="1:4" ht="30" customHeight="1">
      <c r="A1623" s="6">
        <v>1621</v>
      </c>
      <c r="B1623" s="6" t="str">
        <f>"508120230424205215141008"</f>
        <v>508120230424205215141008</v>
      </c>
      <c r="C1623" s="6" t="s">
        <v>10</v>
      </c>
      <c r="D1623" s="6" t="str">
        <f>"倪晨曦"</f>
        <v>倪晨曦</v>
      </c>
    </row>
    <row r="1624" spans="1:4" ht="30" customHeight="1">
      <c r="A1624" s="6">
        <v>1622</v>
      </c>
      <c r="B1624" s="6" t="str">
        <f>"508120230424223321141078"</f>
        <v>508120230424223321141078</v>
      </c>
      <c r="C1624" s="6" t="s">
        <v>10</v>
      </c>
      <c r="D1624" s="6" t="str">
        <f>"邢子君"</f>
        <v>邢子君</v>
      </c>
    </row>
    <row r="1625" spans="1:4" ht="30" customHeight="1">
      <c r="A1625" s="6">
        <v>1623</v>
      </c>
      <c r="B1625" s="6" t="str">
        <f>"508120230424222835141076"</f>
        <v>508120230424222835141076</v>
      </c>
      <c r="C1625" s="6" t="s">
        <v>10</v>
      </c>
      <c r="D1625" s="6" t="str">
        <f>"陈盛才"</f>
        <v>陈盛才</v>
      </c>
    </row>
    <row r="1626" spans="1:4" ht="30" customHeight="1">
      <c r="A1626" s="6">
        <v>1624</v>
      </c>
      <c r="B1626" s="6" t="str">
        <f>"508120230421104914138398"</f>
        <v>508120230421104914138398</v>
      </c>
      <c r="C1626" s="6" t="s">
        <v>10</v>
      </c>
      <c r="D1626" s="6" t="str">
        <f>"麦锦浩"</f>
        <v>麦锦浩</v>
      </c>
    </row>
    <row r="1627" spans="1:4" ht="30" customHeight="1">
      <c r="A1627" s="6">
        <v>1625</v>
      </c>
      <c r="B1627" s="6" t="str">
        <f>"508120230425082301141149"</f>
        <v>508120230425082301141149</v>
      </c>
      <c r="C1627" s="6" t="s">
        <v>10</v>
      </c>
      <c r="D1627" s="6" t="str">
        <f>"蔡期章"</f>
        <v>蔡期章</v>
      </c>
    </row>
    <row r="1628" spans="1:4" ht="30" customHeight="1">
      <c r="A1628" s="6">
        <v>1626</v>
      </c>
      <c r="B1628" s="6" t="str">
        <f>"508120230425091750141175"</f>
        <v>508120230425091750141175</v>
      </c>
      <c r="C1628" s="6" t="s">
        <v>10</v>
      </c>
      <c r="D1628" s="6" t="str">
        <f>"符传栋"</f>
        <v>符传栋</v>
      </c>
    </row>
    <row r="1629" spans="1:4" ht="30" customHeight="1">
      <c r="A1629" s="6">
        <v>1627</v>
      </c>
      <c r="B1629" s="6" t="str">
        <f>"508120230425002814141127"</f>
        <v>508120230425002814141127</v>
      </c>
      <c r="C1629" s="6" t="s">
        <v>10</v>
      </c>
      <c r="D1629" s="6" t="str">
        <f>"郭教警"</f>
        <v>郭教警</v>
      </c>
    </row>
    <row r="1630" spans="1:4" ht="30" customHeight="1">
      <c r="A1630" s="6">
        <v>1628</v>
      </c>
      <c r="B1630" s="6" t="str">
        <f>"508120230424215252141045"</f>
        <v>508120230424215252141045</v>
      </c>
      <c r="C1630" s="6" t="s">
        <v>10</v>
      </c>
      <c r="D1630" s="6" t="str">
        <f>"张楠"</f>
        <v>张楠</v>
      </c>
    </row>
    <row r="1631" spans="1:4" ht="30" customHeight="1">
      <c r="A1631" s="6">
        <v>1629</v>
      </c>
      <c r="B1631" s="6" t="str">
        <f>"508120230424090240140484"</f>
        <v>508120230424090240140484</v>
      </c>
      <c r="C1631" s="6" t="s">
        <v>10</v>
      </c>
      <c r="D1631" s="6" t="str">
        <f>"蔡日云"</f>
        <v>蔡日云</v>
      </c>
    </row>
    <row r="1632" spans="1:4" ht="30" customHeight="1">
      <c r="A1632" s="6">
        <v>1630</v>
      </c>
      <c r="B1632" s="6" t="str">
        <f>"508120230425102038141208"</f>
        <v>508120230425102038141208</v>
      </c>
      <c r="C1632" s="6" t="s">
        <v>10</v>
      </c>
      <c r="D1632" s="6" t="str">
        <f>"戴家伟"</f>
        <v>戴家伟</v>
      </c>
    </row>
    <row r="1633" spans="1:4" ht="30" customHeight="1">
      <c r="A1633" s="6">
        <v>1631</v>
      </c>
      <c r="B1633" s="6" t="str">
        <f>"508120230425142016141339"</f>
        <v>508120230425142016141339</v>
      </c>
      <c r="C1633" s="6" t="s">
        <v>10</v>
      </c>
      <c r="D1633" s="6" t="str">
        <f>"肖秉权"</f>
        <v>肖秉权</v>
      </c>
    </row>
    <row r="1634" spans="1:4" ht="30" customHeight="1">
      <c r="A1634" s="6">
        <v>1632</v>
      </c>
      <c r="B1634" s="6" t="str">
        <f>"508120230425095243141193"</f>
        <v>508120230425095243141193</v>
      </c>
      <c r="C1634" s="6" t="s">
        <v>10</v>
      </c>
      <c r="D1634" s="6" t="str">
        <f>"邓凯翔"</f>
        <v>邓凯翔</v>
      </c>
    </row>
    <row r="1635" spans="1:4" ht="30" customHeight="1">
      <c r="A1635" s="6">
        <v>1633</v>
      </c>
      <c r="B1635" s="6" t="str">
        <f>"508120230425162339141429"</f>
        <v>508120230425162339141429</v>
      </c>
      <c r="C1635" s="6" t="s">
        <v>10</v>
      </c>
      <c r="D1635" s="6" t="str">
        <f>"麦永庆"</f>
        <v>麦永庆</v>
      </c>
    </row>
    <row r="1636" spans="1:4" ht="30" customHeight="1">
      <c r="A1636" s="6">
        <v>1634</v>
      </c>
      <c r="B1636" s="6" t="str">
        <f>"508120230425193142141529"</f>
        <v>508120230425193142141529</v>
      </c>
      <c r="C1636" s="6" t="s">
        <v>10</v>
      </c>
      <c r="D1636" s="6" t="str">
        <f>"高元兴"</f>
        <v>高元兴</v>
      </c>
    </row>
    <row r="1637" spans="1:4" ht="30" customHeight="1">
      <c r="A1637" s="6">
        <v>1635</v>
      </c>
      <c r="B1637" s="6" t="str">
        <f>"508120230425110954141257"</f>
        <v>508120230425110954141257</v>
      </c>
      <c r="C1637" s="6" t="s">
        <v>10</v>
      </c>
      <c r="D1637" s="6" t="str">
        <f>"谢宗禄"</f>
        <v>谢宗禄</v>
      </c>
    </row>
    <row r="1638" spans="1:4" ht="30" customHeight="1">
      <c r="A1638" s="6">
        <v>1636</v>
      </c>
      <c r="B1638" s="6" t="str">
        <f>"508120230421191138139003"</f>
        <v>508120230421191138139003</v>
      </c>
      <c r="C1638" s="6" t="s">
        <v>10</v>
      </c>
      <c r="D1638" s="6" t="str">
        <f>"李维良"</f>
        <v>李维良</v>
      </c>
    </row>
    <row r="1639" spans="1:4" ht="30" customHeight="1">
      <c r="A1639" s="6">
        <v>1637</v>
      </c>
      <c r="B1639" s="6" t="str">
        <f>"508120230421181606138964"</f>
        <v>508120230421181606138964</v>
      </c>
      <c r="C1639" s="6" t="s">
        <v>10</v>
      </c>
      <c r="D1639" s="6" t="str">
        <f>"李俊宏"</f>
        <v>李俊宏</v>
      </c>
    </row>
    <row r="1640" spans="1:4" ht="30" customHeight="1">
      <c r="A1640" s="6">
        <v>1638</v>
      </c>
      <c r="B1640" s="6" t="str">
        <f>"508120230425201129141545"</f>
        <v>508120230425201129141545</v>
      </c>
      <c r="C1640" s="6" t="s">
        <v>10</v>
      </c>
      <c r="D1640" s="6" t="str">
        <f>"程涛"</f>
        <v>程涛</v>
      </c>
    </row>
    <row r="1641" spans="1:4" ht="30" customHeight="1">
      <c r="A1641" s="6">
        <v>1639</v>
      </c>
      <c r="B1641" s="6" t="str">
        <f>"508120230425221227141623"</f>
        <v>508120230425221227141623</v>
      </c>
      <c r="C1641" s="6" t="s">
        <v>10</v>
      </c>
      <c r="D1641" s="6" t="str">
        <f>"陈家鹏"</f>
        <v>陈家鹏</v>
      </c>
    </row>
    <row r="1642" spans="1:4" ht="30" customHeight="1">
      <c r="A1642" s="6">
        <v>1640</v>
      </c>
      <c r="B1642" s="6" t="str">
        <f>"508120230423000413139682"</f>
        <v>508120230423000413139682</v>
      </c>
      <c r="C1642" s="6" t="s">
        <v>10</v>
      </c>
      <c r="D1642" s="6" t="str">
        <f>"方中清"</f>
        <v>方中清</v>
      </c>
    </row>
    <row r="1643" spans="1:4" ht="30" customHeight="1">
      <c r="A1643" s="6">
        <v>1641</v>
      </c>
      <c r="B1643" s="6" t="str">
        <f>"508120230421111226138441"</f>
        <v>508120230421111226138441</v>
      </c>
      <c r="C1643" s="6" t="s">
        <v>10</v>
      </c>
      <c r="D1643" s="6" t="str">
        <f>"余才群"</f>
        <v>余才群</v>
      </c>
    </row>
    <row r="1644" spans="1:4" ht="30" customHeight="1">
      <c r="A1644" s="6">
        <v>1642</v>
      </c>
      <c r="B1644" s="6" t="str">
        <f>"508120230426102325141770"</f>
        <v>508120230426102325141770</v>
      </c>
      <c r="C1644" s="6" t="s">
        <v>10</v>
      </c>
      <c r="D1644" s="6" t="str">
        <f>"钟生诚"</f>
        <v>钟生诚</v>
      </c>
    </row>
    <row r="1645" spans="1:4" ht="30" customHeight="1">
      <c r="A1645" s="6">
        <v>1643</v>
      </c>
      <c r="B1645" s="6" t="str">
        <f>"508120230423112910139893"</f>
        <v>508120230423112910139893</v>
      </c>
      <c r="C1645" s="6" t="s">
        <v>10</v>
      </c>
      <c r="D1645" s="6" t="str">
        <f>"谢圣成"</f>
        <v>谢圣成</v>
      </c>
    </row>
    <row r="1646" spans="1:4" ht="30" customHeight="1">
      <c r="A1646" s="6">
        <v>1644</v>
      </c>
      <c r="B1646" s="6" t="str">
        <f>"508120230426075122141703"</f>
        <v>508120230426075122141703</v>
      </c>
      <c r="C1646" s="6" t="s">
        <v>10</v>
      </c>
      <c r="D1646" s="6" t="str">
        <f>"张斌"</f>
        <v>张斌</v>
      </c>
    </row>
    <row r="1647" spans="1:4" ht="30" customHeight="1">
      <c r="A1647" s="6">
        <v>1645</v>
      </c>
      <c r="B1647" s="6" t="str">
        <f>"508120230426115656141831"</f>
        <v>508120230426115656141831</v>
      </c>
      <c r="C1647" s="6" t="s">
        <v>10</v>
      </c>
      <c r="D1647" s="6" t="str">
        <f>"梁瑞英"</f>
        <v>梁瑞英</v>
      </c>
    </row>
    <row r="1648" spans="1:4" ht="30" customHeight="1">
      <c r="A1648" s="6">
        <v>1646</v>
      </c>
      <c r="B1648" s="6" t="str">
        <f>"508120230426115258141829"</f>
        <v>508120230426115258141829</v>
      </c>
      <c r="C1648" s="6" t="s">
        <v>10</v>
      </c>
      <c r="D1648" s="6" t="str">
        <f>"刘学俊"</f>
        <v>刘学俊</v>
      </c>
    </row>
    <row r="1649" spans="1:4" ht="30" customHeight="1">
      <c r="A1649" s="6">
        <v>1647</v>
      </c>
      <c r="B1649" s="6" t="str">
        <f>"508120230426120540141835"</f>
        <v>508120230426120540141835</v>
      </c>
      <c r="C1649" s="6" t="s">
        <v>10</v>
      </c>
      <c r="D1649" s="6" t="str">
        <f>"陈新河"</f>
        <v>陈新河</v>
      </c>
    </row>
    <row r="1650" spans="1:4" ht="30" customHeight="1">
      <c r="A1650" s="6">
        <v>1648</v>
      </c>
      <c r="B1650" s="6" t="str">
        <f>"508120230426151743141924"</f>
        <v>508120230426151743141924</v>
      </c>
      <c r="C1650" s="6" t="s">
        <v>10</v>
      </c>
      <c r="D1650" s="6" t="str">
        <f>"白琳"</f>
        <v>白琳</v>
      </c>
    </row>
    <row r="1651" spans="1:4" ht="30" customHeight="1">
      <c r="A1651" s="6">
        <v>1649</v>
      </c>
      <c r="B1651" s="6" t="str">
        <f>"508120230426150741141917"</f>
        <v>508120230426150741141917</v>
      </c>
      <c r="C1651" s="6" t="s">
        <v>10</v>
      </c>
      <c r="D1651" s="6" t="str">
        <f>"梁伟邦"</f>
        <v>梁伟邦</v>
      </c>
    </row>
    <row r="1652" spans="1:4" ht="30" customHeight="1">
      <c r="A1652" s="6">
        <v>1650</v>
      </c>
      <c r="B1652" s="6" t="str">
        <f>"508120230426165525142015"</f>
        <v>508120230426165525142015</v>
      </c>
      <c r="C1652" s="6" t="s">
        <v>10</v>
      </c>
      <c r="D1652" s="6" t="str">
        <f>"蔡栋"</f>
        <v>蔡栋</v>
      </c>
    </row>
    <row r="1653" spans="1:4" ht="30" customHeight="1">
      <c r="A1653" s="6">
        <v>1651</v>
      </c>
      <c r="B1653" s="6" t="str">
        <f>"508120230426152812141931"</f>
        <v>508120230426152812141931</v>
      </c>
      <c r="C1653" s="6" t="s">
        <v>10</v>
      </c>
      <c r="D1653" s="6" t="str">
        <f>"张利维"</f>
        <v>张利维</v>
      </c>
    </row>
    <row r="1654" spans="1:4" ht="30" customHeight="1">
      <c r="A1654" s="6">
        <v>1652</v>
      </c>
      <c r="B1654" s="6" t="str">
        <f>"508120230425160555141414"</f>
        <v>508120230425160555141414</v>
      </c>
      <c r="C1654" s="6" t="s">
        <v>10</v>
      </c>
      <c r="D1654" s="6" t="str">
        <f>"劳同湛"</f>
        <v>劳同湛</v>
      </c>
    </row>
    <row r="1655" spans="1:4" ht="30" customHeight="1">
      <c r="A1655" s="6">
        <v>1653</v>
      </c>
      <c r="B1655" s="6" t="str">
        <f>"508120230426173951142053"</f>
        <v>508120230426173951142053</v>
      </c>
      <c r="C1655" s="6" t="s">
        <v>10</v>
      </c>
      <c r="D1655" s="6" t="str">
        <f>"薛以浩"</f>
        <v>薛以浩</v>
      </c>
    </row>
    <row r="1656" spans="1:4" ht="30" customHeight="1">
      <c r="A1656" s="6">
        <v>1654</v>
      </c>
      <c r="B1656" s="6" t="str">
        <f>"508120230424094216140524"</f>
        <v>508120230424094216140524</v>
      </c>
      <c r="C1656" s="6" t="s">
        <v>10</v>
      </c>
      <c r="D1656" s="6" t="str">
        <f>"曾仁"</f>
        <v>曾仁</v>
      </c>
    </row>
    <row r="1657" spans="1:4" ht="30" customHeight="1">
      <c r="A1657" s="6">
        <v>1655</v>
      </c>
      <c r="B1657" s="6" t="str">
        <f>"508120230426193218142125"</f>
        <v>508120230426193218142125</v>
      </c>
      <c r="C1657" s="6" t="s">
        <v>10</v>
      </c>
      <c r="D1657" s="6" t="str">
        <f>"钟翔"</f>
        <v>钟翔</v>
      </c>
    </row>
    <row r="1658" spans="1:4" ht="30" customHeight="1">
      <c r="A1658" s="6">
        <v>1656</v>
      </c>
      <c r="B1658" s="6" t="str">
        <f>"508120230425234806141672"</f>
        <v>508120230425234806141672</v>
      </c>
      <c r="C1658" s="6" t="s">
        <v>10</v>
      </c>
      <c r="D1658" s="6" t="str">
        <f>"欧祖传"</f>
        <v>欧祖传</v>
      </c>
    </row>
    <row r="1659" spans="1:4" ht="30" customHeight="1">
      <c r="A1659" s="6">
        <v>1657</v>
      </c>
      <c r="B1659" s="6" t="str">
        <f>"508120230426202743142155"</f>
        <v>508120230426202743142155</v>
      </c>
      <c r="C1659" s="6" t="s">
        <v>10</v>
      </c>
      <c r="D1659" s="6" t="str">
        <f>"陈小琳"</f>
        <v>陈小琳</v>
      </c>
    </row>
    <row r="1660" spans="1:4" ht="30" customHeight="1">
      <c r="A1660" s="6">
        <v>1658</v>
      </c>
      <c r="B1660" s="6" t="str">
        <f>"508120230426215050142219"</f>
        <v>508120230426215050142219</v>
      </c>
      <c r="C1660" s="6" t="s">
        <v>10</v>
      </c>
      <c r="D1660" s="6" t="str">
        <f>"吴多炜"</f>
        <v>吴多炜</v>
      </c>
    </row>
    <row r="1661" spans="1:4" ht="30" customHeight="1">
      <c r="A1661" s="6">
        <v>1659</v>
      </c>
      <c r="B1661" s="6" t="str">
        <f>"508120230426124745141852"</f>
        <v>508120230426124745141852</v>
      </c>
      <c r="C1661" s="6" t="s">
        <v>10</v>
      </c>
      <c r="D1661" s="6" t="str">
        <f>"刘俊臣"</f>
        <v>刘俊臣</v>
      </c>
    </row>
    <row r="1662" spans="1:4" ht="30" customHeight="1">
      <c r="A1662" s="6">
        <v>1660</v>
      </c>
      <c r="B1662" s="6" t="str">
        <f>"508120230421091232138128"</f>
        <v>508120230421091232138128</v>
      </c>
      <c r="C1662" s="6" t="s">
        <v>10</v>
      </c>
      <c r="D1662" s="6" t="str">
        <f>"陈晓晨"</f>
        <v>陈晓晨</v>
      </c>
    </row>
    <row r="1663" spans="1:4" ht="30" customHeight="1">
      <c r="A1663" s="6">
        <v>1661</v>
      </c>
      <c r="B1663" s="6" t="str">
        <f>"508120230426172216142041"</f>
        <v>508120230426172216142041</v>
      </c>
      <c r="C1663" s="6" t="s">
        <v>10</v>
      </c>
      <c r="D1663" s="6" t="str">
        <f>"潘越"</f>
        <v>潘越</v>
      </c>
    </row>
    <row r="1664" spans="1:4" ht="30" customHeight="1">
      <c r="A1664" s="6">
        <v>1662</v>
      </c>
      <c r="B1664" s="6" t="str">
        <f>"508120230424103459140595"</f>
        <v>508120230424103459140595</v>
      </c>
      <c r="C1664" s="6" t="s">
        <v>10</v>
      </c>
      <c r="D1664" s="6" t="str">
        <f>"魏铭聪"</f>
        <v>魏铭聪</v>
      </c>
    </row>
    <row r="1665" spans="1:4" ht="30" customHeight="1">
      <c r="A1665" s="6">
        <v>1663</v>
      </c>
      <c r="B1665" s="6" t="str">
        <f>"508120230426171313142034"</f>
        <v>508120230426171313142034</v>
      </c>
      <c r="C1665" s="6" t="s">
        <v>10</v>
      </c>
      <c r="D1665" s="6" t="str">
        <f>"林克帆"</f>
        <v>林克帆</v>
      </c>
    </row>
    <row r="1666" spans="1:4" ht="30" customHeight="1">
      <c r="A1666" s="6">
        <v>1664</v>
      </c>
      <c r="B1666" s="6" t="str">
        <f>"508120230426165452142014"</f>
        <v>508120230426165452142014</v>
      </c>
      <c r="C1666" s="6" t="s">
        <v>10</v>
      </c>
      <c r="D1666" s="6" t="str">
        <f>"袁子洋"</f>
        <v>袁子洋</v>
      </c>
    </row>
    <row r="1667" spans="1:4" ht="30" customHeight="1">
      <c r="A1667" s="6">
        <v>1665</v>
      </c>
      <c r="B1667" s="6" t="str">
        <f>"508120230426223005142257"</f>
        <v>508120230426223005142257</v>
      </c>
      <c r="C1667" s="6" t="s">
        <v>10</v>
      </c>
      <c r="D1667" s="6" t="str">
        <f>"陈永殿"</f>
        <v>陈永殿</v>
      </c>
    </row>
    <row r="1668" spans="1:4" ht="30" customHeight="1">
      <c r="A1668" s="6">
        <v>1666</v>
      </c>
      <c r="B1668" s="6" t="str">
        <f>"508120230427075909142380"</f>
        <v>508120230427075909142380</v>
      </c>
      <c r="C1668" s="6" t="s">
        <v>10</v>
      </c>
      <c r="D1668" s="6" t="str">
        <f>"郑礼桥"</f>
        <v>郑礼桥</v>
      </c>
    </row>
    <row r="1669" spans="1:4" ht="30" customHeight="1">
      <c r="A1669" s="6">
        <v>1667</v>
      </c>
      <c r="B1669" s="6" t="str">
        <f>"508120230427102044142503"</f>
        <v>508120230427102044142503</v>
      </c>
      <c r="C1669" s="6" t="s">
        <v>10</v>
      </c>
      <c r="D1669" s="6" t="str">
        <f>"刘特旗"</f>
        <v>刘特旗</v>
      </c>
    </row>
    <row r="1670" spans="1:4" ht="30" customHeight="1">
      <c r="A1670" s="6">
        <v>1668</v>
      </c>
      <c r="B1670" s="6" t="str">
        <f>"508120230427110212142542"</f>
        <v>508120230427110212142542</v>
      </c>
      <c r="C1670" s="6" t="s">
        <v>10</v>
      </c>
      <c r="D1670" s="6" t="str">
        <f>"陈达明"</f>
        <v>陈达明</v>
      </c>
    </row>
    <row r="1671" spans="1:4" ht="30" customHeight="1">
      <c r="A1671" s="6">
        <v>1669</v>
      </c>
      <c r="B1671" s="6" t="str">
        <f>"508120230427114140142568"</f>
        <v>508120230427114140142568</v>
      </c>
      <c r="C1671" s="6" t="s">
        <v>10</v>
      </c>
      <c r="D1671" s="6" t="str">
        <f>"杨艳"</f>
        <v>杨艳</v>
      </c>
    </row>
    <row r="1672" spans="1:4" ht="30" customHeight="1">
      <c r="A1672" s="6">
        <v>1670</v>
      </c>
      <c r="B1672" s="6" t="str">
        <f>"508120230427114550142573"</f>
        <v>508120230427114550142573</v>
      </c>
      <c r="C1672" s="6" t="s">
        <v>10</v>
      </c>
      <c r="D1672" s="6" t="str">
        <f>"邓孚良"</f>
        <v>邓孚良</v>
      </c>
    </row>
    <row r="1673" spans="1:4" ht="30" customHeight="1">
      <c r="A1673" s="6">
        <v>1671</v>
      </c>
      <c r="B1673" s="6" t="str">
        <f>"508120230427115802142590"</f>
        <v>508120230427115802142590</v>
      </c>
      <c r="C1673" s="6" t="s">
        <v>10</v>
      </c>
      <c r="D1673" s="6" t="str">
        <f>"许雷铭"</f>
        <v>许雷铭</v>
      </c>
    </row>
    <row r="1674" spans="1:4" ht="30" customHeight="1">
      <c r="A1674" s="6">
        <v>1672</v>
      </c>
      <c r="B1674" s="6" t="str">
        <f>"508120230421090502138103"</f>
        <v>508120230421090502138103</v>
      </c>
      <c r="C1674" s="6" t="s">
        <v>11</v>
      </c>
      <c r="D1674" s="6" t="str">
        <f>"黄琳"</f>
        <v>黄琳</v>
      </c>
    </row>
    <row r="1675" spans="1:4" ht="30" customHeight="1">
      <c r="A1675" s="6">
        <v>1673</v>
      </c>
      <c r="B1675" s="6" t="str">
        <f>"508120230421091419138136"</f>
        <v>508120230421091419138136</v>
      </c>
      <c r="C1675" s="6" t="s">
        <v>11</v>
      </c>
      <c r="D1675" s="6" t="str">
        <f>"张玉麒"</f>
        <v>张玉麒</v>
      </c>
    </row>
    <row r="1676" spans="1:4" ht="30" customHeight="1">
      <c r="A1676" s="6">
        <v>1674</v>
      </c>
      <c r="B1676" s="6" t="str">
        <f>"508120230421091823138149"</f>
        <v>508120230421091823138149</v>
      </c>
      <c r="C1676" s="6" t="s">
        <v>11</v>
      </c>
      <c r="D1676" s="6" t="str">
        <f>"熊慧"</f>
        <v>熊慧</v>
      </c>
    </row>
    <row r="1677" spans="1:4" ht="30" customHeight="1">
      <c r="A1677" s="6">
        <v>1675</v>
      </c>
      <c r="B1677" s="6" t="str">
        <f>"508120230421090406138096"</f>
        <v>508120230421090406138096</v>
      </c>
      <c r="C1677" s="6" t="s">
        <v>11</v>
      </c>
      <c r="D1677" s="6" t="str">
        <f>"罗崇林"</f>
        <v>罗崇林</v>
      </c>
    </row>
    <row r="1678" spans="1:4" ht="30" customHeight="1">
      <c r="A1678" s="6">
        <v>1676</v>
      </c>
      <c r="B1678" s="6" t="str">
        <f>"508120230421094905138236"</f>
        <v>508120230421094905138236</v>
      </c>
      <c r="C1678" s="6" t="s">
        <v>11</v>
      </c>
      <c r="D1678" s="6" t="str">
        <f>"冯峰"</f>
        <v>冯峰</v>
      </c>
    </row>
    <row r="1679" spans="1:4" ht="30" customHeight="1">
      <c r="A1679" s="6">
        <v>1677</v>
      </c>
      <c r="B1679" s="6" t="str">
        <f>"508120230421094321138223"</f>
        <v>508120230421094321138223</v>
      </c>
      <c r="C1679" s="6" t="s">
        <v>11</v>
      </c>
      <c r="D1679" s="6" t="str">
        <f>"王壮光"</f>
        <v>王壮光</v>
      </c>
    </row>
    <row r="1680" spans="1:4" ht="30" customHeight="1">
      <c r="A1680" s="6">
        <v>1678</v>
      </c>
      <c r="B1680" s="6" t="str">
        <f>"508120230421090449138101"</f>
        <v>508120230421090449138101</v>
      </c>
      <c r="C1680" s="6" t="s">
        <v>11</v>
      </c>
      <c r="D1680" s="6" t="str">
        <f>"温盛亮"</f>
        <v>温盛亮</v>
      </c>
    </row>
    <row r="1681" spans="1:4" ht="30" customHeight="1">
      <c r="A1681" s="6">
        <v>1679</v>
      </c>
      <c r="B1681" s="6" t="str">
        <f>"508120230421093819138201"</f>
        <v>508120230421093819138201</v>
      </c>
      <c r="C1681" s="6" t="s">
        <v>11</v>
      </c>
      <c r="D1681" s="6" t="str">
        <f>"陈世珲"</f>
        <v>陈世珲</v>
      </c>
    </row>
    <row r="1682" spans="1:4" ht="30" customHeight="1">
      <c r="A1682" s="6">
        <v>1680</v>
      </c>
      <c r="B1682" s="6" t="str">
        <f>"508120230421100321138280"</f>
        <v>508120230421100321138280</v>
      </c>
      <c r="C1682" s="6" t="s">
        <v>11</v>
      </c>
      <c r="D1682" s="6" t="str">
        <f>"孙小微"</f>
        <v>孙小微</v>
      </c>
    </row>
    <row r="1683" spans="1:4" ht="30" customHeight="1">
      <c r="A1683" s="6">
        <v>1681</v>
      </c>
      <c r="B1683" s="6" t="str">
        <f>"508120230421095229138250"</f>
        <v>508120230421095229138250</v>
      </c>
      <c r="C1683" s="6" t="s">
        <v>11</v>
      </c>
      <c r="D1683" s="6" t="str">
        <f>"吴舒仪"</f>
        <v>吴舒仪</v>
      </c>
    </row>
    <row r="1684" spans="1:4" ht="30" customHeight="1">
      <c r="A1684" s="6">
        <v>1682</v>
      </c>
      <c r="B1684" s="6" t="str">
        <f>"508120230421090759138109"</f>
        <v>508120230421090759138109</v>
      </c>
      <c r="C1684" s="6" t="s">
        <v>11</v>
      </c>
      <c r="D1684" s="6" t="str">
        <f>"王业阳"</f>
        <v>王业阳</v>
      </c>
    </row>
    <row r="1685" spans="1:4" ht="30" customHeight="1">
      <c r="A1685" s="6">
        <v>1683</v>
      </c>
      <c r="B1685" s="6" t="str">
        <f>"508120230421090912138117"</f>
        <v>508120230421090912138117</v>
      </c>
      <c r="C1685" s="6" t="s">
        <v>11</v>
      </c>
      <c r="D1685" s="6" t="str">
        <f>"练霞"</f>
        <v>练霞</v>
      </c>
    </row>
    <row r="1686" spans="1:4" ht="30" customHeight="1">
      <c r="A1686" s="6">
        <v>1684</v>
      </c>
      <c r="B1686" s="6" t="str">
        <f>"508120230421102651138335"</f>
        <v>508120230421102651138335</v>
      </c>
      <c r="C1686" s="6" t="s">
        <v>11</v>
      </c>
      <c r="D1686" s="6" t="str">
        <f>"陈欣慧"</f>
        <v>陈欣慧</v>
      </c>
    </row>
    <row r="1687" spans="1:4" ht="30" customHeight="1">
      <c r="A1687" s="6">
        <v>1685</v>
      </c>
      <c r="B1687" s="6" t="str">
        <f>"508120230421104116138374"</f>
        <v>508120230421104116138374</v>
      </c>
      <c r="C1687" s="6" t="s">
        <v>11</v>
      </c>
      <c r="D1687" s="6" t="str">
        <f>"符镭"</f>
        <v>符镭</v>
      </c>
    </row>
    <row r="1688" spans="1:4" ht="30" customHeight="1">
      <c r="A1688" s="6">
        <v>1686</v>
      </c>
      <c r="B1688" s="6" t="str">
        <f>"508120230421102846138342"</f>
        <v>508120230421102846138342</v>
      </c>
      <c r="C1688" s="6" t="s">
        <v>11</v>
      </c>
      <c r="D1688" s="6" t="str">
        <f>"唐玥"</f>
        <v>唐玥</v>
      </c>
    </row>
    <row r="1689" spans="1:4" ht="30" customHeight="1">
      <c r="A1689" s="6">
        <v>1687</v>
      </c>
      <c r="B1689" s="6" t="str">
        <f>"508120230421095103138245"</f>
        <v>508120230421095103138245</v>
      </c>
      <c r="C1689" s="6" t="s">
        <v>11</v>
      </c>
      <c r="D1689" s="6" t="str">
        <f>"张汉斌"</f>
        <v>张汉斌</v>
      </c>
    </row>
    <row r="1690" spans="1:4" ht="30" customHeight="1">
      <c r="A1690" s="6">
        <v>1688</v>
      </c>
      <c r="B1690" s="6" t="str">
        <f>"508120230421105824138414"</f>
        <v>508120230421105824138414</v>
      </c>
      <c r="C1690" s="6" t="s">
        <v>11</v>
      </c>
      <c r="D1690" s="6" t="str">
        <f>"夏誉森"</f>
        <v>夏誉森</v>
      </c>
    </row>
    <row r="1691" spans="1:4" ht="30" customHeight="1">
      <c r="A1691" s="6">
        <v>1689</v>
      </c>
      <c r="B1691" s="6" t="str">
        <f>"508120230421094100138213"</f>
        <v>508120230421094100138213</v>
      </c>
      <c r="C1691" s="6" t="s">
        <v>11</v>
      </c>
      <c r="D1691" s="6" t="str">
        <f>"吴毅"</f>
        <v>吴毅</v>
      </c>
    </row>
    <row r="1692" spans="1:4" ht="30" customHeight="1">
      <c r="A1692" s="6">
        <v>1690</v>
      </c>
      <c r="B1692" s="6" t="str">
        <f>"508120230421104128138375"</f>
        <v>508120230421104128138375</v>
      </c>
      <c r="C1692" s="6" t="s">
        <v>11</v>
      </c>
      <c r="D1692" s="6" t="str">
        <f>"冯学杰"</f>
        <v>冯学杰</v>
      </c>
    </row>
    <row r="1693" spans="1:4" ht="30" customHeight="1">
      <c r="A1693" s="6">
        <v>1691</v>
      </c>
      <c r="B1693" s="6" t="str">
        <f>"508120230421111951138453"</f>
        <v>508120230421111951138453</v>
      </c>
      <c r="C1693" s="6" t="s">
        <v>11</v>
      </c>
      <c r="D1693" s="6" t="str">
        <f>"邱颖"</f>
        <v>邱颖</v>
      </c>
    </row>
    <row r="1694" spans="1:4" ht="30" customHeight="1">
      <c r="A1694" s="6">
        <v>1692</v>
      </c>
      <c r="B1694" s="6" t="str">
        <f>"508120230421102421138330"</f>
        <v>508120230421102421138330</v>
      </c>
      <c r="C1694" s="6" t="s">
        <v>11</v>
      </c>
      <c r="D1694" s="6" t="str">
        <f>"翁晓娟"</f>
        <v>翁晓娟</v>
      </c>
    </row>
    <row r="1695" spans="1:4" ht="30" customHeight="1">
      <c r="A1695" s="6">
        <v>1693</v>
      </c>
      <c r="B1695" s="6" t="str">
        <f>"508120230421112659138464"</f>
        <v>508120230421112659138464</v>
      </c>
      <c r="C1695" s="6" t="s">
        <v>11</v>
      </c>
      <c r="D1695" s="6" t="str">
        <f>"吴传曼"</f>
        <v>吴传曼</v>
      </c>
    </row>
    <row r="1696" spans="1:4" ht="30" customHeight="1">
      <c r="A1696" s="6">
        <v>1694</v>
      </c>
      <c r="B1696" s="6" t="str">
        <f>"508120230421095553138259"</f>
        <v>508120230421095553138259</v>
      </c>
      <c r="C1696" s="6" t="s">
        <v>11</v>
      </c>
      <c r="D1696" s="6" t="str">
        <f>"王植奕"</f>
        <v>王植奕</v>
      </c>
    </row>
    <row r="1697" spans="1:4" ht="30" customHeight="1">
      <c r="A1697" s="6">
        <v>1695</v>
      </c>
      <c r="B1697" s="6" t="str">
        <f>"508120230421112739138465"</f>
        <v>508120230421112739138465</v>
      </c>
      <c r="C1697" s="6" t="s">
        <v>11</v>
      </c>
      <c r="D1697" s="6" t="str">
        <f>"赖舒愉"</f>
        <v>赖舒愉</v>
      </c>
    </row>
    <row r="1698" spans="1:4" ht="30" customHeight="1">
      <c r="A1698" s="6">
        <v>1696</v>
      </c>
      <c r="B1698" s="6" t="str">
        <f>"508120230421111752138448"</f>
        <v>508120230421111752138448</v>
      </c>
      <c r="C1698" s="6" t="s">
        <v>11</v>
      </c>
      <c r="D1698" s="6" t="str">
        <f>"汪园"</f>
        <v>汪园</v>
      </c>
    </row>
    <row r="1699" spans="1:4" ht="30" customHeight="1">
      <c r="A1699" s="6">
        <v>1697</v>
      </c>
      <c r="B1699" s="6" t="str">
        <f>"508120230421093725138199"</f>
        <v>508120230421093725138199</v>
      </c>
      <c r="C1699" s="6" t="s">
        <v>11</v>
      </c>
      <c r="D1699" s="6" t="str">
        <f>"符文冰"</f>
        <v>符文冰</v>
      </c>
    </row>
    <row r="1700" spans="1:4" ht="30" customHeight="1">
      <c r="A1700" s="6">
        <v>1698</v>
      </c>
      <c r="B1700" s="6" t="str">
        <f>"508120230421101637138306"</f>
        <v>508120230421101637138306</v>
      </c>
      <c r="C1700" s="6" t="s">
        <v>11</v>
      </c>
      <c r="D1700" s="6" t="str">
        <f>"张运鹏"</f>
        <v>张运鹏</v>
      </c>
    </row>
    <row r="1701" spans="1:4" ht="30" customHeight="1">
      <c r="A1701" s="6">
        <v>1699</v>
      </c>
      <c r="B1701" s="6" t="str">
        <f>"508120230421113141138470"</f>
        <v>508120230421113141138470</v>
      </c>
      <c r="C1701" s="6" t="s">
        <v>11</v>
      </c>
      <c r="D1701" s="6" t="str">
        <f>"王佳珏"</f>
        <v>王佳珏</v>
      </c>
    </row>
    <row r="1702" spans="1:4" ht="30" customHeight="1">
      <c r="A1702" s="6">
        <v>1700</v>
      </c>
      <c r="B1702" s="6" t="str">
        <f>"508120230421112621138463"</f>
        <v>508120230421112621138463</v>
      </c>
      <c r="C1702" s="6" t="s">
        <v>11</v>
      </c>
      <c r="D1702" s="6" t="str">
        <f>"王曼"</f>
        <v>王曼</v>
      </c>
    </row>
    <row r="1703" spans="1:4" ht="30" customHeight="1">
      <c r="A1703" s="6">
        <v>1701</v>
      </c>
      <c r="B1703" s="6" t="str">
        <f>"508120230421114054138493"</f>
        <v>508120230421114054138493</v>
      </c>
      <c r="C1703" s="6" t="s">
        <v>11</v>
      </c>
      <c r="D1703" s="6" t="str">
        <f>"张思华"</f>
        <v>张思华</v>
      </c>
    </row>
    <row r="1704" spans="1:4" ht="30" customHeight="1">
      <c r="A1704" s="6">
        <v>1702</v>
      </c>
      <c r="B1704" s="6" t="str">
        <f>"508120230421113644138481"</f>
        <v>508120230421113644138481</v>
      </c>
      <c r="C1704" s="6" t="s">
        <v>11</v>
      </c>
      <c r="D1704" s="6" t="str">
        <f>"范德政"</f>
        <v>范德政</v>
      </c>
    </row>
    <row r="1705" spans="1:4" ht="30" customHeight="1">
      <c r="A1705" s="6">
        <v>1703</v>
      </c>
      <c r="B1705" s="6" t="str">
        <f>"508120230421120030138525"</f>
        <v>508120230421120030138525</v>
      </c>
      <c r="C1705" s="6" t="s">
        <v>11</v>
      </c>
      <c r="D1705" s="6" t="str">
        <f>"蒋逸琰"</f>
        <v>蒋逸琰</v>
      </c>
    </row>
    <row r="1706" spans="1:4" ht="30" customHeight="1">
      <c r="A1706" s="6">
        <v>1704</v>
      </c>
      <c r="B1706" s="6" t="str">
        <f>"508120230421121744138546"</f>
        <v>508120230421121744138546</v>
      </c>
      <c r="C1706" s="6" t="s">
        <v>11</v>
      </c>
      <c r="D1706" s="6" t="str">
        <f>"吴毓焕"</f>
        <v>吴毓焕</v>
      </c>
    </row>
    <row r="1707" spans="1:4" ht="30" customHeight="1">
      <c r="A1707" s="6">
        <v>1705</v>
      </c>
      <c r="B1707" s="6" t="str">
        <f>"508120230421122523138560"</f>
        <v>508120230421122523138560</v>
      </c>
      <c r="C1707" s="6" t="s">
        <v>11</v>
      </c>
      <c r="D1707" s="6" t="str">
        <f>"王富鹏"</f>
        <v>王富鹏</v>
      </c>
    </row>
    <row r="1708" spans="1:4" ht="30" customHeight="1">
      <c r="A1708" s="6">
        <v>1706</v>
      </c>
      <c r="B1708" s="6" t="str">
        <f>"508120230421115144138514"</f>
        <v>508120230421115144138514</v>
      </c>
      <c r="C1708" s="6" t="s">
        <v>11</v>
      </c>
      <c r="D1708" s="6" t="str">
        <f>"韦妍"</f>
        <v>韦妍</v>
      </c>
    </row>
    <row r="1709" spans="1:4" ht="30" customHeight="1">
      <c r="A1709" s="6">
        <v>1707</v>
      </c>
      <c r="B1709" s="6" t="str">
        <f>"508120230421115005138509"</f>
        <v>508120230421115005138509</v>
      </c>
      <c r="C1709" s="6" t="s">
        <v>11</v>
      </c>
      <c r="D1709" s="6" t="str">
        <f>"罗嘉诚"</f>
        <v>罗嘉诚</v>
      </c>
    </row>
    <row r="1710" spans="1:4" ht="30" customHeight="1">
      <c r="A1710" s="6">
        <v>1708</v>
      </c>
      <c r="B1710" s="6" t="str">
        <f>"508120230421093957138210"</f>
        <v>508120230421093957138210</v>
      </c>
      <c r="C1710" s="6" t="s">
        <v>11</v>
      </c>
      <c r="D1710" s="6" t="str">
        <f>"李荣昌"</f>
        <v>李荣昌</v>
      </c>
    </row>
    <row r="1711" spans="1:4" ht="30" customHeight="1">
      <c r="A1711" s="6">
        <v>1709</v>
      </c>
      <c r="B1711" s="6" t="str">
        <f>"508120230421111152138440"</f>
        <v>508120230421111152138440</v>
      </c>
      <c r="C1711" s="6" t="s">
        <v>11</v>
      </c>
      <c r="D1711" s="6" t="str">
        <f>"郑周峣"</f>
        <v>郑周峣</v>
      </c>
    </row>
    <row r="1712" spans="1:4" ht="30" customHeight="1">
      <c r="A1712" s="6">
        <v>1710</v>
      </c>
      <c r="B1712" s="6" t="str">
        <f>"508120230421132029138606"</f>
        <v>508120230421132029138606</v>
      </c>
      <c r="C1712" s="6" t="s">
        <v>11</v>
      </c>
      <c r="D1712" s="6" t="str">
        <f>"黄朝晖"</f>
        <v>黄朝晖</v>
      </c>
    </row>
    <row r="1713" spans="1:4" ht="30" customHeight="1">
      <c r="A1713" s="6">
        <v>1711</v>
      </c>
      <c r="B1713" s="6" t="str">
        <f>"508120230421140859138641"</f>
        <v>508120230421140859138641</v>
      </c>
      <c r="C1713" s="6" t="s">
        <v>11</v>
      </c>
      <c r="D1713" s="6" t="str">
        <f>"赖树威"</f>
        <v>赖树威</v>
      </c>
    </row>
    <row r="1714" spans="1:4" ht="30" customHeight="1">
      <c r="A1714" s="6">
        <v>1712</v>
      </c>
      <c r="B1714" s="6" t="str">
        <f>"508120230421100214138278"</f>
        <v>508120230421100214138278</v>
      </c>
      <c r="C1714" s="6" t="s">
        <v>11</v>
      </c>
      <c r="D1714" s="6" t="str">
        <f>"严岚梅"</f>
        <v>严岚梅</v>
      </c>
    </row>
    <row r="1715" spans="1:4" ht="30" customHeight="1">
      <c r="A1715" s="6">
        <v>1713</v>
      </c>
      <c r="B1715" s="6" t="str">
        <f>"508120230421142637138659"</f>
        <v>508120230421142637138659</v>
      </c>
      <c r="C1715" s="6" t="s">
        <v>11</v>
      </c>
      <c r="D1715" s="6" t="str">
        <f>"范嘉宇"</f>
        <v>范嘉宇</v>
      </c>
    </row>
    <row r="1716" spans="1:4" ht="30" customHeight="1">
      <c r="A1716" s="6">
        <v>1714</v>
      </c>
      <c r="B1716" s="6" t="str">
        <f>"508120230421145645138697"</f>
        <v>508120230421145645138697</v>
      </c>
      <c r="C1716" s="6" t="s">
        <v>11</v>
      </c>
      <c r="D1716" s="6" t="str">
        <f>"杨浩"</f>
        <v>杨浩</v>
      </c>
    </row>
    <row r="1717" spans="1:4" ht="30" customHeight="1">
      <c r="A1717" s="6">
        <v>1715</v>
      </c>
      <c r="B1717" s="6" t="str">
        <f>"508120230421150323138711"</f>
        <v>508120230421150323138711</v>
      </c>
      <c r="C1717" s="6" t="s">
        <v>11</v>
      </c>
      <c r="D1717" s="6" t="str">
        <f>"李馨月"</f>
        <v>李馨月</v>
      </c>
    </row>
    <row r="1718" spans="1:4" ht="30" customHeight="1">
      <c r="A1718" s="6">
        <v>1716</v>
      </c>
      <c r="B1718" s="6" t="str">
        <f>"508120230421150453138713"</f>
        <v>508120230421150453138713</v>
      </c>
      <c r="C1718" s="6" t="s">
        <v>11</v>
      </c>
      <c r="D1718" s="6" t="str">
        <f>"陈佳美"</f>
        <v>陈佳美</v>
      </c>
    </row>
    <row r="1719" spans="1:4" ht="30" customHeight="1">
      <c r="A1719" s="6">
        <v>1717</v>
      </c>
      <c r="B1719" s="6" t="str">
        <f>"508120230421094148138217"</f>
        <v>508120230421094148138217</v>
      </c>
      <c r="C1719" s="6" t="s">
        <v>11</v>
      </c>
      <c r="D1719" s="6" t="str">
        <f>"吴维新"</f>
        <v>吴维新</v>
      </c>
    </row>
    <row r="1720" spans="1:4" ht="30" customHeight="1">
      <c r="A1720" s="6">
        <v>1718</v>
      </c>
      <c r="B1720" s="6" t="str">
        <f>"508120230421113335138475"</f>
        <v>508120230421113335138475</v>
      </c>
      <c r="C1720" s="6" t="s">
        <v>11</v>
      </c>
      <c r="D1720" s="6" t="str">
        <f>"陈纪炎"</f>
        <v>陈纪炎</v>
      </c>
    </row>
    <row r="1721" spans="1:4" ht="30" customHeight="1">
      <c r="A1721" s="6">
        <v>1719</v>
      </c>
      <c r="B1721" s="6" t="str">
        <f>"508120230421143703138670"</f>
        <v>508120230421143703138670</v>
      </c>
      <c r="C1721" s="6" t="s">
        <v>11</v>
      </c>
      <c r="D1721" s="6" t="str">
        <f>"王晗"</f>
        <v>王晗</v>
      </c>
    </row>
    <row r="1722" spans="1:4" ht="30" customHeight="1">
      <c r="A1722" s="6">
        <v>1720</v>
      </c>
      <c r="B1722" s="6" t="str">
        <f>"508120230421151154138732"</f>
        <v>508120230421151154138732</v>
      </c>
      <c r="C1722" s="6" t="s">
        <v>11</v>
      </c>
      <c r="D1722" s="6" t="str">
        <f>"李梁昊"</f>
        <v>李梁昊</v>
      </c>
    </row>
    <row r="1723" spans="1:4" ht="30" customHeight="1">
      <c r="A1723" s="6">
        <v>1721</v>
      </c>
      <c r="B1723" s="6" t="str">
        <f>"508120230421151123138731"</f>
        <v>508120230421151123138731</v>
      </c>
      <c r="C1723" s="6" t="s">
        <v>11</v>
      </c>
      <c r="D1723" s="6" t="str">
        <f>"羊显慎"</f>
        <v>羊显慎</v>
      </c>
    </row>
    <row r="1724" spans="1:4" ht="30" customHeight="1">
      <c r="A1724" s="6">
        <v>1722</v>
      </c>
      <c r="B1724" s="6" t="str">
        <f>"508120230421095124138247"</f>
        <v>508120230421095124138247</v>
      </c>
      <c r="C1724" s="6" t="s">
        <v>11</v>
      </c>
      <c r="D1724" s="6" t="str">
        <f>"张其广"</f>
        <v>张其广</v>
      </c>
    </row>
    <row r="1725" spans="1:4" ht="30" customHeight="1">
      <c r="A1725" s="6">
        <v>1723</v>
      </c>
      <c r="B1725" s="6" t="str">
        <f>"508120230421154105138778"</f>
        <v>508120230421154105138778</v>
      </c>
      <c r="C1725" s="6" t="s">
        <v>11</v>
      </c>
      <c r="D1725" s="6" t="str">
        <f>"梁珍榕"</f>
        <v>梁珍榕</v>
      </c>
    </row>
    <row r="1726" spans="1:4" ht="30" customHeight="1">
      <c r="A1726" s="6">
        <v>1724</v>
      </c>
      <c r="B1726" s="6" t="str">
        <f>"508120230421150854138724"</f>
        <v>508120230421150854138724</v>
      </c>
      <c r="C1726" s="6" t="s">
        <v>11</v>
      </c>
      <c r="D1726" s="6" t="str">
        <f>"陈显枚"</f>
        <v>陈显枚</v>
      </c>
    </row>
    <row r="1727" spans="1:4" ht="30" customHeight="1">
      <c r="A1727" s="6">
        <v>1725</v>
      </c>
      <c r="B1727" s="6" t="str">
        <f>"508120230421152937138757"</f>
        <v>508120230421152937138757</v>
      </c>
      <c r="C1727" s="6" t="s">
        <v>11</v>
      </c>
      <c r="D1727" s="6" t="str">
        <f>"梁其琳"</f>
        <v>梁其琳</v>
      </c>
    </row>
    <row r="1728" spans="1:4" ht="30" customHeight="1">
      <c r="A1728" s="6">
        <v>1726</v>
      </c>
      <c r="B1728" s="6" t="str">
        <f>"508120230421160833138823"</f>
        <v>508120230421160833138823</v>
      </c>
      <c r="C1728" s="6" t="s">
        <v>11</v>
      </c>
      <c r="D1728" s="6" t="str">
        <f>"吴必妹"</f>
        <v>吴必妹</v>
      </c>
    </row>
    <row r="1729" spans="1:4" ht="30" customHeight="1">
      <c r="A1729" s="6">
        <v>1727</v>
      </c>
      <c r="B1729" s="6" t="str">
        <f>"508120230421163148138853"</f>
        <v>508120230421163148138853</v>
      </c>
      <c r="C1729" s="6" t="s">
        <v>11</v>
      </c>
      <c r="D1729" s="6" t="str">
        <f>"林晓彬"</f>
        <v>林晓彬</v>
      </c>
    </row>
    <row r="1730" spans="1:4" ht="30" customHeight="1">
      <c r="A1730" s="6">
        <v>1728</v>
      </c>
      <c r="B1730" s="6" t="str">
        <f>"508120230421163003138851"</f>
        <v>508120230421163003138851</v>
      </c>
      <c r="C1730" s="6" t="s">
        <v>11</v>
      </c>
      <c r="D1730" s="6" t="str">
        <f>"张东豪"</f>
        <v>张东豪</v>
      </c>
    </row>
    <row r="1731" spans="1:4" ht="30" customHeight="1">
      <c r="A1731" s="6">
        <v>1729</v>
      </c>
      <c r="B1731" s="6" t="str">
        <f>"508120230421160804138822"</f>
        <v>508120230421160804138822</v>
      </c>
      <c r="C1731" s="6" t="s">
        <v>11</v>
      </c>
      <c r="D1731" s="6" t="str">
        <f>"胡白雪"</f>
        <v>胡白雪</v>
      </c>
    </row>
    <row r="1732" spans="1:4" ht="30" customHeight="1">
      <c r="A1732" s="6">
        <v>1730</v>
      </c>
      <c r="B1732" s="6" t="str">
        <f>"508120230421102103138318"</f>
        <v>508120230421102103138318</v>
      </c>
      <c r="C1732" s="6" t="s">
        <v>11</v>
      </c>
      <c r="D1732" s="6" t="str">
        <f>"吴育锋"</f>
        <v>吴育锋</v>
      </c>
    </row>
    <row r="1733" spans="1:4" ht="30" customHeight="1">
      <c r="A1733" s="6">
        <v>1731</v>
      </c>
      <c r="B1733" s="6" t="str">
        <f>"508120230421150914138726"</f>
        <v>508120230421150914138726</v>
      </c>
      <c r="C1733" s="6" t="s">
        <v>11</v>
      </c>
      <c r="D1733" s="6" t="str">
        <f>"钟慧卿"</f>
        <v>钟慧卿</v>
      </c>
    </row>
    <row r="1734" spans="1:4" ht="30" customHeight="1">
      <c r="A1734" s="6">
        <v>1732</v>
      </c>
      <c r="B1734" s="6" t="str">
        <f>"508120230421164945138873"</f>
        <v>508120230421164945138873</v>
      </c>
      <c r="C1734" s="6" t="s">
        <v>11</v>
      </c>
      <c r="D1734" s="6" t="str">
        <f>"张文"</f>
        <v>张文</v>
      </c>
    </row>
    <row r="1735" spans="1:4" ht="30" customHeight="1">
      <c r="A1735" s="6">
        <v>1733</v>
      </c>
      <c r="B1735" s="6" t="str">
        <f>"508120230421170657138895"</f>
        <v>508120230421170657138895</v>
      </c>
      <c r="C1735" s="6" t="s">
        <v>11</v>
      </c>
      <c r="D1735" s="6" t="str">
        <f>"张阳"</f>
        <v>张阳</v>
      </c>
    </row>
    <row r="1736" spans="1:4" ht="30" customHeight="1">
      <c r="A1736" s="6">
        <v>1734</v>
      </c>
      <c r="B1736" s="6" t="str">
        <f>"508120230421162552138847"</f>
        <v>508120230421162552138847</v>
      </c>
      <c r="C1736" s="6" t="s">
        <v>11</v>
      </c>
      <c r="D1736" s="6" t="str">
        <f>"符海旋"</f>
        <v>符海旋</v>
      </c>
    </row>
    <row r="1737" spans="1:4" ht="30" customHeight="1">
      <c r="A1737" s="6">
        <v>1735</v>
      </c>
      <c r="B1737" s="6" t="str">
        <f>"508120230421170745138897"</f>
        <v>508120230421170745138897</v>
      </c>
      <c r="C1737" s="6" t="s">
        <v>11</v>
      </c>
      <c r="D1737" s="6" t="str">
        <f>"王纶婷"</f>
        <v>王纶婷</v>
      </c>
    </row>
    <row r="1738" spans="1:4" ht="30" customHeight="1">
      <c r="A1738" s="6">
        <v>1736</v>
      </c>
      <c r="B1738" s="6" t="str">
        <f>"508120230421173833138930"</f>
        <v>508120230421173833138930</v>
      </c>
      <c r="C1738" s="6" t="s">
        <v>11</v>
      </c>
      <c r="D1738" s="6" t="str">
        <f>"符蓉"</f>
        <v>符蓉</v>
      </c>
    </row>
    <row r="1739" spans="1:4" ht="30" customHeight="1">
      <c r="A1739" s="6">
        <v>1737</v>
      </c>
      <c r="B1739" s="6" t="str">
        <f>"508120230421101305138297"</f>
        <v>508120230421101305138297</v>
      </c>
      <c r="C1739" s="6" t="s">
        <v>11</v>
      </c>
      <c r="D1739" s="6" t="str">
        <f>"林仙慧"</f>
        <v>林仙慧</v>
      </c>
    </row>
    <row r="1740" spans="1:4" ht="30" customHeight="1">
      <c r="A1740" s="6">
        <v>1738</v>
      </c>
      <c r="B1740" s="6" t="str">
        <f>"508120230421181930138966"</f>
        <v>508120230421181930138966</v>
      </c>
      <c r="C1740" s="6" t="s">
        <v>11</v>
      </c>
      <c r="D1740" s="6" t="str">
        <f>"王福振"</f>
        <v>王福振</v>
      </c>
    </row>
    <row r="1741" spans="1:4" ht="30" customHeight="1">
      <c r="A1741" s="6">
        <v>1739</v>
      </c>
      <c r="B1741" s="6" t="str">
        <f>"508120230421184217138988"</f>
        <v>508120230421184217138988</v>
      </c>
      <c r="C1741" s="6" t="s">
        <v>11</v>
      </c>
      <c r="D1741" s="6" t="str">
        <f>"林萃"</f>
        <v>林萃</v>
      </c>
    </row>
    <row r="1742" spans="1:4" ht="30" customHeight="1">
      <c r="A1742" s="6">
        <v>1740</v>
      </c>
      <c r="B1742" s="6" t="str">
        <f>"508120230421182528138976"</f>
        <v>508120230421182528138976</v>
      </c>
      <c r="C1742" s="6" t="s">
        <v>11</v>
      </c>
      <c r="D1742" s="6" t="str">
        <f>"杨舒花"</f>
        <v>杨舒花</v>
      </c>
    </row>
    <row r="1743" spans="1:4" ht="30" customHeight="1">
      <c r="A1743" s="6">
        <v>1741</v>
      </c>
      <c r="B1743" s="6" t="str">
        <f>"508120230421140621138639"</f>
        <v>508120230421140621138639</v>
      </c>
      <c r="C1743" s="6" t="s">
        <v>11</v>
      </c>
      <c r="D1743" s="6" t="str">
        <f>"李布豪"</f>
        <v>李布豪</v>
      </c>
    </row>
    <row r="1744" spans="1:4" ht="30" customHeight="1">
      <c r="A1744" s="6">
        <v>1742</v>
      </c>
      <c r="B1744" s="6" t="str">
        <f>"508120230421183408138980"</f>
        <v>508120230421183408138980</v>
      </c>
      <c r="C1744" s="6" t="s">
        <v>11</v>
      </c>
      <c r="D1744" s="6" t="str">
        <f>"张晓晴"</f>
        <v>张晓晴</v>
      </c>
    </row>
    <row r="1745" spans="1:4" ht="30" customHeight="1">
      <c r="A1745" s="6">
        <v>1743</v>
      </c>
      <c r="B1745" s="6" t="str">
        <f>"508120230421111935138452"</f>
        <v>508120230421111935138452</v>
      </c>
      <c r="C1745" s="6" t="s">
        <v>11</v>
      </c>
      <c r="D1745" s="6" t="str">
        <f>"文跃"</f>
        <v>文跃</v>
      </c>
    </row>
    <row r="1746" spans="1:4" ht="30" customHeight="1">
      <c r="A1746" s="6">
        <v>1744</v>
      </c>
      <c r="B1746" s="6" t="str">
        <f>"508120230421185008138992"</f>
        <v>508120230421185008138992</v>
      </c>
      <c r="C1746" s="6" t="s">
        <v>11</v>
      </c>
      <c r="D1746" s="6" t="str">
        <f>"王建波"</f>
        <v>王建波</v>
      </c>
    </row>
    <row r="1747" spans="1:4" ht="30" customHeight="1">
      <c r="A1747" s="6">
        <v>1745</v>
      </c>
      <c r="B1747" s="6" t="str">
        <f>"508120230421184159138987"</f>
        <v>508120230421184159138987</v>
      </c>
      <c r="C1747" s="6" t="s">
        <v>11</v>
      </c>
      <c r="D1747" s="6" t="str">
        <f>"乔志恒"</f>
        <v>乔志恒</v>
      </c>
    </row>
    <row r="1748" spans="1:4" ht="30" customHeight="1">
      <c r="A1748" s="6">
        <v>1746</v>
      </c>
      <c r="B1748" s="6" t="str">
        <f>"508120230421194956139027"</f>
        <v>508120230421194956139027</v>
      </c>
      <c r="C1748" s="6" t="s">
        <v>11</v>
      </c>
      <c r="D1748" s="6" t="str">
        <f>"杨蕙菊"</f>
        <v>杨蕙菊</v>
      </c>
    </row>
    <row r="1749" spans="1:4" ht="30" customHeight="1">
      <c r="A1749" s="6">
        <v>1747</v>
      </c>
      <c r="B1749" s="6" t="str">
        <f>"508120230421195228139029"</f>
        <v>508120230421195228139029</v>
      </c>
      <c r="C1749" s="6" t="s">
        <v>11</v>
      </c>
      <c r="D1749" s="6" t="str">
        <f>"王德凤"</f>
        <v>王德凤</v>
      </c>
    </row>
    <row r="1750" spans="1:4" ht="30" customHeight="1">
      <c r="A1750" s="6">
        <v>1748</v>
      </c>
      <c r="B1750" s="6" t="str">
        <f>"508120230421195632139031"</f>
        <v>508120230421195632139031</v>
      </c>
      <c r="C1750" s="6" t="s">
        <v>11</v>
      </c>
      <c r="D1750" s="6" t="str">
        <f>"吴习龙"</f>
        <v>吴习龙</v>
      </c>
    </row>
    <row r="1751" spans="1:4" ht="30" customHeight="1">
      <c r="A1751" s="6">
        <v>1749</v>
      </c>
      <c r="B1751" s="6" t="str">
        <f>"508120230421202841139050"</f>
        <v>508120230421202841139050</v>
      </c>
      <c r="C1751" s="6" t="s">
        <v>11</v>
      </c>
      <c r="D1751" s="6" t="str">
        <f>"郑科"</f>
        <v>郑科</v>
      </c>
    </row>
    <row r="1752" spans="1:4" ht="30" customHeight="1">
      <c r="A1752" s="6">
        <v>1750</v>
      </c>
      <c r="B1752" s="6" t="str">
        <f>"508120230421211449139073"</f>
        <v>508120230421211449139073</v>
      </c>
      <c r="C1752" s="6" t="s">
        <v>11</v>
      </c>
      <c r="D1752" s="6" t="str">
        <f>"彭琳"</f>
        <v>彭琳</v>
      </c>
    </row>
    <row r="1753" spans="1:4" ht="30" customHeight="1">
      <c r="A1753" s="6">
        <v>1751</v>
      </c>
      <c r="B1753" s="6" t="str">
        <f>"508120230421215210139088"</f>
        <v>508120230421215210139088</v>
      </c>
      <c r="C1753" s="6" t="s">
        <v>11</v>
      </c>
      <c r="D1753" s="6" t="str">
        <f>"洪杰英"</f>
        <v>洪杰英</v>
      </c>
    </row>
    <row r="1754" spans="1:4" ht="30" customHeight="1">
      <c r="A1754" s="6">
        <v>1752</v>
      </c>
      <c r="B1754" s="6" t="str">
        <f>"508120230421214919139087"</f>
        <v>508120230421214919139087</v>
      </c>
      <c r="C1754" s="6" t="s">
        <v>11</v>
      </c>
      <c r="D1754" s="6" t="str">
        <f>"孙民"</f>
        <v>孙民</v>
      </c>
    </row>
    <row r="1755" spans="1:4" ht="30" customHeight="1">
      <c r="A1755" s="6">
        <v>1753</v>
      </c>
      <c r="B1755" s="6" t="str">
        <f>"508120230421232747139131"</f>
        <v>508120230421232747139131</v>
      </c>
      <c r="C1755" s="6" t="s">
        <v>11</v>
      </c>
      <c r="D1755" s="6" t="str">
        <f>"韩东东"</f>
        <v>韩东东</v>
      </c>
    </row>
    <row r="1756" spans="1:4" ht="30" customHeight="1">
      <c r="A1756" s="6">
        <v>1754</v>
      </c>
      <c r="B1756" s="6" t="str">
        <f>"508120230421235004139136"</f>
        <v>508120230421235004139136</v>
      </c>
      <c r="C1756" s="6" t="s">
        <v>11</v>
      </c>
      <c r="D1756" s="6" t="str">
        <f>"蔡冰冰"</f>
        <v>蔡冰冰</v>
      </c>
    </row>
    <row r="1757" spans="1:4" ht="30" customHeight="1">
      <c r="A1757" s="6">
        <v>1755</v>
      </c>
      <c r="B1757" s="6" t="str">
        <f>"508120230421145040138691"</f>
        <v>508120230421145040138691</v>
      </c>
      <c r="C1757" s="6" t="s">
        <v>11</v>
      </c>
      <c r="D1757" s="6" t="str">
        <f>"陈小壮"</f>
        <v>陈小壮</v>
      </c>
    </row>
    <row r="1758" spans="1:4" ht="30" customHeight="1">
      <c r="A1758" s="6">
        <v>1756</v>
      </c>
      <c r="B1758" s="6" t="str">
        <f>"508120230422091856139187"</f>
        <v>508120230422091856139187</v>
      </c>
      <c r="C1758" s="6" t="s">
        <v>11</v>
      </c>
      <c r="D1758" s="6" t="str">
        <f>"钱定怡"</f>
        <v>钱定怡</v>
      </c>
    </row>
    <row r="1759" spans="1:4" ht="30" customHeight="1">
      <c r="A1759" s="6">
        <v>1757</v>
      </c>
      <c r="B1759" s="6" t="str">
        <f>"508120230421162523138846"</f>
        <v>508120230421162523138846</v>
      </c>
      <c r="C1759" s="6" t="s">
        <v>11</v>
      </c>
      <c r="D1759" s="6" t="str">
        <f>"吴海军"</f>
        <v>吴海军</v>
      </c>
    </row>
    <row r="1760" spans="1:4" ht="30" customHeight="1">
      <c r="A1760" s="6">
        <v>1758</v>
      </c>
      <c r="B1760" s="6" t="str">
        <f>"508120230421104156138379"</f>
        <v>508120230421104156138379</v>
      </c>
      <c r="C1760" s="6" t="s">
        <v>11</v>
      </c>
      <c r="D1760" s="6" t="str">
        <f>"黎颖聪"</f>
        <v>黎颖聪</v>
      </c>
    </row>
    <row r="1761" spans="1:4" ht="30" customHeight="1">
      <c r="A1761" s="6">
        <v>1759</v>
      </c>
      <c r="B1761" s="6" t="str">
        <f>"508120230422102445139220"</f>
        <v>508120230422102445139220</v>
      </c>
      <c r="C1761" s="6" t="s">
        <v>11</v>
      </c>
      <c r="D1761" s="6" t="str">
        <f>"李思宇"</f>
        <v>李思宇</v>
      </c>
    </row>
    <row r="1762" spans="1:4" ht="30" customHeight="1">
      <c r="A1762" s="6">
        <v>1760</v>
      </c>
      <c r="B1762" s="6" t="str">
        <f>"508120230422095937139209"</f>
        <v>508120230422095937139209</v>
      </c>
      <c r="C1762" s="6" t="s">
        <v>11</v>
      </c>
      <c r="D1762" s="6" t="str">
        <f>"金独亮"</f>
        <v>金独亮</v>
      </c>
    </row>
    <row r="1763" spans="1:4" ht="30" customHeight="1">
      <c r="A1763" s="6">
        <v>1761</v>
      </c>
      <c r="B1763" s="6" t="str">
        <f>"508120230421103959138373"</f>
        <v>508120230421103959138373</v>
      </c>
      <c r="C1763" s="6" t="s">
        <v>11</v>
      </c>
      <c r="D1763" s="6" t="str">
        <f>"王美花"</f>
        <v>王美花</v>
      </c>
    </row>
    <row r="1764" spans="1:4" ht="30" customHeight="1">
      <c r="A1764" s="6">
        <v>1762</v>
      </c>
      <c r="B1764" s="6" t="str">
        <f>"508120230422114127139271"</f>
        <v>508120230422114127139271</v>
      </c>
      <c r="C1764" s="6" t="s">
        <v>11</v>
      </c>
      <c r="D1764" s="6" t="str">
        <f>"钟劲松"</f>
        <v>钟劲松</v>
      </c>
    </row>
    <row r="1765" spans="1:4" ht="30" customHeight="1">
      <c r="A1765" s="6">
        <v>1763</v>
      </c>
      <c r="B1765" s="6" t="str">
        <f>"508120230422124759139313"</f>
        <v>508120230422124759139313</v>
      </c>
      <c r="C1765" s="6" t="s">
        <v>11</v>
      </c>
      <c r="D1765" s="6" t="str">
        <f>"符丹莉"</f>
        <v>符丹莉</v>
      </c>
    </row>
    <row r="1766" spans="1:4" ht="30" customHeight="1">
      <c r="A1766" s="6">
        <v>1764</v>
      </c>
      <c r="B1766" s="6" t="str">
        <f>"508120230421223250139114"</f>
        <v>508120230421223250139114</v>
      </c>
      <c r="C1766" s="6" t="s">
        <v>11</v>
      </c>
      <c r="D1766" s="6" t="str">
        <f>"黄川"</f>
        <v>黄川</v>
      </c>
    </row>
    <row r="1767" spans="1:4" ht="30" customHeight="1">
      <c r="A1767" s="6">
        <v>1765</v>
      </c>
      <c r="B1767" s="6" t="str">
        <f>"508120230422103458139225"</f>
        <v>508120230422103458139225</v>
      </c>
      <c r="C1767" s="6" t="s">
        <v>11</v>
      </c>
      <c r="D1767" s="6" t="str">
        <f>"陈悦"</f>
        <v>陈悦</v>
      </c>
    </row>
    <row r="1768" spans="1:4" ht="30" customHeight="1">
      <c r="A1768" s="6">
        <v>1766</v>
      </c>
      <c r="B1768" s="6" t="str">
        <f>"508120230422125311139319"</f>
        <v>508120230422125311139319</v>
      </c>
      <c r="C1768" s="6" t="s">
        <v>11</v>
      </c>
      <c r="D1768" s="6" t="str">
        <f>"陈圣学"</f>
        <v>陈圣学</v>
      </c>
    </row>
    <row r="1769" spans="1:4" ht="30" customHeight="1">
      <c r="A1769" s="6">
        <v>1767</v>
      </c>
      <c r="B1769" s="6" t="str">
        <f>"508120230422124916139314"</f>
        <v>508120230422124916139314</v>
      </c>
      <c r="C1769" s="6" t="s">
        <v>11</v>
      </c>
      <c r="D1769" s="6" t="str">
        <f>"黄耿"</f>
        <v>黄耿</v>
      </c>
    </row>
    <row r="1770" spans="1:4" ht="30" customHeight="1">
      <c r="A1770" s="6">
        <v>1768</v>
      </c>
      <c r="B1770" s="6" t="str">
        <f>"508120230421165603138884"</f>
        <v>508120230421165603138884</v>
      </c>
      <c r="C1770" s="6" t="s">
        <v>11</v>
      </c>
      <c r="D1770" s="6" t="str">
        <f>"李风娇"</f>
        <v>李风娇</v>
      </c>
    </row>
    <row r="1771" spans="1:4" ht="30" customHeight="1">
      <c r="A1771" s="6">
        <v>1769</v>
      </c>
      <c r="B1771" s="6" t="str">
        <f>"508120230422112302139254"</f>
        <v>508120230422112302139254</v>
      </c>
      <c r="C1771" s="6" t="s">
        <v>11</v>
      </c>
      <c r="D1771" s="6" t="str">
        <f>"谢行悦"</f>
        <v>谢行悦</v>
      </c>
    </row>
    <row r="1772" spans="1:4" ht="30" customHeight="1">
      <c r="A1772" s="6">
        <v>1770</v>
      </c>
      <c r="B1772" s="6" t="str">
        <f>"508120230422140223139350"</f>
        <v>508120230422140223139350</v>
      </c>
      <c r="C1772" s="6" t="s">
        <v>11</v>
      </c>
      <c r="D1772" s="6" t="str">
        <f>"吴小振"</f>
        <v>吴小振</v>
      </c>
    </row>
    <row r="1773" spans="1:4" ht="30" customHeight="1">
      <c r="A1773" s="6">
        <v>1771</v>
      </c>
      <c r="B1773" s="6" t="str">
        <f>"508120230422125217139318"</f>
        <v>508120230422125217139318</v>
      </c>
      <c r="C1773" s="6" t="s">
        <v>11</v>
      </c>
      <c r="D1773" s="6" t="str">
        <f>"陈春花"</f>
        <v>陈春花</v>
      </c>
    </row>
    <row r="1774" spans="1:4" ht="30" customHeight="1">
      <c r="A1774" s="6">
        <v>1772</v>
      </c>
      <c r="B1774" s="6" t="str">
        <f>"508120230422150627139371"</f>
        <v>508120230422150627139371</v>
      </c>
      <c r="C1774" s="6" t="s">
        <v>11</v>
      </c>
      <c r="D1774" s="6" t="str">
        <f>"苏运宏"</f>
        <v>苏运宏</v>
      </c>
    </row>
    <row r="1775" spans="1:4" ht="30" customHeight="1">
      <c r="A1775" s="6">
        <v>1773</v>
      </c>
      <c r="B1775" s="6" t="str">
        <f>"508120230422145608139368"</f>
        <v>508120230422145608139368</v>
      </c>
      <c r="C1775" s="6" t="s">
        <v>11</v>
      </c>
      <c r="D1775" s="6" t="str">
        <f>"陈兴荣"</f>
        <v>陈兴荣</v>
      </c>
    </row>
    <row r="1776" spans="1:4" ht="30" customHeight="1">
      <c r="A1776" s="6">
        <v>1774</v>
      </c>
      <c r="B1776" s="6" t="str">
        <f>"508120230421210740139071"</f>
        <v>508120230421210740139071</v>
      </c>
      <c r="C1776" s="6" t="s">
        <v>11</v>
      </c>
      <c r="D1776" s="6" t="str">
        <f>"谢裕雯"</f>
        <v>谢裕雯</v>
      </c>
    </row>
    <row r="1777" spans="1:4" ht="30" customHeight="1">
      <c r="A1777" s="6">
        <v>1775</v>
      </c>
      <c r="B1777" s="6" t="str">
        <f>"508120230422175348139464"</f>
        <v>508120230422175348139464</v>
      </c>
      <c r="C1777" s="6" t="s">
        <v>11</v>
      </c>
      <c r="D1777" s="6" t="str">
        <f>"王婷"</f>
        <v>王婷</v>
      </c>
    </row>
    <row r="1778" spans="1:4" ht="30" customHeight="1">
      <c r="A1778" s="6">
        <v>1776</v>
      </c>
      <c r="B1778" s="6" t="str">
        <f>"508120230422182016139473"</f>
        <v>508120230422182016139473</v>
      </c>
      <c r="C1778" s="6" t="s">
        <v>11</v>
      </c>
      <c r="D1778" s="6" t="str">
        <f>"朱子潇"</f>
        <v>朱子潇</v>
      </c>
    </row>
    <row r="1779" spans="1:4" ht="30" customHeight="1">
      <c r="A1779" s="6">
        <v>1777</v>
      </c>
      <c r="B1779" s="6" t="str">
        <f>"508120230422171117139434"</f>
        <v>508120230422171117139434</v>
      </c>
      <c r="C1779" s="6" t="s">
        <v>11</v>
      </c>
      <c r="D1779" s="6" t="str">
        <f>"冼丽君"</f>
        <v>冼丽君</v>
      </c>
    </row>
    <row r="1780" spans="1:4" ht="30" customHeight="1">
      <c r="A1780" s="6">
        <v>1778</v>
      </c>
      <c r="B1780" s="6" t="str">
        <f>"508120230421100937138295"</f>
        <v>508120230421100937138295</v>
      </c>
      <c r="C1780" s="6" t="s">
        <v>11</v>
      </c>
      <c r="D1780" s="6" t="str">
        <f>"黄方值"</f>
        <v>黄方值</v>
      </c>
    </row>
    <row r="1781" spans="1:4" ht="30" customHeight="1">
      <c r="A1781" s="6">
        <v>1779</v>
      </c>
      <c r="B1781" s="6" t="str">
        <f>"508120230422184506139484"</f>
        <v>508120230422184506139484</v>
      </c>
      <c r="C1781" s="6" t="s">
        <v>11</v>
      </c>
      <c r="D1781" s="6" t="str">
        <f>"周和芳"</f>
        <v>周和芳</v>
      </c>
    </row>
    <row r="1782" spans="1:4" ht="30" customHeight="1">
      <c r="A1782" s="6">
        <v>1780</v>
      </c>
      <c r="B1782" s="6" t="str">
        <f>"508120230422203448139552"</f>
        <v>508120230422203448139552</v>
      </c>
      <c r="C1782" s="6" t="s">
        <v>11</v>
      </c>
      <c r="D1782" s="6" t="str">
        <f>"陈汉钊"</f>
        <v>陈汉钊</v>
      </c>
    </row>
    <row r="1783" spans="1:4" ht="30" customHeight="1">
      <c r="A1783" s="6">
        <v>1781</v>
      </c>
      <c r="B1783" s="6" t="str">
        <f>"508120230422123845139306"</f>
        <v>508120230422123845139306</v>
      </c>
      <c r="C1783" s="6" t="s">
        <v>11</v>
      </c>
      <c r="D1783" s="6" t="str">
        <f>"何娇"</f>
        <v>何娇</v>
      </c>
    </row>
    <row r="1784" spans="1:4" ht="30" customHeight="1">
      <c r="A1784" s="6">
        <v>1782</v>
      </c>
      <c r="B1784" s="6" t="str">
        <f>"508120230422204801139566"</f>
        <v>508120230422204801139566</v>
      </c>
      <c r="C1784" s="6" t="s">
        <v>11</v>
      </c>
      <c r="D1784" s="6" t="str">
        <f>"康伟"</f>
        <v>康伟</v>
      </c>
    </row>
    <row r="1785" spans="1:4" ht="30" customHeight="1">
      <c r="A1785" s="6">
        <v>1783</v>
      </c>
      <c r="B1785" s="6" t="str">
        <f>"508120230422205922139575"</f>
        <v>508120230422205922139575</v>
      </c>
      <c r="C1785" s="6" t="s">
        <v>11</v>
      </c>
      <c r="D1785" s="6" t="str">
        <f>"吴育俊"</f>
        <v>吴育俊</v>
      </c>
    </row>
    <row r="1786" spans="1:4" ht="30" customHeight="1">
      <c r="A1786" s="6">
        <v>1784</v>
      </c>
      <c r="B1786" s="6" t="str">
        <f>"508120230422204816139567"</f>
        <v>508120230422204816139567</v>
      </c>
      <c r="C1786" s="6" t="s">
        <v>11</v>
      </c>
      <c r="D1786" s="6" t="str">
        <f>"罗红莹"</f>
        <v>罗红莹</v>
      </c>
    </row>
    <row r="1787" spans="1:4" ht="30" customHeight="1">
      <c r="A1787" s="6">
        <v>1785</v>
      </c>
      <c r="B1787" s="6" t="str">
        <f>"508120230422202530139543"</f>
        <v>508120230422202530139543</v>
      </c>
      <c r="C1787" s="6" t="s">
        <v>11</v>
      </c>
      <c r="D1787" s="6" t="str">
        <f>"吴英杰"</f>
        <v>吴英杰</v>
      </c>
    </row>
    <row r="1788" spans="1:4" ht="30" customHeight="1">
      <c r="A1788" s="6">
        <v>1786</v>
      </c>
      <c r="B1788" s="6" t="str">
        <f>"508120230422213813139595"</f>
        <v>508120230422213813139595</v>
      </c>
      <c r="C1788" s="6" t="s">
        <v>11</v>
      </c>
      <c r="D1788" s="6" t="str">
        <f>"陈一侨"</f>
        <v>陈一侨</v>
      </c>
    </row>
    <row r="1789" spans="1:4" ht="30" customHeight="1">
      <c r="A1789" s="6">
        <v>1787</v>
      </c>
      <c r="B1789" s="6" t="str">
        <f>"508120230422213626139593"</f>
        <v>508120230422213626139593</v>
      </c>
      <c r="C1789" s="6" t="s">
        <v>11</v>
      </c>
      <c r="D1789" s="6" t="str">
        <f>"覃玲"</f>
        <v>覃玲</v>
      </c>
    </row>
    <row r="1790" spans="1:4" ht="30" customHeight="1">
      <c r="A1790" s="6">
        <v>1788</v>
      </c>
      <c r="B1790" s="6" t="str">
        <f>"508120230422222450139629"</f>
        <v>508120230422222450139629</v>
      </c>
      <c r="C1790" s="6" t="s">
        <v>11</v>
      </c>
      <c r="D1790" s="6" t="str">
        <f>"孙聪"</f>
        <v>孙聪</v>
      </c>
    </row>
    <row r="1791" spans="1:4" ht="30" customHeight="1">
      <c r="A1791" s="6">
        <v>1789</v>
      </c>
      <c r="B1791" s="6" t="str">
        <f>"508120230421152929138756"</f>
        <v>508120230421152929138756</v>
      </c>
      <c r="C1791" s="6" t="s">
        <v>11</v>
      </c>
      <c r="D1791" s="6" t="str">
        <f>"庄瑾"</f>
        <v>庄瑾</v>
      </c>
    </row>
    <row r="1792" spans="1:4" ht="30" customHeight="1">
      <c r="A1792" s="6">
        <v>1790</v>
      </c>
      <c r="B1792" s="6" t="str">
        <f>"508120230423000204139680"</f>
        <v>508120230423000204139680</v>
      </c>
      <c r="C1792" s="6" t="s">
        <v>11</v>
      </c>
      <c r="D1792" s="6" t="str">
        <f>"闫玥"</f>
        <v>闫玥</v>
      </c>
    </row>
    <row r="1793" spans="1:4" ht="30" customHeight="1">
      <c r="A1793" s="6">
        <v>1791</v>
      </c>
      <c r="B1793" s="6" t="str">
        <f>"508120230422235756139677"</f>
        <v>508120230422235756139677</v>
      </c>
      <c r="C1793" s="6" t="s">
        <v>11</v>
      </c>
      <c r="D1793" s="6" t="str">
        <f>"黄余童"</f>
        <v>黄余童</v>
      </c>
    </row>
    <row r="1794" spans="1:4" ht="30" customHeight="1">
      <c r="A1794" s="6">
        <v>1792</v>
      </c>
      <c r="B1794" s="6" t="str">
        <f>"508120230423004634139690"</f>
        <v>508120230423004634139690</v>
      </c>
      <c r="C1794" s="6" t="s">
        <v>11</v>
      </c>
      <c r="D1794" s="6" t="str">
        <f>"罗宁尹"</f>
        <v>罗宁尹</v>
      </c>
    </row>
    <row r="1795" spans="1:4" ht="30" customHeight="1">
      <c r="A1795" s="6">
        <v>1793</v>
      </c>
      <c r="B1795" s="6" t="str">
        <f>"508120230422224937139645"</f>
        <v>508120230422224937139645</v>
      </c>
      <c r="C1795" s="6" t="s">
        <v>11</v>
      </c>
      <c r="D1795" s="6" t="str">
        <f>"符爱燕"</f>
        <v>符爱燕</v>
      </c>
    </row>
    <row r="1796" spans="1:4" ht="30" customHeight="1">
      <c r="A1796" s="6">
        <v>1794</v>
      </c>
      <c r="B1796" s="6" t="str">
        <f>"508120230423090631139735"</f>
        <v>508120230423090631139735</v>
      </c>
      <c r="C1796" s="6" t="s">
        <v>11</v>
      </c>
      <c r="D1796" s="6" t="str">
        <f>"张旭秀"</f>
        <v>张旭秀</v>
      </c>
    </row>
    <row r="1797" spans="1:4" ht="30" customHeight="1">
      <c r="A1797" s="6">
        <v>1795</v>
      </c>
      <c r="B1797" s="6" t="str">
        <f>"508120230423093911139779"</f>
        <v>508120230423093911139779</v>
      </c>
      <c r="C1797" s="6" t="s">
        <v>11</v>
      </c>
      <c r="D1797" s="6" t="str">
        <f>"谢维亮"</f>
        <v>谢维亮</v>
      </c>
    </row>
    <row r="1798" spans="1:4" ht="30" customHeight="1">
      <c r="A1798" s="6">
        <v>1796</v>
      </c>
      <c r="B1798" s="6" t="str">
        <f>"508120230423092522139759"</f>
        <v>508120230423092522139759</v>
      </c>
      <c r="C1798" s="6" t="s">
        <v>11</v>
      </c>
      <c r="D1798" s="6" t="str">
        <f>"曾平婷"</f>
        <v>曾平婷</v>
      </c>
    </row>
    <row r="1799" spans="1:4" ht="30" customHeight="1">
      <c r="A1799" s="6">
        <v>1797</v>
      </c>
      <c r="B1799" s="6" t="str">
        <f>"508120230423093401139772"</f>
        <v>508120230423093401139772</v>
      </c>
      <c r="C1799" s="6" t="s">
        <v>11</v>
      </c>
      <c r="D1799" s="6" t="str">
        <f>"符晶晶"</f>
        <v>符晶晶</v>
      </c>
    </row>
    <row r="1800" spans="1:4" ht="30" customHeight="1">
      <c r="A1800" s="6">
        <v>1798</v>
      </c>
      <c r="B1800" s="6" t="str">
        <f>"508120230423094746139792"</f>
        <v>508120230423094746139792</v>
      </c>
      <c r="C1800" s="6" t="s">
        <v>11</v>
      </c>
      <c r="D1800" s="6" t="str">
        <f>"秦娇嫩"</f>
        <v>秦娇嫩</v>
      </c>
    </row>
    <row r="1801" spans="1:4" ht="30" customHeight="1">
      <c r="A1801" s="6">
        <v>1799</v>
      </c>
      <c r="B1801" s="6" t="str">
        <f>"508120230423094051139783"</f>
        <v>508120230423094051139783</v>
      </c>
      <c r="C1801" s="6" t="s">
        <v>11</v>
      </c>
      <c r="D1801" s="6" t="str">
        <f>"孟令鹏"</f>
        <v>孟令鹏</v>
      </c>
    </row>
    <row r="1802" spans="1:4" ht="30" customHeight="1">
      <c r="A1802" s="6">
        <v>1800</v>
      </c>
      <c r="B1802" s="6" t="str">
        <f>"508120230423091902139749"</f>
        <v>508120230423091902139749</v>
      </c>
      <c r="C1802" s="6" t="s">
        <v>11</v>
      </c>
      <c r="D1802" s="6" t="str">
        <f>"庞旭楠"</f>
        <v>庞旭楠</v>
      </c>
    </row>
    <row r="1803" spans="1:4" ht="30" customHeight="1">
      <c r="A1803" s="6">
        <v>1801</v>
      </c>
      <c r="B1803" s="6" t="str">
        <f>"508120230423092456139757"</f>
        <v>508120230423092456139757</v>
      </c>
      <c r="C1803" s="6" t="s">
        <v>11</v>
      </c>
      <c r="D1803" s="6" t="str">
        <f>"陈国帅"</f>
        <v>陈国帅</v>
      </c>
    </row>
    <row r="1804" spans="1:4" ht="30" customHeight="1">
      <c r="A1804" s="6">
        <v>1802</v>
      </c>
      <c r="B1804" s="6" t="str">
        <f>"508120230423100048139803"</f>
        <v>508120230423100048139803</v>
      </c>
      <c r="C1804" s="6" t="s">
        <v>11</v>
      </c>
      <c r="D1804" s="6" t="str">
        <f>"司徒慧敏"</f>
        <v>司徒慧敏</v>
      </c>
    </row>
    <row r="1805" spans="1:4" ht="30" customHeight="1">
      <c r="A1805" s="6">
        <v>1803</v>
      </c>
      <c r="B1805" s="6" t="str">
        <f>"508120230423100853139807"</f>
        <v>508120230423100853139807</v>
      </c>
      <c r="C1805" s="6" t="s">
        <v>11</v>
      </c>
      <c r="D1805" s="6" t="str">
        <f>"王娟"</f>
        <v>王娟</v>
      </c>
    </row>
    <row r="1806" spans="1:4" ht="30" customHeight="1">
      <c r="A1806" s="6">
        <v>1804</v>
      </c>
      <c r="B1806" s="6" t="str">
        <f>"508120230423101846139816"</f>
        <v>508120230423101846139816</v>
      </c>
      <c r="C1806" s="6" t="s">
        <v>11</v>
      </c>
      <c r="D1806" s="6" t="str">
        <f>"符雅萍"</f>
        <v>符雅萍</v>
      </c>
    </row>
    <row r="1807" spans="1:4" ht="30" customHeight="1">
      <c r="A1807" s="6">
        <v>1805</v>
      </c>
      <c r="B1807" s="6" t="str">
        <f>"508120230423093239139771"</f>
        <v>508120230423093239139771</v>
      </c>
      <c r="C1807" s="6" t="s">
        <v>11</v>
      </c>
      <c r="D1807" s="6" t="str">
        <f>"庄轩"</f>
        <v>庄轩</v>
      </c>
    </row>
    <row r="1808" spans="1:4" ht="30" customHeight="1">
      <c r="A1808" s="6">
        <v>1806</v>
      </c>
      <c r="B1808" s="6" t="str">
        <f>"508120230423095234139797"</f>
        <v>508120230423095234139797</v>
      </c>
      <c r="C1808" s="6" t="s">
        <v>11</v>
      </c>
      <c r="D1808" s="6" t="str">
        <f>"刘雪洁"</f>
        <v>刘雪洁</v>
      </c>
    </row>
    <row r="1809" spans="1:4" ht="30" customHeight="1">
      <c r="A1809" s="6">
        <v>1807</v>
      </c>
      <c r="B1809" s="6" t="str">
        <f>"508120230423091640139747"</f>
        <v>508120230423091640139747</v>
      </c>
      <c r="C1809" s="6" t="s">
        <v>11</v>
      </c>
      <c r="D1809" s="6" t="str">
        <f>"吴一丹"</f>
        <v>吴一丹</v>
      </c>
    </row>
    <row r="1810" spans="1:4" ht="30" customHeight="1">
      <c r="A1810" s="6">
        <v>1808</v>
      </c>
      <c r="B1810" s="6" t="str">
        <f>"508120230421150528138715"</f>
        <v>508120230421150528138715</v>
      </c>
      <c r="C1810" s="6" t="s">
        <v>11</v>
      </c>
      <c r="D1810" s="6" t="str">
        <f>"廖承业"</f>
        <v>廖承业</v>
      </c>
    </row>
    <row r="1811" spans="1:4" ht="30" customHeight="1">
      <c r="A1811" s="6">
        <v>1809</v>
      </c>
      <c r="B1811" s="6" t="str">
        <f>"508120230422124322139308"</f>
        <v>508120230422124322139308</v>
      </c>
      <c r="C1811" s="6" t="s">
        <v>11</v>
      </c>
      <c r="D1811" s="6" t="str">
        <f>"童纪明"</f>
        <v>童纪明</v>
      </c>
    </row>
    <row r="1812" spans="1:4" ht="30" customHeight="1">
      <c r="A1812" s="6">
        <v>1810</v>
      </c>
      <c r="B1812" s="6" t="str">
        <f>"508120230423110521139864"</f>
        <v>508120230423110521139864</v>
      </c>
      <c r="C1812" s="6" t="s">
        <v>11</v>
      </c>
      <c r="D1812" s="6" t="str">
        <f>"吴佩婷"</f>
        <v>吴佩婷</v>
      </c>
    </row>
    <row r="1813" spans="1:4" ht="30" customHeight="1">
      <c r="A1813" s="6">
        <v>1811</v>
      </c>
      <c r="B1813" s="6" t="str">
        <f>"508120230423112744139890"</f>
        <v>508120230423112744139890</v>
      </c>
      <c r="C1813" s="6" t="s">
        <v>11</v>
      </c>
      <c r="D1813" s="6" t="str">
        <f>"郭小丹"</f>
        <v>郭小丹</v>
      </c>
    </row>
    <row r="1814" spans="1:4" ht="30" customHeight="1">
      <c r="A1814" s="6">
        <v>1812</v>
      </c>
      <c r="B1814" s="6" t="str">
        <f>"508120230422231247139659"</f>
        <v>508120230422231247139659</v>
      </c>
      <c r="C1814" s="6" t="s">
        <v>11</v>
      </c>
      <c r="D1814" s="6" t="str">
        <f>"符永佳"</f>
        <v>符永佳</v>
      </c>
    </row>
    <row r="1815" spans="1:4" ht="30" customHeight="1">
      <c r="A1815" s="6">
        <v>1813</v>
      </c>
      <c r="B1815" s="6" t="str">
        <f>"508120230421231302139126"</f>
        <v>508120230421231302139126</v>
      </c>
      <c r="C1815" s="6" t="s">
        <v>11</v>
      </c>
      <c r="D1815" s="6" t="str">
        <f>"何彦仪"</f>
        <v>何彦仪</v>
      </c>
    </row>
    <row r="1816" spans="1:4" ht="30" customHeight="1">
      <c r="A1816" s="6">
        <v>1814</v>
      </c>
      <c r="B1816" s="6" t="str">
        <f>"508120230423113358139898"</f>
        <v>508120230423113358139898</v>
      </c>
      <c r="C1816" s="6" t="s">
        <v>11</v>
      </c>
      <c r="D1816" s="6" t="str">
        <f>"王清布"</f>
        <v>王清布</v>
      </c>
    </row>
    <row r="1817" spans="1:4" ht="30" customHeight="1">
      <c r="A1817" s="6">
        <v>1815</v>
      </c>
      <c r="B1817" s="6" t="str">
        <f>"508120230423090303139732"</f>
        <v>508120230423090303139732</v>
      </c>
      <c r="C1817" s="6" t="s">
        <v>11</v>
      </c>
      <c r="D1817" s="6" t="str">
        <f>"吴敏"</f>
        <v>吴敏</v>
      </c>
    </row>
    <row r="1818" spans="1:4" ht="30" customHeight="1">
      <c r="A1818" s="6">
        <v>1816</v>
      </c>
      <c r="B1818" s="6" t="str">
        <f>"508120230423122410139933"</f>
        <v>508120230423122410139933</v>
      </c>
      <c r="C1818" s="6" t="s">
        <v>11</v>
      </c>
      <c r="D1818" s="6" t="str">
        <f>"曾珊珊"</f>
        <v>曾珊珊</v>
      </c>
    </row>
    <row r="1819" spans="1:4" ht="30" customHeight="1">
      <c r="A1819" s="6">
        <v>1817</v>
      </c>
      <c r="B1819" s="6" t="str">
        <f>"508120230423113701139901"</f>
        <v>508120230423113701139901</v>
      </c>
      <c r="C1819" s="6" t="s">
        <v>11</v>
      </c>
      <c r="D1819" s="6" t="str">
        <f>"刘坚正"</f>
        <v>刘坚正</v>
      </c>
    </row>
    <row r="1820" spans="1:4" ht="30" customHeight="1">
      <c r="A1820" s="6">
        <v>1818</v>
      </c>
      <c r="B1820" s="6" t="str">
        <f>"508120230423131210139954"</f>
        <v>508120230423131210139954</v>
      </c>
      <c r="C1820" s="6" t="s">
        <v>11</v>
      </c>
      <c r="D1820" s="6" t="str">
        <f>"冯雪莲"</f>
        <v>冯雪莲</v>
      </c>
    </row>
    <row r="1821" spans="1:4" ht="30" customHeight="1">
      <c r="A1821" s="6">
        <v>1819</v>
      </c>
      <c r="B1821" s="6" t="str">
        <f>"508120230423135610139969"</f>
        <v>508120230423135610139969</v>
      </c>
      <c r="C1821" s="6" t="s">
        <v>11</v>
      </c>
      <c r="D1821" s="6" t="str">
        <f>"黄晓蕾"</f>
        <v>黄晓蕾</v>
      </c>
    </row>
    <row r="1822" spans="1:4" ht="30" customHeight="1">
      <c r="A1822" s="6">
        <v>1820</v>
      </c>
      <c r="B1822" s="6" t="str">
        <f>"508120230423141711139976"</f>
        <v>508120230423141711139976</v>
      </c>
      <c r="C1822" s="6" t="s">
        <v>11</v>
      </c>
      <c r="D1822" s="6" t="str">
        <f>"陈泓任"</f>
        <v>陈泓任</v>
      </c>
    </row>
    <row r="1823" spans="1:4" ht="30" customHeight="1">
      <c r="A1823" s="6">
        <v>1821</v>
      </c>
      <c r="B1823" s="6" t="str">
        <f>"508120230423082811139706"</f>
        <v>508120230423082811139706</v>
      </c>
      <c r="C1823" s="6" t="s">
        <v>11</v>
      </c>
      <c r="D1823" s="6" t="str">
        <f>"符亚芬"</f>
        <v>符亚芬</v>
      </c>
    </row>
    <row r="1824" spans="1:4" ht="30" customHeight="1">
      <c r="A1824" s="6">
        <v>1822</v>
      </c>
      <c r="B1824" s="6" t="str">
        <f>"508120230423150804140019"</f>
        <v>508120230423150804140019</v>
      </c>
      <c r="C1824" s="6" t="s">
        <v>11</v>
      </c>
      <c r="D1824" s="6" t="str">
        <f>"吴燕茹"</f>
        <v>吴燕茹</v>
      </c>
    </row>
    <row r="1825" spans="1:4" ht="30" customHeight="1">
      <c r="A1825" s="6">
        <v>1823</v>
      </c>
      <c r="B1825" s="6" t="str">
        <f>"508120230423145904140007"</f>
        <v>508120230423145904140007</v>
      </c>
      <c r="C1825" s="6" t="s">
        <v>11</v>
      </c>
      <c r="D1825" s="6" t="str">
        <f>"文俞涵"</f>
        <v>文俞涵</v>
      </c>
    </row>
    <row r="1826" spans="1:4" ht="30" customHeight="1">
      <c r="A1826" s="6">
        <v>1824</v>
      </c>
      <c r="B1826" s="6" t="str">
        <f>"508120230421141352138650"</f>
        <v>508120230421141352138650</v>
      </c>
      <c r="C1826" s="6" t="s">
        <v>11</v>
      </c>
      <c r="D1826" s="6" t="str">
        <f>"许健"</f>
        <v>许健</v>
      </c>
    </row>
    <row r="1827" spans="1:4" ht="30" customHeight="1">
      <c r="A1827" s="6">
        <v>1825</v>
      </c>
      <c r="B1827" s="6" t="str">
        <f>"508120230423151820140032"</f>
        <v>508120230423151820140032</v>
      </c>
      <c r="C1827" s="6" t="s">
        <v>11</v>
      </c>
      <c r="D1827" s="6" t="str">
        <f>"郭仁海"</f>
        <v>郭仁海</v>
      </c>
    </row>
    <row r="1828" spans="1:4" ht="30" customHeight="1">
      <c r="A1828" s="6">
        <v>1826</v>
      </c>
      <c r="B1828" s="6" t="str">
        <f>"508120230422091450139184"</f>
        <v>508120230422091450139184</v>
      </c>
      <c r="C1828" s="6" t="s">
        <v>11</v>
      </c>
      <c r="D1828" s="6" t="str">
        <f>"陈家龙"</f>
        <v>陈家龙</v>
      </c>
    </row>
    <row r="1829" spans="1:4" ht="30" customHeight="1">
      <c r="A1829" s="6">
        <v>1827</v>
      </c>
      <c r="B1829" s="6" t="str">
        <f>"508120230423155046140062"</f>
        <v>508120230423155046140062</v>
      </c>
      <c r="C1829" s="6" t="s">
        <v>11</v>
      </c>
      <c r="D1829" s="6" t="str">
        <f>"赵华莹"</f>
        <v>赵华莹</v>
      </c>
    </row>
    <row r="1830" spans="1:4" ht="30" customHeight="1">
      <c r="A1830" s="6">
        <v>1828</v>
      </c>
      <c r="B1830" s="6" t="str">
        <f>"508120230423154158140052"</f>
        <v>508120230423154158140052</v>
      </c>
      <c r="C1830" s="6" t="s">
        <v>11</v>
      </c>
      <c r="D1830" s="6" t="str">
        <f>"冯启龙"</f>
        <v>冯启龙</v>
      </c>
    </row>
    <row r="1831" spans="1:4" ht="30" customHeight="1">
      <c r="A1831" s="6">
        <v>1829</v>
      </c>
      <c r="B1831" s="6" t="str">
        <f>"508120230423160942140083"</f>
        <v>508120230423160942140083</v>
      </c>
      <c r="C1831" s="6" t="s">
        <v>11</v>
      </c>
      <c r="D1831" s="6" t="str">
        <f>"王迷尔"</f>
        <v>王迷尔</v>
      </c>
    </row>
    <row r="1832" spans="1:4" ht="30" customHeight="1">
      <c r="A1832" s="6">
        <v>1830</v>
      </c>
      <c r="B1832" s="6" t="str">
        <f>"508120230423155124140064"</f>
        <v>508120230423155124140064</v>
      </c>
      <c r="C1832" s="6" t="s">
        <v>11</v>
      </c>
      <c r="D1832" s="6" t="str">
        <f>"蔡兴颖"</f>
        <v>蔡兴颖</v>
      </c>
    </row>
    <row r="1833" spans="1:4" ht="30" customHeight="1">
      <c r="A1833" s="6">
        <v>1831</v>
      </c>
      <c r="B1833" s="6" t="str">
        <f>"508120230423163155140110"</f>
        <v>508120230423163155140110</v>
      </c>
      <c r="C1833" s="6" t="s">
        <v>11</v>
      </c>
      <c r="D1833" s="6" t="str">
        <f>"谢佳佳"</f>
        <v>谢佳佳</v>
      </c>
    </row>
    <row r="1834" spans="1:4" ht="30" customHeight="1">
      <c r="A1834" s="6">
        <v>1832</v>
      </c>
      <c r="B1834" s="6" t="str">
        <f>"508120230423160617140080"</f>
        <v>508120230423160617140080</v>
      </c>
      <c r="C1834" s="6" t="s">
        <v>11</v>
      </c>
      <c r="D1834" s="6" t="str">
        <f>"王丹"</f>
        <v>王丹</v>
      </c>
    </row>
    <row r="1835" spans="1:4" ht="30" customHeight="1">
      <c r="A1835" s="6">
        <v>1833</v>
      </c>
      <c r="B1835" s="6" t="str">
        <f>"508120230422174653139457"</f>
        <v>508120230422174653139457</v>
      </c>
      <c r="C1835" s="6" t="s">
        <v>11</v>
      </c>
      <c r="D1835" s="6" t="str">
        <f>"徐小棠"</f>
        <v>徐小棠</v>
      </c>
    </row>
    <row r="1836" spans="1:4" ht="30" customHeight="1">
      <c r="A1836" s="6">
        <v>1834</v>
      </c>
      <c r="B1836" s="6" t="str">
        <f>"508120230421153026138761"</f>
        <v>508120230421153026138761</v>
      </c>
      <c r="C1836" s="6" t="s">
        <v>11</v>
      </c>
      <c r="D1836" s="6" t="str">
        <f>"何俊贤"</f>
        <v>何俊贤</v>
      </c>
    </row>
    <row r="1837" spans="1:4" ht="30" customHeight="1">
      <c r="A1837" s="6">
        <v>1835</v>
      </c>
      <c r="B1837" s="6" t="str">
        <f>"508120230423161946140095"</f>
        <v>508120230423161946140095</v>
      </c>
      <c r="C1837" s="6" t="s">
        <v>11</v>
      </c>
      <c r="D1837" s="6" t="str">
        <f>"蒋晓雨"</f>
        <v>蒋晓雨</v>
      </c>
    </row>
    <row r="1838" spans="1:4" ht="30" customHeight="1">
      <c r="A1838" s="6">
        <v>1836</v>
      </c>
      <c r="B1838" s="6" t="str">
        <f>"508120230423160955140085"</f>
        <v>508120230423160955140085</v>
      </c>
      <c r="C1838" s="6" t="s">
        <v>11</v>
      </c>
      <c r="D1838" s="6" t="str">
        <f>"陈燕姣"</f>
        <v>陈燕姣</v>
      </c>
    </row>
    <row r="1839" spans="1:4" ht="30" customHeight="1">
      <c r="A1839" s="6">
        <v>1837</v>
      </c>
      <c r="B1839" s="6" t="str">
        <f>"508120230423163454140114"</f>
        <v>508120230423163454140114</v>
      </c>
      <c r="C1839" s="6" t="s">
        <v>11</v>
      </c>
      <c r="D1839" s="6" t="str">
        <f>"陈振"</f>
        <v>陈振</v>
      </c>
    </row>
    <row r="1840" spans="1:4" ht="30" customHeight="1">
      <c r="A1840" s="6">
        <v>1838</v>
      </c>
      <c r="B1840" s="6" t="str">
        <f>"508120230423171706140154"</f>
        <v>508120230423171706140154</v>
      </c>
      <c r="C1840" s="6" t="s">
        <v>11</v>
      </c>
      <c r="D1840" s="6" t="str">
        <f>"黄显飞"</f>
        <v>黄显飞</v>
      </c>
    </row>
    <row r="1841" spans="1:4" ht="30" customHeight="1">
      <c r="A1841" s="6">
        <v>1839</v>
      </c>
      <c r="B1841" s="6" t="str">
        <f>"508120230423091418139745"</f>
        <v>508120230423091418139745</v>
      </c>
      <c r="C1841" s="6" t="s">
        <v>11</v>
      </c>
      <c r="D1841" s="6" t="str">
        <f>"王晨"</f>
        <v>王晨</v>
      </c>
    </row>
    <row r="1842" spans="1:4" ht="30" customHeight="1">
      <c r="A1842" s="6">
        <v>1840</v>
      </c>
      <c r="B1842" s="6" t="str">
        <f>"508120230422192249139503"</f>
        <v>508120230422192249139503</v>
      </c>
      <c r="C1842" s="6" t="s">
        <v>11</v>
      </c>
      <c r="D1842" s="6" t="str">
        <f>"陈彦君"</f>
        <v>陈彦君</v>
      </c>
    </row>
    <row r="1843" spans="1:4" ht="30" customHeight="1">
      <c r="A1843" s="6">
        <v>1841</v>
      </c>
      <c r="B1843" s="6" t="str">
        <f>"508120230423171310140150"</f>
        <v>508120230423171310140150</v>
      </c>
      <c r="C1843" s="6" t="s">
        <v>11</v>
      </c>
      <c r="D1843" s="6" t="str">
        <f>"王茜"</f>
        <v>王茜</v>
      </c>
    </row>
    <row r="1844" spans="1:4" ht="30" customHeight="1">
      <c r="A1844" s="6">
        <v>1842</v>
      </c>
      <c r="B1844" s="6" t="str">
        <f>"508120230423172003140156"</f>
        <v>508120230423172003140156</v>
      </c>
      <c r="C1844" s="6" t="s">
        <v>11</v>
      </c>
      <c r="D1844" s="6" t="str">
        <f>"纪诗诗"</f>
        <v>纪诗诗</v>
      </c>
    </row>
    <row r="1845" spans="1:4" ht="30" customHeight="1">
      <c r="A1845" s="6">
        <v>1843</v>
      </c>
      <c r="B1845" s="6" t="str">
        <f>"508120230422200645139527"</f>
        <v>508120230422200645139527</v>
      </c>
      <c r="C1845" s="6" t="s">
        <v>11</v>
      </c>
      <c r="D1845" s="6" t="str">
        <f>"周安宁"</f>
        <v>周安宁</v>
      </c>
    </row>
    <row r="1846" spans="1:4" ht="30" customHeight="1">
      <c r="A1846" s="6">
        <v>1844</v>
      </c>
      <c r="B1846" s="6" t="str">
        <f>"508120230423093155139768"</f>
        <v>508120230423093155139768</v>
      </c>
      <c r="C1846" s="6" t="s">
        <v>11</v>
      </c>
      <c r="D1846" s="6" t="str">
        <f>"符睿琪"</f>
        <v>符睿琪</v>
      </c>
    </row>
    <row r="1847" spans="1:4" ht="30" customHeight="1">
      <c r="A1847" s="6">
        <v>1845</v>
      </c>
      <c r="B1847" s="6" t="str">
        <f>"508120230421213036139081"</f>
        <v>508120230421213036139081</v>
      </c>
      <c r="C1847" s="6" t="s">
        <v>11</v>
      </c>
      <c r="D1847" s="6" t="str">
        <f>"陈淑玲"</f>
        <v>陈淑玲</v>
      </c>
    </row>
    <row r="1848" spans="1:4" ht="30" customHeight="1">
      <c r="A1848" s="6">
        <v>1846</v>
      </c>
      <c r="B1848" s="6" t="str">
        <f>"508120230423185407140208"</f>
        <v>508120230423185407140208</v>
      </c>
      <c r="C1848" s="6" t="s">
        <v>11</v>
      </c>
      <c r="D1848" s="6" t="str">
        <f>"杨莹"</f>
        <v>杨莹</v>
      </c>
    </row>
    <row r="1849" spans="1:4" ht="30" customHeight="1">
      <c r="A1849" s="6">
        <v>1847</v>
      </c>
      <c r="B1849" s="6" t="str">
        <f>"508120230421105302138402"</f>
        <v>508120230421105302138402</v>
      </c>
      <c r="C1849" s="6" t="s">
        <v>11</v>
      </c>
      <c r="D1849" s="6" t="str">
        <f>"蔡佳骆"</f>
        <v>蔡佳骆</v>
      </c>
    </row>
    <row r="1850" spans="1:4" ht="30" customHeight="1">
      <c r="A1850" s="6">
        <v>1848</v>
      </c>
      <c r="B1850" s="6" t="str">
        <f>"508120230423195346140241"</f>
        <v>508120230423195346140241</v>
      </c>
      <c r="C1850" s="6" t="s">
        <v>11</v>
      </c>
      <c r="D1850" s="6" t="str">
        <f>"林小颖"</f>
        <v>林小颖</v>
      </c>
    </row>
    <row r="1851" spans="1:4" ht="30" customHeight="1">
      <c r="A1851" s="6">
        <v>1849</v>
      </c>
      <c r="B1851" s="6" t="str">
        <f>"508120230423185004140203"</f>
        <v>508120230423185004140203</v>
      </c>
      <c r="C1851" s="6" t="s">
        <v>11</v>
      </c>
      <c r="D1851" s="6" t="str">
        <f>"冼格格"</f>
        <v>冼格格</v>
      </c>
    </row>
    <row r="1852" spans="1:4" ht="30" customHeight="1">
      <c r="A1852" s="6">
        <v>1850</v>
      </c>
      <c r="B1852" s="6" t="str">
        <f>"508120230423201028140251"</f>
        <v>508120230423201028140251</v>
      </c>
      <c r="C1852" s="6" t="s">
        <v>11</v>
      </c>
      <c r="D1852" s="6" t="str">
        <f>"苏家露"</f>
        <v>苏家露</v>
      </c>
    </row>
    <row r="1853" spans="1:4" ht="30" customHeight="1">
      <c r="A1853" s="6">
        <v>1851</v>
      </c>
      <c r="B1853" s="6" t="str">
        <f>"508120230423205812140291"</f>
        <v>508120230423205812140291</v>
      </c>
      <c r="C1853" s="6" t="s">
        <v>11</v>
      </c>
      <c r="D1853" s="6" t="str">
        <f>"曾祥方"</f>
        <v>曾祥方</v>
      </c>
    </row>
    <row r="1854" spans="1:4" ht="30" customHeight="1">
      <c r="A1854" s="6">
        <v>1852</v>
      </c>
      <c r="B1854" s="6" t="str">
        <f>"508120230422202658139544"</f>
        <v>508120230422202658139544</v>
      </c>
      <c r="C1854" s="6" t="s">
        <v>11</v>
      </c>
      <c r="D1854" s="6" t="str">
        <f>"钟易汝"</f>
        <v>钟易汝</v>
      </c>
    </row>
    <row r="1855" spans="1:4" ht="30" customHeight="1">
      <c r="A1855" s="6">
        <v>1853</v>
      </c>
      <c r="B1855" s="6" t="str">
        <f>"508120230421120503138532"</f>
        <v>508120230421120503138532</v>
      </c>
      <c r="C1855" s="6" t="s">
        <v>11</v>
      </c>
      <c r="D1855" s="6" t="str">
        <f>"吴佳泽"</f>
        <v>吴佳泽</v>
      </c>
    </row>
    <row r="1856" spans="1:4" ht="30" customHeight="1">
      <c r="A1856" s="6">
        <v>1854</v>
      </c>
      <c r="B1856" s="6" t="str">
        <f>"508120230421172024138912"</f>
        <v>508120230421172024138912</v>
      </c>
      <c r="C1856" s="6" t="s">
        <v>11</v>
      </c>
      <c r="D1856" s="6" t="str">
        <f>"李秀"</f>
        <v>李秀</v>
      </c>
    </row>
    <row r="1857" spans="1:4" ht="30" customHeight="1">
      <c r="A1857" s="6">
        <v>1855</v>
      </c>
      <c r="B1857" s="6" t="str">
        <f>"508120230423211055140308"</f>
        <v>508120230423211055140308</v>
      </c>
      <c r="C1857" s="6" t="s">
        <v>11</v>
      </c>
      <c r="D1857" s="6" t="str">
        <f>"唐庆慧"</f>
        <v>唐庆慧</v>
      </c>
    </row>
    <row r="1858" spans="1:4" ht="30" customHeight="1">
      <c r="A1858" s="6">
        <v>1856</v>
      </c>
      <c r="B1858" s="6" t="str">
        <f>"508120230423214045140333"</f>
        <v>508120230423214045140333</v>
      </c>
      <c r="C1858" s="6" t="s">
        <v>11</v>
      </c>
      <c r="D1858" s="6" t="str">
        <f>"李雨娴"</f>
        <v>李雨娴</v>
      </c>
    </row>
    <row r="1859" spans="1:4" ht="30" customHeight="1">
      <c r="A1859" s="6">
        <v>1857</v>
      </c>
      <c r="B1859" s="6" t="str">
        <f>"508120230423181004140182"</f>
        <v>508120230423181004140182</v>
      </c>
      <c r="C1859" s="6" t="s">
        <v>11</v>
      </c>
      <c r="D1859" s="6" t="str">
        <f>"肖平"</f>
        <v>肖平</v>
      </c>
    </row>
    <row r="1860" spans="1:4" ht="30" customHeight="1">
      <c r="A1860" s="6">
        <v>1858</v>
      </c>
      <c r="B1860" s="6" t="str">
        <f>"508120230423215121140343"</f>
        <v>508120230423215121140343</v>
      </c>
      <c r="C1860" s="6" t="s">
        <v>11</v>
      </c>
      <c r="D1860" s="6" t="str">
        <f>"李瑞荣"</f>
        <v>李瑞荣</v>
      </c>
    </row>
    <row r="1861" spans="1:4" ht="30" customHeight="1">
      <c r="A1861" s="6">
        <v>1859</v>
      </c>
      <c r="B1861" s="6" t="str">
        <f>"508120230422180711139468"</f>
        <v>508120230422180711139468</v>
      </c>
      <c r="C1861" s="6" t="s">
        <v>11</v>
      </c>
      <c r="D1861" s="6" t="str">
        <f>"陈科霖"</f>
        <v>陈科霖</v>
      </c>
    </row>
    <row r="1862" spans="1:4" ht="30" customHeight="1">
      <c r="A1862" s="6">
        <v>1860</v>
      </c>
      <c r="B1862" s="6" t="str">
        <f>"508120230423204018140278"</f>
        <v>508120230423204018140278</v>
      </c>
      <c r="C1862" s="6" t="s">
        <v>11</v>
      </c>
      <c r="D1862" s="6" t="str">
        <f>"王筱"</f>
        <v>王筱</v>
      </c>
    </row>
    <row r="1863" spans="1:4" ht="30" customHeight="1">
      <c r="A1863" s="6">
        <v>1861</v>
      </c>
      <c r="B1863" s="6" t="str">
        <f>"508120230423112143139884"</f>
        <v>508120230423112143139884</v>
      </c>
      <c r="C1863" s="6" t="s">
        <v>11</v>
      </c>
      <c r="D1863" s="6" t="str">
        <f>"林诗苑"</f>
        <v>林诗苑</v>
      </c>
    </row>
    <row r="1864" spans="1:4" ht="30" customHeight="1">
      <c r="A1864" s="6">
        <v>1862</v>
      </c>
      <c r="B1864" s="6" t="str">
        <f>"508120230423221129140362"</f>
        <v>508120230423221129140362</v>
      </c>
      <c r="C1864" s="6" t="s">
        <v>11</v>
      </c>
      <c r="D1864" s="6" t="str">
        <f>"卢贤俊"</f>
        <v>卢贤俊</v>
      </c>
    </row>
    <row r="1865" spans="1:4" ht="30" customHeight="1">
      <c r="A1865" s="6">
        <v>1863</v>
      </c>
      <c r="B1865" s="6" t="str">
        <f>"508120230423213750140332"</f>
        <v>508120230423213750140332</v>
      </c>
      <c r="C1865" s="6" t="s">
        <v>11</v>
      </c>
      <c r="D1865" s="6" t="str">
        <f>"陆俊嘉"</f>
        <v>陆俊嘉</v>
      </c>
    </row>
    <row r="1866" spans="1:4" ht="30" customHeight="1">
      <c r="A1866" s="6">
        <v>1864</v>
      </c>
      <c r="B1866" s="6" t="str">
        <f>"508120230423165957140142"</f>
        <v>508120230423165957140142</v>
      </c>
      <c r="C1866" s="6" t="s">
        <v>11</v>
      </c>
      <c r="D1866" s="6" t="str">
        <f>"杨振翔"</f>
        <v>杨振翔</v>
      </c>
    </row>
    <row r="1867" spans="1:4" ht="30" customHeight="1">
      <c r="A1867" s="6">
        <v>1865</v>
      </c>
      <c r="B1867" s="6" t="str">
        <f>"508120230423223636140379"</f>
        <v>508120230423223636140379</v>
      </c>
      <c r="C1867" s="6" t="s">
        <v>11</v>
      </c>
      <c r="D1867" s="6" t="str">
        <f>"陈昱妃"</f>
        <v>陈昱妃</v>
      </c>
    </row>
    <row r="1868" spans="1:4" ht="30" customHeight="1">
      <c r="A1868" s="6">
        <v>1866</v>
      </c>
      <c r="B1868" s="6" t="str">
        <f>"508120230423225801140392"</f>
        <v>508120230423225801140392</v>
      </c>
      <c r="C1868" s="6" t="s">
        <v>11</v>
      </c>
      <c r="D1868" s="6" t="str">
        <f>"李梦怡"</f>
        <v>李梦怡</v>
      </c>
    </row>
    <row r="1869" spans="1:4" ht="30" customHeight="1">
      <c r="A1869" s="6">
        <v>1867</v>
      </c>
      <c r="B1869" s="6" t="str">
        <f>"508120230423225957140396"</f>
        <v>508120230423225957140396</v>
      </c>
      <c r="C1869" s="6" t="s">
        <v>11</v>
      </c>
      <c r="D1869" s="6" t="str">
        <f>"吴明"</f>
        <v>吴明</v>
      </c>
    </row>
    <row r="1870" spans="1:4" ht="30" customHeight="1">
      <c r="A1870" s="6">
        <v>1868</v>
      </c>
      <c r="B1870" s="6" t="str">
        <f>"508120230423232732140416"</f>
        <v>508120230423232732140416</v>
      </c>
      <c r="C1870" s="6" t="s">
        <v>11</v>
      </c>
      <c r="D1870" s="6" t="str">
        <f>"唐惠柏"</f>
        <v>唐惠柏</v>
      </c>
    </row>
    <row r="1871" spans="1:4" ht="30" customHeight="1">
      <c r="A1871" s="6">
        <v>1869</v>
      </c>
      <c r="B1871" s="6" t="str">
        <f>"508120230421204648139063"</f>
        <v>508120230421204648139063</v>
      </c>
      <c r="C1871" s="6" t="s">
        <v>11</v>
      </c>
      <c r="D1871" s="6" t="str">
        <f>"方海舟"</f>
        <v>方海舟</v>
      </c>
    </row>
    <row r="1872" spans="1:4" ht="30" customHeight="1">
      <c r="A1872" s="6">
        <v>1870</v>
      </c>
      <c r="B1872" s="6" t="str">
        <f>"508120230424000126140426"</f>
        <v>508120230424000126140426</v>
      </c>
      <c r="C1872" s="6" t="s">
        <v>11</v>
      </c>
      <c r="D1872" s="6" t="str">
        <f>"邓庆波"</f>
        <v>邓庆波</v>
      </c>
    </row>
    <row r="1873" spans="1:4" ht="30" customHeight="1">
      <c r="A1873" s="6">
        <v>1871</v>
      </c>
      <c r="B1873" s="6" t="str">
        <f>"508120230424055828140442"</f>
        <v>508120230424055828140442</v>
      </c>
      <c r="C1873" s="6" t="s">
        <v>11</v>
      </c>
      <c r="D1873" s="6" t="str">
        <f>"王鹏"</f>
        <v>王鹏</v>
      </c>
    </row>
    <row r="1874" spans="1:4" ht="30" customHeight="1">
      <c r="A1874" s="6">
        <v>1872</v>
      </c>
      <c r="B1874" s="6" t="str">
        <f>"508120230424082909140460"</f>
        <v>508120230424082909140460</v>
      </c>
      <c r="C1874" s="6" t="s">
        <v>11</v>
      </c>
      <c r="D1874" s="6" t="str">
        <f>"陈苒"</f>
        <v>陈苒</v>
      </c>
    </row>
    <row r="1875" spans="1:4" ht="30" customHeight="1">
      <c r="A1875" s="6">
        <v>1873</v>
      </c>
      <c r="B1875" s="6" t="str">
        <f>"508120230424090733140489"</f>
        <v>508120230424090733140489</v>
      </c>
      <c r="C1875" s="6" t="s">
        <v>11</v>
      </c>
      <c r="D1875" s="6" t="str">
        <f>"潘德凤"</f>
        <v>潘德凤</v>
      </c>
    </row>
    <row r="1876" spans="1:4" ht="30" customHeight="1">
      <c r="A1876" s="6">
        <v>1874</v>
      </c>
      <c r="B1876" s="6" t="str">
        <f>"508120230424074408140446"</f>
        <v>508120230424074408140446</v>
      </c>
      <c r="C1876" s="6" t="s">
        <v>11</v>
      </c>
      <c r="D1876" s="6" t="str">
        <f>"柳明菊"</f>
        <v>柳明菊</v>
      </c>
    </row>
    <row r="1877" spans="1:4" ht="30" customHeight="1">
      <c r="A1877" s="6">
        <v>1875</v>
      </c>
      <c r="B1877" s="6" t="str">
        <f>"508120230424094240140525"</f>
        <v>508120230424094240140525</v>
      </c>
      <c r="C1877" s="6" t="s">
        <v>11</v>
      </c>
      <c r="D1877" s="6" t="str">
        <f>"吴瑛琪"</f>
        <v>吴瑛琪</v>
      </c>
    </row>
    <row r="1878" spans="1:4" ht="30" customHeight="1">
      <c r="A1878" s="6">
        <v>1876</v>
      </c>
      <c r="B1878" s="6" t="str">
        <f>"508120230423142817139983"</f>
        <v>508120230423142817139983</v>
      </c>
      <c r="C1878" s="6" t="s">
        <v>11</v>
      </c>
      <c r="D1878" s="6" t="str">
        <f>"万潇潇"</f>
        <v>万潇潇</v>
      </c>
    </row>
    <row r="1879" spans="1:4" ht="30" customHeight="1">
      <c r="A1879" s="6">
        <v>1877</v>
      </c>
      <c r="B1879" s="6" t="str">
        <f>"508120230424091746140499"</f>
        <v>508120230424091746140499</v>
      </c>
      <c r="C1879" s="6" t="s">
        <v>11</v>
      </c>
      <c r="D1879" s="6" t="str">
        <f>"王树奇"</f>
        <v>王树奇</v>
      </c>
    </row>
    <row r="1880" spans="1:4" ht="30" customHeight="1">
      <c r="A1880" s="6">
        <v>1878</v>
      </c>
      <c r="B1880" s="6" t="str">
        <f>"508120230422125036139315"</f>
        <v>508120230422125036139315</v>
      </c>
      <c r="C1880" s="6" t="s">
        <v>11</v>
      </c>
      <c r="D1880" s="6" t="str">
        <f>"刘嘉乐"</f>
        <v>刘嘉乐</v>
      </c>
    </row>
    <row r="1881" spans="1:4" ht="30" customHeight="1">
      <c r="A1881" s="6">
        <v>1879</v>
      </c>
      <c r="B1881" s="6" t="str">
        <f>"508120230421091727138145"</f>
        <v>508120230421091727138145</v>
      </c>
      <c r="C1881" s="6" t="s">
        <v>11</v>
      </c>
      <c r="D1881" s="6" t="str">
        <f>"梁悦"</f>
        <v>梁悦</v>
      </c>
    </row>
    <row r="1882" spans="1:4" ht="30" customHeight="1">
      <c r="A1882" s="6">
        <v>1880</v>
      </c>
      <c r="B1882" s="6" t="str">
        <f>"508120230421102815138338"</f>
        <v>508120230421102815138338</v>
      </c>
      <c r="C1882" s="6" t="s">
        <v>11</v>
      </c>
      <c r="D1882" s="6" t="str">
        <f>"庞青青"</f>
        <v>庞青青</v>
      </c>
    </row>
    <row r="1883" spans="1:4" ht="30" customHeight="1">
      <c r="A1883" s="6">
        <v>1881</v>
      </c>
      <c r="B1883" s="6" t="str">
        <f>"508120230424094733140534"</f>
        <v>508120230424094733140534</v>
      </c>
      <c r="C1883" s="6" t="s">
        <v>11</v>
      </c>
      <c r="D1883" s="6" t="str">
        <f>"赵日妮"</f>
        <v>赵日妮</v>
      </c>
    </row>
    <row r="1884" spans="1:4" ht="30" customHeight="1">
      <c r="A1884" s="6">
        <v>1882</v>
      </c>
      <c r="B1884" s="6" t="str">
        <f>"508120230424100632140555"</f>
        <v>508120230424100632140555</v>
      </c>
      <c r="C1884" s="6" t="s">
        <v>11</v>
      </c>
      <c r="D1884" s="6" t="str">
        <f>"吉志燕"</f>
        <v>吉志燕</v>
      </c>
    </row>
    <row r="1885" spans="1:4" ht="30" customHeight="1">
      <c r="A1885" s="6">
        <v>1883</v>
      </c>
      <c r="B1885" s="6" t="str">
        <f>"508120230423235932140425"</f>
        <v>508120230423235932140425</v>
      </c>
      <c r="C1885" s="6" t="s">
        <v>11</v>
      </c>
      <c r="D1885" s="6" t="str">
        <f>"郑倩钰"</f>
        <v>郑倩钰</v>
      </c>
    </row>
    <row r="1886" spans="1:4" ht="30" customHeight="1">
      <c r="A1886" s="6">
        <v>1884</v>
      </c>
      <c r="B1886" s="6" t="str">
        <f>"508120230424094016140521"</f>
        <v>508120230424094016140521</v>
      </c>
      <c r="C1886" s="6" t="s">
        <v>11</v>
      </c>
      <c r="D1886" s="6" t="str">
        <f>"王嘉玥"</f>
        <v>王嘉玥</v>
      </c>
    </row>
    <row r="1887" spans="1:4" ht="30" customHeight="1">
      <c r="A1887" s="6">
        <v>1885</v>
      </c>
      <c r="B1887" s="6" t="str">
        <f>"508120230424102009140574"</f>
        <v>508120230424102009140574</v>
      </c>
      <c r="C1887" s="6" t="s">
        <v>11</v>
      </c>
      <c r="D1887" s="6" t="str">
        <f>"雷家善"</f>
        <v>雷家善</v>
      </c>
    </row>
    <row r="1888" spans="1:4" ht="30" customHeight="1">
      <c r="A1888" s="6">
        <v>1886</v>
      </c>
      <c r="B1888" s="6" t="str">
        <f>"508120230424091407140495"</f>
        <v>508120230424091407140495</v>
      </c>
      <c r="C1888" s="6" t="s">
        <v>11</v>
      </c>
      <c r="D1888" s="6" t="str">
        <f>"吴重机"</f>
        <v>吴重机</v>
      </c>
    </row>
    <row r="1889" spans="1:4" ht="30" customHeight="1">
      <c r="A1889" s="6">
        <v>1887</v>
      </c>
      <c r="B1889" s="6" t="str">
        <f>"508120230424111045140625"</f>
        <v>508120230424111045140625</v>
      </c>
      <c r="C1889" s="6" t="s">
        <v>11</v>
      </c>
      <c r="D1889" s="6" t="str">
        <f>"徐光明"</f>
        <v>徐光明</v>
      </c>
    </row>
    <row r="1890" spans="1:4" ht="30" customHeight="1">
      <c r="A1890" s="6">
        <v>1888</v>
      </c>
      <c r="B1890" s="6" t="str">
        <f>"508120230424111328140630"</f>
        <v>508120230424111328140630</v>
      </c>
      <c r="C1890" s="6" t="s">
        <v>11</v>
      </c>
      <c r="D1890" s="6" t="str">
        <f>"林春"</f>
        <v>林春</v>
      </c>
    </row>
    <row r="1891" spans="1:4" ht="30" customHeight="1">
      <c r="A1891" s="6">
        <v>1889</v>
      </c>
      <c r="B1891" s="6" t="str">
        <f>"508120230424094742140535"</f>
        <v>508120230424094742140535</v>
      </c>
      <c r="C1891" s="6" t="s">
        <v>11</v>
      </c>
      <c r="D1891" s="6" t="str">
        <f>"杨来浩"</f>
        <v>杨来浩</v>
      </c>
    </row>
    <row r="1892" spans="1:4" ht="30" customHeight="1">
      <c r="A1892" s="6">
        <v>1890</v>
      </c>
      <c r="B1892" s="6" t="str">
        <f>"508120230422225346139647"</f>
        <v>508120230422225346139647</v>
      </c>
      <c r="C1892" s="6" t="s">
        <v>11</v>
      </c>
      <c r="D1892" s="6" t="str">
        <f>"曾慧"</f>
        <v>曾慧</v>
      </c>
    </row>
    <row r="1893" spans="1:4" ht="30" customHeight="1">
      <c r="A1893" s="6">
        <v>1891</v>
      </c>
      <c r="B1893" s="6" t="str">
        <f>"508120230421115124138512"</f>
        <v>508120230421115124138512</v>
      </c>
      <c r="C1893" s="6" t="s">
        <v>11</v>
      </c>
      <c r="D1893" s="6" t="str">
        <f>"杨舒雨"</f>
        <v>杨舒雨</v>
      </c>
    </row>
    <row r="1894" spans="1:4" ht="30" customHeight="1">
      <c r="A1894" s="6">
        <v>1892</v>
      </c>
      <c r="B1894" s="6" t="str">
        <f>"508120230424115857140674"</f>
        <v>508120230424115857140674</v>
      </c>
      <c r="C1894" s="6" t="s">
        <v>11</v>
      </c>
      <c r="D1894" s="6" t="str">
        <f>"林尤健"</f>
        <v>林尤健</v>
      </c>
    </row>
    <row r="1895" spans="1:4" ht="30" customHeight="1">
      <c r="A1895" s="6">
        <v>1893</v>
      </c>
      <c r="B1895" s="6" t="str">
        <f>"508120230424091930140502"</f>
        <v>508120230424091930140502</v>
      </c>
      <c r="C1895" s="6" t="s">
        <v>11</v>
      </c>
      <c r="D1895" s="6" t="str">
        <f>"唐诗雨"</f>
        <v>唐诗雨</v>
      </c>
    </row>
    <row r="1896" spans="1:4" ht="30" customHeight="1">
      <c r="A1896" s="6">
        <v>1894</v>
      </c>
      <c r="B1896" s="6" t="str">
        <f>"508120230424120929140680"</f>
        <v>508120230424120929140680</v>
      </c>
      <c r="C1896" s="6" t="s">
        <v>11</v>
      </c>
      <c r="D1896" s="6" t="str">
        <f>"文海艳"</f>
        <v>文海艳</v>
      </c>
    </row>
    <row r="1897" spans="1:4" ht="30" customHeight="1">
      <c r="A1897" s="6">
        <v>1895</v>
      </c>
      <c r="B1897" s="6" t="str">
        <f>"508120230424112239140637"</f>
        <v>508120230424112239140637</v>
      </c>
      <c r="C1897" s="6" t="s">
        <v>11</v>
      </c>
      <c r="D1897" s="6" t="str">
        <f>"韩佳莉"</f>
        <v>韩佳莉</v>
      </c>
    </row>
    <row r="1898" spans="1:4" ht="30" customHeight="1">
      <c r="A1898" s="6">
        <v>1896</v>
      </c>
      <c r="B1898" s="6" t="str">
        <f>"508120230424124618140695"</f>
        <v>508120230424124618140695</v>
      </c>
      <c r="C1898" s="6" t="s">
        <v>11</v>
      </c>
      <c r="D1898" s="6" t="str">
        <f>"王秋和"</f>
        <v>王秋和</v>
      </c>
    </row>
    <row r="1899" spans="1:4" ht="30" customHeight="1">
      <c r="A1899" s="6">
        <v>1897</v>
      </c>
      <c r="B1899" s="6" t="str">
        <f>"508120230424125534140704"</f>
        <v>508120230424125534140704</v>
      </c>
      <c r="C1899" s="6" t="s">
        <v>11</v>
      </c>
      <c r="D1899" s="6" t="str">
        <f>"张玉丽"</f>
        <v>张玉丽</v>
      </c>
    </row>
    <row r="1900" spans="1:4" ht="30" customHeight="1">
      <c r="A1900" s="6">
        <v>1898</v>
      </c>
      <c r="B1900" s="6" t="str">
        <f>"508120230422135344139346"</f>
        <v>508120230422135344139346</v>
      </c>
      <c r="C1900" s="6" t="s">
        <v>11</v>
      </c>
      <c r="D1900" s="6" t="str">
        <f>"唐钰稀"</f>
        <v>唐钰稀</v>
      </c>
    </row>
    <row r="1901" spans="1:4" ht="30" customHeight="1">
      <c r="A1901" s="6">
        <v>1899</v>
      </c>
      <c r="B1901" s="6" t="str">
        <f>"508120230424133714140727"</f>
        <v>508120230424133714140727</v>
      </c>
      <c r="C1901" s="6" t="s">
        <v>11</v>
      </c>
      <c r="D1901" s="6" t="str">
        <f>"黄文婧"</f>
        <v>黄文婧</v>
      </c>
    </row>
    <row r="1902" spans="1:4" ht="30" customHeight="1">
      <c r="A1902" s="6">
        <v>1900</v>
      </c>
      <c r="B1902" s="6" t="str">
        <f>"508120230421090354138094"</f>
        <v>508120230421090354138094</v>
      </c>
      <c r="C1902" s="6" t="s">
        <v>11</v>
      </c>
      <c r="D1902" s="6" t="str">
        <f>"符云平"</f>
        <v>符云平</v>
      </c>
    </row>
    <row r="1903" spans="1:4" ht="30" customHeight="1">
      <c r="A1903" s="6">
        <v>1901</v>
      </c>
      <c r="B1903" s="6" t="str">
        <f>"508120230424111307140628"</f>
        <v>508120230424111307140628</v>
      </c>
      <c r="C1903" s="6" t="s">
        <v>11</v>
      </c>
      <c r="D1903" s="6" t="str">
        <f>"于淼"</f>
        <v>于淼</v>
      </c>
    </row>
    <row r="1904" spans="1:4" ht="30" customHeight="1">
      <c r="A1904" s="6">
        <v>1902</v>
      </c>
      <c r="B1904" s="6" t="str">
        <f>"508120230424150716140762"</f>
        <v>508120230424150716140762</v>
      </c>
      <c r="C1904" s="6" t="s">
        <v>11</v>
      </c>
      <c r="D1904" s="6" t="str">
        <f>"王大权"</f>
        <v>王大权</v>
      </c>
    </row>
    <row r="1905" spans="1:4" ht="30" customHeight="1">
      <c r="A1905" s="6">
        <v>1903</v>
      </c>
      <c r="B1905" s="6" t="str">
        <f>"508120230424090335140486"</f>
        <v>508120230424090335140486</v>
      </c>
      <c r="C1905" s="6" t="s">
        <v>11</v>
      </c>
      <c r="D1905" s="6" t="str">
        <f>"王春彩"</f>
        <v>王春彩</v>
      </c>
    </row>
    <row r="1906" spans="1:4" ht="30" customHeight="1">
      <c r="A1906" s="6">
        <v>1904</v>
      </c>
      <c r="B1906" s="6" t="str">
        <f>"508120230424155543140803"</f>
        <v>508120230424155543140803</v>
      </c>
      <c r="C1906" s="6" t="s">
        <v>11</v>
      </c>
      <c r="D1906" s="6" t="str">
        <f>"刘雄松"</f>
        <v>刘雄松</v>
      </c>
    </row>
    <row r="1907" spans="1:4" ht="30" customHeight="1">
      <c r="A1907" s="6">
        <v>1905</v>
      </c>
      <c r="B1907" s="6" t="str">
        <f>"508120230424095930140548"</f>
        <v>508120230424095930140548</v>
      </c>
      <c r="C1907" s="6" t="s">
        <v>11</v>
      </c>
      <c r="D1907" s="6" t="str">
        <f>"陈泰宁"</f>
        <v>陈泰宁</v>
      </c>
    </row>
    <row r="1908" spans="1:4" ht="30" customHeight="1">
      <c r="A1908" s="6">
        <v>1906</v>
      </c>
      <c r="B1908" s="6" t="str">
        <f>"508120230424162413140831"</f>
        <v>508120230424162413140831</v>
      </c>
      <c r="C1908" s="6" t="s">
        <v>11</v>
      </c>
      <c r="D1908" s="6" t="str">
        <f>"陈芸"</f>
        <v>陈芸</v>
      </c>
    </row>
    <row r="1909" spans="1:4" ht="30" customHeight="1">
      <c r="A1909" s="6">
        <v>1907</v>
      </c>
      <c r="B1909" s="6" t="str">
        <f>"508120230424164222140847"</f>
        <v>508120230424164222140847</v>
      </c>
      <c r="C1909" s="6" t="s">
        <v>11</v>
      </c>
      <c r="D1909" s="6" t="str">
        <f>"吕丽君"</f>
        <v>吕丽君</v>
      </c>
    </row>
    <row r="1910" spans="1:4" ht="30" customHeight="1">
      <c r="A1910" s="6">
        <v>1908</v>
      </c>
      <c r="B1910" s="6" t="str">
        <f>"508120230424155205140799"</f>
        <v>508120230424155205140799</v>
      </c>
      <c r="C1910" s="6" t="s">
        <v>11</v>
      </c>
      <c r="D1910" s="6" t="str">
        <f>"蒙景"</f>
        <v>蒙景</v>
      </c>
    </row>
    <row r="1911" spans="1:4" ht="30" customHeight="1">
      <c r="A1911" s="6">
        <v>1909</v>
      </c>
      <c r="B1911" s="6" t="str">
        <f>"508120230424162847140835"</f>
        <v>508120230424162847140835</v>
      </c>
      <c r="C1911" s="6" t="s">
        <v>11</v>
      </c>
      <c r="D1911" s="6" t="str">
        <f>"刘湘雅"</f>
        <v>刘湘雅</v>
      </c>
    </row>
    <row r="1912" spans="1:4" ht="30" customHeight="1">
      <c r="A1912" s="6">
        <v>1910</v>
      </c>
      <c r="B1912" s="6" t="str">
        <f>"508120230424171040140868"</f>
        <v>508120230424171040140868</v>
      </c>
      <c r="C1912" s="6" t="s">
        <v>11</v>
      </c>
      <c r="D1912" s="6" t="str">
        <f>"吴敏"</f>
        <v>吴敏</v>
      </c>
    </row>
    <row r="1913" spans="1:4" ht="30" customHeight="1">
      <c r="A1913" s="6">
        <v>1911</v>
      </c>
      <c r="B1913" s="6" t="str">
        <f>"508120230424171856140875"</f>
        <v>508120230424171856140875</v>
      </c>
      <c r="C1913" s="6" t="s">
        <v>11</v>
      </c>
      <c r="D1913" s="6" t="str">
        <f>"李晓慧"</f>
        <v>李晓慧</v>
      </c>
    </row>
    <row r="1914" spans="1:4" ht="30" customHeight="1">
      <c r="A1914" s="6">
        <v>1912</v>
      </c>
      <c r="B1914" s="6" t="str">
        <f>"508120230423160015140077"</f>
        <v>508120230423160015140077</v>
      </c>
      <c r="C1914" s="6" t="s">
        <v>11</v>
      </c>
      <c r="D1914" s="6" t="str">
        <f>"项鹏"</f>
        <v>项鹏</v>
      </c>
    </row>
    <row r="1915" spans="1:4" ht="30" customHeight="1">
      <c r="A1915" s="6">
        <v>1913</v>
      </c>
      <c r="B1915" s="6" t="str">
        <f>"508120230424173655140887"</f>
        <v>508120230424173655140887</v>
      </c>
      <c r="C1915" s="6" t="s">
        <v>11</v>
      </c>
      <c r="D1915" s="6" t="str">
        <f>"汪晓钰"</f>
        <v>汪晓钰</v>
      </c>
    </row>
    <row r="1916" spans="1:4" ht="30" customHeight="1">
      <c r="A1916" s="6">
        <v>1914</v>
      </c>
      <c r="B1916" s="6" t="str">
        <f>"508120230422105726139239"</f>
        <v>508120230422105726139239</v>
      </c>
      <c r="C1916" s="6" t="s">
        <v>11</v>
      </c>
      <c r="D1916" s="6" t="str">
        <f>"崔文涛"</f>
        <v>崔文涛</v>
      </c>
    </row>
    <row r="1917" spans="1:4" ht="30" customHeight="1">
      <c r="A1917" s="6">
        <v>1915</v>
      </c>
      <c r="B1917" s="6" t="str">
        <f>"508120230423190318140215"</f>
        <v>508120230423190318140215</v>
      </c>
      <c r="C1917" s="6" t="s">
        <v>11</v>
      </c>
      <c r="D1917" s="6" t="str">
        <f>"吴教麒"</f>
        <v>吴教麒</v>
      </c>
    </row>
    <row r="1918" spans="1:4" ht="30" customHeight="1">
      <c r="A1918" s="6">
        <v>1916</v>
      </c>
      <c r="B1918" s="6" t="str">
        <f>"508120230423190108140213"</f>
        <v>508120230423190108140213</v>
      </c>
      <c r="C1918" s="6" t="s">
        <v>11</v>
      </c>
      <c r="D1918" s="6" t="str">
        <f>"陈明君"</f>
        <v>陈明君</v>
      </c>
    </row>
    <row r="1919" spans="1:4" ht="30" customHeight="1">
      <c r="A1919" s="6">
        <v>1917</v>
      </c>
      <c r="B1919" s="6" t="str">
        <f>"508120230424144231140747"</f>
        <v>508120230424144231140747</v>
      </c>
      <c r="C1919" s="6" t="s">
        <v>11</v>
      </c>
      <c r="D1919" s="6" t="str">
        <f>"谢观福"</f>
        <v>谢观福</v>
      </c>
    </row>
    <row r="1920" spans="1:4" ht="30" customHeight="1">
      <c r="A1920" s="6">
        <v>1918</v>
      </c>
      <c r="B1920" s="6" t="str">
        <f>"508120230424174543140892"</f>
        <v>508120230424174543140892</v>
      </c>
      <c r="C1920" s="6" t="s">
        <v>11</v>
      </c>
      <c r="D1920" s="6" t="str">
        <f>"林中岳"</f>
        <v>林中岳</v>
      </c>
    </row>
    <row r="1921" spans="1:4" ht="30" customHeight="1">
      <c r="A1921" s="6">
        <v>1919</v>
      </c>
      <c r="B1921" s="6" t="str">
        <f>"508120230424185342140932"</f>
        <v>508120230424185342140932</v>
      </c>
      <c r="C1921" s="6" t="s">
        <v>11</v>
      </c>
      <c r="D1921" s="6" t="str">
        <f>"黎虹妙"</f>
        <v>黎虹妙</v>
      </c>
    </row>
    <row r="1922" spans="1:4" ht="30" customHeight="1">
      <c r="A1922" s="6">
        <v>1920</v>
      </c>
      <c r="B1922" s="6" t="str">
        <f>"508120230424190853140941"</f>
        <v>508120230424190853140941</v>
      </c>
      <c r="C1922" s="6" t="s">
        <v>11</v>
      </c>
      <c r="D1922" s="6" t="str">
        <f>"李月秋"</f>
        <v>李月秋</v>
      </c>
    </row>
    <row r="1923" spans="1:4" ht="30" customHeight="1">
      <c r="A1923" s="6">
        <v>1921</v>
      </c>
      <c r="B1923" s="6" t="str">
        <f>"508120230424194758140959"</f>
        <v>508120230424194758140959</v>
      </c>
      <c r="C1923" s="6" t="s">
        <v>11</v>
      </c>
      <c r="D1923" s="6" t="str">
        <f>"李小菲"</f>
        <v>李小菲</v>
      </c>
    </row>
    <row r="1924" spans="1:4" ht="30" customHeight="1">
      <c r="A1924" s="6">
        <v>1922</v>
      </c>
      <c r="B1924" s="6" t="str">
        <f>"508120230424191544140946"</f>
        <v>508120230424191544140946</v>
      </c>
      <c r="C1924" s="6" t="s">
        <v>11</v>
      </c>
      <c r="D1924" s="6" t="str">
        <f>"符小芬"</f>
        <v>符小芬</v>
      </c>
    </row>
    <row r="1925" spans="1:4" ht="30" customHeight="1">
      <c r="A1925" s="6">
        <v>1923</v>
      </c>
      <c r="B1925" s="6" t="str">
        <f>"508120230424201948140981"</f>
        <v>508120230424201948140981</v>
      </c>
      <c r="C1925" s="6" t="s">
        <v>11</v>
      </c>
      <c r="D1925" s="6" t="str">
        <f>"黄娇"</f>
        <v>黄娇</v>
      </c>
    </row>
    <row r="1926" spans="1:4" ht="30" customHeight="1">
      <c r="A1926" s="6">
        <v>1924</v>
      </c>
      <c r="B1926" s="6" t="str">
        <f>"508120230424203049140993"</f>
        <v>508120230424203049140993</v>
      </c>
      <c r="C1926" s="6" t="s">
        <v>11</v>
      </c>
      <c r="D1926" s="6" t="str">
        <f>"马诚"</f>
        <v>马诚</v>
      </c>
    </row>
    <row r="1927" spans="1:4" ht="30" customHeight="1">
      <c r="A1927" s="6">
        <v>1925</v>
      </c>
      <c r="B1927" s="6" t="str">
        <f>"508120230421163237138854"</f>
        <v>508120230421163237138854</v>
      </c>
      <c r="C1927" s="6" t="s">
        <v>11</v>
      </c>
      <c r="D1927" s="6" t="str">
        <f>"蔡桂安"</f>
        <v>蔡桂安</v>
      </c>
    </row>
    <row r="1928" spans="1:4" ht="30" customHeight="1">
      <c r="A1928" s="6">
        <v>1926</v>
      </c>
      <c r="B1928" s="6" t="str">
        <f>"508120230424204601141001"</f>
        <v>508120230424204601141001</v>
      </c>
      <c r="C1928" s="6" t="s">
        <v>11</v>
      </c>
      <c r="D1928" s="6" t="str">
        <f>"石昭昭"</f>
        <v>石昭昭</v>
      </c>
    </row>
    <row r="1929" spans="1:4" ht="30" customHeight="1">
      <c r="A1929" s="6">
        <v>1927</v>
      </c>
      <c r="B1929" s="6" t="str">
        <f>"508120230424094522140530"</f>
        <v>508120230424094522140530</v>
      </c>
      <c r="C1929" s="6" t="s">
        <v>11</v>
      </c>
      <c r="D1929" s="6" t="str">
        <f>"王康丽"</f>
        <v>王康丽</v>
      </c>
    </row>
    <row r="1930" spans="1:4" ht="30" customHeight="1">
      <c r="A1930" s="6">
        <v>1928</v>
      </c>
      <c r="B1930" s="6" t="str">
        <f>"508120230423221404140366"</f>
        <v>508120230423221404140366</v>
      </c>
      <c r="C1930" s="6" t="s">
        <v>11</v>
      </c>
      <c r="D1930" s="6" t="str">
        <f>"周燕芬"</f>
        <v>周燕芬</v>
      </c>
    </row>
    <row r="1931" spans="1:4" ht="30" customHeight="1">
      <c r="A1931" s="6">
        <v>1929</v>
      </c>
      <c r="B1931" s="6" t="str">
        <f>"508120230422192845139507"</f>
        <v>508120230422192845139507</v>
      </c>
      <c r="C1931" s="6" t="s">
        <v>11</v>
      </c>
      <c r="D1931" s="6" t="str">
        <f>"孙振程"</f>
        <v>孙振程</v>
      </c>
    </row>
    <row r="1932" spans="1:4" ht="30" customHeight="1">
      <c r="A1932" s="6">
        <v>1930</v>
      </c>
      <c r="B1932" s="6" t="str">
        <f>"508120230423224111140382"</f>
        <v>508120230423224111140382</v>
      </c>
      <c r="C1932" s="6" t="s">
        <v>11</v>
      </c>
      <c r="D1932" s="6" t="str">
        <f>"黄升"</f>
        <v>黄升</v>
      </c>
    </row>
    <row r="1933" spans="1:4" ht="30" customHeight="1">
      <c r="A1933" s="6">
        <v>1931</v>
      </c>
      <c r="B1933" s="6" t="str">
        <f>"508120230424171501140870"</f>
        <v>508120230424171501140870</v>
      </c>
      <c r="C1933" s="6" t="s">
        <v>11</v>
      </c>
      <c r="D1933" s="6" t="str">
        <f>"梁碧瑶"</f>
        <v>梁碧瑶</v>
      </c>
    </row>
    <row r="1934" spans="1:4" ht="30" customHeight="1">
      <c r="A1934" s="6">
        <v>1932</v>
      </c>
      <c r="B1934" s="6" t="str">
        <f>"508120230424225228141096"</f>
        <v>508120230424225228141096</v>
      </c>
      <c r="C1934" s="6" t="s">
        <v>11</v>
      </c>
      <c r="D1934" s="6" t="str">
        <f>"陈屯"</f>
        <v>陈屯</v>
      </c>
    </row>
    <row r="1935" spans="1:4" ht="30" customHeight="1">
      <c r="A1935" s="6">
        <v>1933</v>
      </c>
      <c r="B1935" s="6" t="str">
        <f>"508120230421160738138821"</f>
        <v>508120230421160738138821</v>
      </c>
      <c r="C1935" s="6" t="s">
        <v>11</v>
      </c>
      <c r="D1935" s="6" t="str">
        <f>"郑祖剑"</f>
        <v>郑祖剑</v>
      </c>
    </row>
    <row r="1936" spans="1:4" ht="30" customHeight="1">
      <c r="A1936" s="6">
        <v>1934</v>
      </c>
      <c r="B1936" s="6" t="str">
        <f>"508120230425005935141132"</f>
        <v>508120230425005935141132</v>
      </c>
      <c r="C1936" s="6" t="s">
        <v>11</v>
      </c>
      <c r="D1936" s="6" t="str">
        <f>"羊以好"</f>
        <v>羊以好</v>
      </c>
    </row>
    <row r="1937" spans="1:4" ht="30" customHeight="1">
      <c r="A1937" s="6">
        <v>1935</v>
      </c>
      <c r="B1937" s="6" t="str">
        <f>"508120230425073920141142"</f>
        <v>508120230425073920141142</v>
      </c>
      <c r="C1937" s="6" t="s">
        <v>11</v>
      </c>
      <c r="D1937" s="6" t="str">
        <f>"陈珍妮"</f>
        <v>陈珍妮</v>
      </c>
    </row>
    <row r="1938" spans="1:4" ht="30" customHeight="1">
      <c r="A1938" s="6">
        <v>1936</v>
      </c>
      <c r="B1938" s="6" t="str">
        <f>"508120230423084506139714"</f>
        <v>508120230423084506139714</v>
      </c>
      <c r="C1938" s="6" t="s">
        <v>11</v>
      </c>
      <c r="D1938" s="6" t="str">
        <f>"李向文"</f>
        <v>李向文</v>
      </c>
    </row>
    <row r="1939" spans="1:4" ht="30" customHeight="1">
      <c r="A1939" s="6">
        <v>1937</v>
      </c>
      <c r="B1939" s="6" t="str">
        <f>"508120230425090804141174"</f>
        <v>508120230425090804141174</v>
      </c>
      <c r="C1939" s="6" t="s">
        <v>11</v>
      </c>
      <c r="D1939" s="6" t="str">
        <f>"吴进华"</f>
        <v>吴进华</v>
      </c>
    </row>
    <row r="1940" spans="1:4" ht="30" customHeight="1">
      <c r="A1940" s="6">
        <v>1938</v>
      </c>
      <c r="B1940" s="6" t="str">
        <f>"508120230423110521139863"</f>
        <v>508120230423110521139863</v>
      </c>
      <c r="C1940" s="6" t="s">
        <v>11</v>
      </c>
      <c r="D1940" s="6" t="str">
        <f>"符小云"</f>
        <v>符小云</v>
      </c>
    </row>
    <row r="1941" spans="1:4" ht="30" customHeight="1">
      <c r="A1941" s="6">
        <v>1939</v>
      </c>
      <c r="B1941" s="6" t="str">
        <f>"508120230425092013141177"</f>
        <v>508120230425092013141177</v>
      </c>
      <c r="C1941" s="6" t="s">
        <v>11</v>
      </c>
      <c r="D1941" s="6" t="str">
        <f>"麦彦婷"</f>
        <v>麦彦婷</v>
      </c>
    </row>
    <row r="1942" spans="1:4" ht="30" customHeight="1">
      <c r="A1942" s="6">
        <v>1940</v>
      </c>
      <c r="B1942" s="6" t="str">
        <f>"508120230423193708140228"</f>
        <v>508120230423193708140228</v>
      </c>
      <c r="C1942" s="6" t="s">
        <v>11</v>
      </c>
      <c r="D1942" s="6" t="str">
        <f>"黎振宏"</f>
        <v>黎振宏</v>
      </c>
    </row>
    <row r="1943" spans="1:4" ht="30" customHeight="1">
      <c r="A1943" s="6">
        <v>1941</v>
      </c>
      <c r="B1943" s="6" t="str">
        <f>"508120230425095509141195"</f>
        <v>508120230425095509141195</v>
      </c>
      <c r="C1943" s="6" t="s">
        <v>11</v>
      </c>
      <c r="D1943" s="6" t="str">
        <f>"邱世伍"</f>
        <v>邱世伍</v>
      </c>
    </row>
    <row r="1944" spans="1:4" ht="30" customHeight="1">
      <c r="A1944" s="6">
        <v>1942</v>
      </c>
      <c r="B1944" s="6" t="str">
        <f>"508120230424122710140684"</f>
        <v>508120230424122710140684</v>
      </c>
      <c r="C1944" s="6" t="s">
        <v>11</v>
      </c>
      <c r="D1944" s="6" t="str">
        <f>"李锐"</f>
        <v>李锐</v>
      </c>
    </row>
    <row r="1945" spans="1:4" ht="30" customHeight="1">
      <c r="A1945" s="6">
        <v>1943</v>
      </c>
      <c r="B1945" s="6" t="str">
        <f>"508120230421145038138690"</f>
        <v>508120230421145038138690</v>
      </c>
      <c r="C1945" s="6" t="s">
        <v>11</v>
      </c>
      <c r="D1945" s="6" t="str">
        <f>"王文军"</f>
        <v>王文军</v>
      </c>
    </row>
    <row r="1946" spans="1:4" ht="30" customHeight="1">
      <c r="A1946" s="6">
        <v>1944</v>
      </c>
      <c r="B1946" s="6" t="str">
        <f>"508120230423092518139758"</f>
        <v>508120230423092518139758</v>
      </c>
      <c r="C1946" s="6" t="s">
        <v>11</v>
      </c>
      <c r="D1946" s="6" t="str">
        <f>"李治昌"</f>
        <v>李治昌</v>
      </c>
    </row>
    <row r="1947" spans="1:4" ht="30" customHeight="1">
      <c r="A1947" s="6">
        <v>1945</v>
      </c>
      <c r="B1947" s="6" t="str">
        <f>"508120230425103713141228"</f>
        <v>508120230425103713141228</v>
      </c>
      <c r="C1947" s="6" t="s">
        <v>11</v>
      </c>
      <c r="D1947" s="6" t="str">
        <f>"吴高毅"</f>
        <v>吴高毅</v>
      </c>
    </row>
    <row r="1948" spans="1:4" ht="30" customHeight="1">
      <c r="A1948" s="6">
        <v>1946</v>
      </c>
      <c r="B1948" s="6" t="str">
        <f>"508120230422124741139312"</f>
        <v>508120230422124741139312</v>
      </c>
      <c r="C1948" s="6" t="s">
        <v>11</v>
      </c>
      <c r="D1948" s="6" t="str">
        <f>"吉训卿"</f>
        <v>吉训卿</v>
      </c>
    </row>
    <row r="1949" spans="1:4" ht="30" customHeight="1">
      <c r="A1949" s="6">
        <v>1947</v>
      </c>
      <c r="B1949" s="6" t="str">
        <f>"508120230425111934141270"</f>
        <v>508120230425111934141270</v>
      </c>
      <c r="C1949" s="6" t="s">
        <v>11</v>
      </c>
      <c r="D1949" s="6" t="str">
        <f>"胡漫"</f>
        <v>胡漫</v>
      </c>
    </row>
    <row r="1950" spans="1:4" ht="30" customHeight="1">
      <c r="A1950" s="6">
        <v>1948</v>
      </c>
      <c r="B1950" s="6" t="str">
        <f>"508120230425115302141295"</f>
        <v>508120230425115302141295</v>
      </c>
      <c r="C1950" s="6" t="s">
        <v>11</v>
      </c>
      <c r="D1950" s="6" t="str">
        <f>"吴安宜"</f>
        <v>吴安宜</v>
      </c>
    </row>
    <row r="1951" spans="1:4" ht="30" customHeight="1">
      <c r="A1951" s="6">
        <v>1949</v>
      </c>
      <c r="B1951" s="6" t="str">
        <f>"508120230422112038139252"</f>
        <v>508120230422112038139252</v>
      </c>
      <c r="C1951" s="6" t="s">
        <v>11</v>
      </c>
      <c r="D1951" s="6" t="str">
        <f>"廖万霞"</f>
        <v>廖万霞</v>
      </c>
    </row>
    <row r="1952" spans="1:4" ht="30" customHeight="1">
      <c r="A1952" s="6">
        <v>1950</v>
      </c>
      <c r="B1952" s="6" t="str">
        <f>"508120230424115144140668"</f>
        <v>508120230424115144140668</v>
      </c>
      <c r="C1952" s="6" t="s">
        <v>11</v>
      </c>
      <c r="D1952" s="6" t="str">
        <f>"钟云"</f>
        <v>钟云</v>
      </c>
    </row>
    <row r="1953" spans="1:4" ht="30" customHeight="1">
      <c r="A1953" s="6">
        <v>1951</v>
      </c>
      <c r="B1953" s="6" t="str">
        <f>"508120230425113523141284"</f>
        <v>508120230425113523141284</v>
      </c>
      <c r="C1953" s="6" t="s">
        <v>11</v>
      </c>
      <c r="D1953" s="6" t="str">
        <f>"李晓婷"</f>
        <v>李晓婷</v>
      </c>
    </row>
    <row r="1954" spans="1:4" ht="30" customHeight="1">
      <c r="A1954" s="6">
        <v>1952</v>
      </c>
      <c r="B1954" s="6" t="str">
        <f>"508120230425113758141288"</f>
        <v>508120230425113758141288</v>
      </c>
      <c r="C1954" s="6" t="s">
        <v>11</v>
      </c>
      <c r="D1954" s="6" t="str">
        <f>"郑瑜"</f>
        <v>郑瑜</v>
      </c>
    </row>
    <row r="1955" spans="1:4" ht="30" customHeight="1">
      <c r="A1955" s="6">
        <v>1953</v>
      </c>
      <c r="B1955" s="6" t="str">
        <f>"508120230425125435141320"</f>
        <v>508120230425125435141320</v>
      </c>
      <c r="C1955" s="6" t="s">
        <v>11</v>
      </c>
      <c r="D1955" s="6" t="str">
        <f>"王元龙"</f>
        <v>王元龙</v>
      </c>
    </row>
    <row r="1956" spans="1:4" ht="30" customHeight="1">
      <c r="A1956" s="6">
        <v>1954</v>
      </c>
      <c r="B1956" s="6" t="str">
        <f>"508120230425113202141281"</f>
        <v>508120230425113202141281</v>
      </c>
      <c r="C1956" s="6" t="s">
        <v>11</v>
      </c>
      <c r="D1956" s="6" t="str">
        <f>"吴艳"</f>
        <v>吴艳</v>
      </c>
    </row>
    <row r="1957" spans="1:4" ht="30" customHeight="1">
      <c r="A1957" s="6">
        <v>1955</v>
      </c>
      <c r="B1957" s="6" t="str">
        <f>"508120230425135027141330"</f>
        <v>508120230425135027141330</v>
      </c>
      <c r="C1957" s="6" t="s">
        <v>11</v>
      </c>
      <c r="D1957" s="6" t="str">
        <f>"王大端"</f>
        <v>王大端</v>
      </c>
    </row>
    <row r="1958" spans="1:4" ht="30" customHeight="1">
      <c r="A1958" s="6">
        <v>1956</v>
      </c>
      <c r="B1958" s="6" t="str">
        <f>"508120230425135134141331"</f>
        <v>508120230425135134141331</v>
      </c>
      <c r="C1958" s="6" t="s">
        <v>11</v>
      </c>
      <c r="D1958" s="6" t="str">
        <f>"曾德阳"</f>
        <v>曾德阳</v>
      </c>
    </row>
    <row r="1959" spans="1:4" ht="30" customHeight="1">
      <c r="A1959" s="6">
        <v>1957</v>
      </c>
      <c r="B1959" s="6" t="str">
        <f>"508120230421094746138231"</f>
        <v>508120230421094746138231</v>
      </c>
      <c r="C1959" s="6" t="s">
        <v>11</v>
      </c>
      <c r="D1959" s="6" t="str">
        <f>"林声栋"</f>
        <v>林声栋</v>
      </c>
    </row>
    <row r="1960" spans="1:4" ht="30" customHeight="1">
      <c r="A1960" s="6">
        <v>1958</v>
      </c>
      <c r="B1960" s="6" t="str">
        <f>"508120230421160913138825"</f>
        <v>508120230421160913138825</v>
      </c>
      <c r="C1960" s="6" t="s">
        <v>11</v>
      </c>
      <c r="D1960" s="6" t="str">
        <f>"林昕"</f>
        <v>林昕</v>
      </c>
    </row>
    <row r="1961" spans="1:4" ht="30" customHeight="1">
      <c r="A1961" s="6">
        <v>1959</v>
      </c>
      <c r="B1961" s="6" t="str">
        <f>"508120230425074405141143"</f>
        <v>508120230425074405141143</v>
      </c>
      <c r="C1961" s="6" t="s">
        <v>11</v>
      </c>
      <c r="D1961" s="6" t="str">
        <f>"钟加佳"</f>
        <v>钟加佳</v>
      </c>
    </row>
    <row r="1962" spans="1:4" ht="30" customHeight="1">
      <c r="A1962" s="6">
        <v>1960</v>
      </c>
      <c r="B1962" s="6" t="str">
        <f>"508120230425092432141179"</f>
        <v>508120230425092432141179</v>
      </c>
      <c r="C1962" s="6" t="s">
        <v>11</v>
      </c>
      <c r="D1962" s="6" t="str">
        <f>"甘江瑶"</f>
        <v>甘江瑶</v>
      </c>
    </row>
    <row r="1963" spans="1:4" ht="30" customHeight="1">
      <c r="A1963" s="6">
        <v>1961</v>
      </c>
      <c r="B1963" s="6" t="str">
        <f>"508120230425115038141293"</f>
        <v>508120230425115038141293</v>
      </c>
      <c r="C1963" s="6" t="s">
        <v>11</v>
      </c>
      <c r="D1963" s="6" t="str">
        <f>"甘晓静"</f>
        <v>甘晓静</v>
      </c>
    </row>
    <row r="1964" spans="1:4" ht="30" customHeight="1">
      <c r="A1964" s="6">
        <v>1962</v>
      </c>
      <c r="B1964" s="6" t="str">
        <f>"508120230425150447141362"</f>
        <v>508120230425150447141362</v>
      </c>
      <c r="C1964" s="6" t="s">
        <v>11</v>
      </c>
      <c r="D1964" s="6" t="str">
        <f>"梁海娇"</f>
        <v>梁海娇</v>
      </c>
    </row>
    <row r="1965" spans="1:4" ht="30" customHeight="1">
      <c r="A1965" s="6">
        <v>1963</v>
      </c>
      <c r="B1965" s="6" t="str">
        <f>"508120230425150420141361"</f>
        <v>508120230425150420141361</v>
      </c>
      <c r="C1965" s="6" t="s">
        <v>11</v>
      </c>
      <c r="D1965" s="6" t="str">
        <f>"林书国"</f>
        <v>林书国</v>
      </c>
    </row>
    <row r="1966" spans="1:4" ht="30" customHeight="1">
      <c r="A1966" s="6">
        <v>1964</v>
      </c>
      <c r="B1966" s="6" t="str">
        <f>"508120230425115415141296"</f>
        <v>508120230425115415141296</v>
      </c>
      <c r="C1966" s="6" t="s">
        <v>11</v>
      </c>
      <c r="D1966" s="6" t="str">
        <f>"严国旺"</f>
        <v>严国旺</v>
      </c>
    </row>
    <row r="1967" spans="1:4" ht="30" customHeight="1">
      <c r="A1967" s="6">
        <v>1965</v>
      </c>
      <c r="B1967" s="6" t="str">
        <f>"508120230425161330141418"</f>
        <v>508120230425161330141418</v>
      </c>
      <c r="C1967" s="6" t="s">
        <v>11</v>
      </c>
      <c r="D1967" s="6" t="str">
        <f>"罗希特"</f>
        <v>罗希特</v>
      </c>
    </row>
    <row r="1968" spans="1:4" ht="30" customHeight="1">
      <c r="A1968" s="6">
        <v>1966</v>
      </c>
      <c r="B1968" s="6" t="str">
        <f>"508120230423102522139820"</f>
        <v>508120230423102522139820</v>
      </c>
      <c r="C1968" s="6" t="s">
        <v>11</v>
      </c>
      <c r="D1968" s="6" t="str">
        <f>"张柳娇"</f>
        <v>张柳娇</v>
      </c>
    </row>
    <row r="1969" spans="1:4" ht="30" customHeight="1">
      <c r="A1969" s="6">
        <v>1967</v>
      </c>
      <c r="B1969" s="6" t="str">
        <f>"508120230425161257141417"</f>
        <v>508120230425161257141417</v>
      </c>
      <c r="C1969" s="6" t="s">
        <v>11</v>
      </c>
      <c r="D1969" s="6" t="str">
        <f>"陈慧慧"</f>
        <v>陈慧慧</v>
      </c>
    </row>
    <row r="1970" spans="1:4" ht="30" customHeight="1">
      <c r="A1970" s="6">
        <v>1968</v>
      </c>
      <c r="B1970" s="6" t="str">
        <f>"508120230425164937141450"</f>
        <v>508120230425164937141450</v>
      </c>
      <c r="C1970" s="6" t="s">
        <v>11</v>
      </c>
      <c r="D1970" s="6" t="str">
        <f>"张峻"</f>
        <v>张峻</v>
      </c>
    </row>
    <row r="1971" spans="1:4" ht="30" customHeight="1">
      <c r="A1971" s="6">
        <v>1969</v>
      </c>
      <c r="B1971" s="6" t="str">
        <f>"508120230424165007140852"</f>
        <v>508120230424165007140852</v>
      </c>
      <c r="C1971" s="6" t="s">
        <v>11</v>
      </c>
      <c r="D1971" s="6" t="str">
        <f>"黄慧"</f>
        <v>黄慧</v>
      </c>
    </row>
    <row r="1972" spans="1:4" ht="30" customHeight="1">
      <c r="A1972" s="6">
        <v>1970</v>
      </c>
      <c r="B1972" s="6" t="str">
        <f>"508120230425170115141456"</f>
        <v>508120230425170115141456</v>
      </c>
      <c r="C1972" s="6" t="s">
        <v>11</v>
      </c>
      <c r="D1972" s="6" t="str">
        <f>"陈美琼"</f>
        <v>陈美琼</v>
      </c>
    </row>
    <row r="1973" spans="1:4" ht="30" customHeight="1">
      <c r="A1973" s="6">
        <v>1971</v>
      </c>
      <c r="B1973" s="6" t="str">
        <f>"508120230425165621141455"</f>
        <v>508120230425165621141455</v>
      </c>
      <c r="C1973" s="6" t="s">
        <v>11</v>
      </c>
      <c r="D1973" s="6" t="str">
        <f>"曾开伟"</f>
        <v>曾开伟</v>
      </c>
    </row>
    <row r="1974" spans="1:4" ht="30" customHeight="1">
      <c r="A1974" s="6">
        <v>1972</v>
      </c>
      <c r="B1974" s="6" t="str">
        <f>"508120230424222045141071"</f>
        <v>508120230424222045141071</v>
      </c>
      <c r="C1974" s="6" t="s">
        <v>11</v>
      </c>
      <c r="D1974" s="6" t="str">
        <f>"卓泉辉"</f>
        <v>卓泉辉</v>
      </c>
    </row>
    <row r="1975" spans="1:4" ht="30" customHeight="1">
      <c r="A1975" s="6">
        <v>1973</v>
      </c>
      <c r="B1975" s="6" t="str">
        <f>"508120230425180051141492"</f>
        <v>508120230425180051141492</v>
      </c>
      <c r="C1975" s="6" t="s">
        <v>11</v>
      </c>
      <c r="D1975" s="6" t="str">
        <f>"郭芯芯"</f>
        <v>郭芯芯</v>
      </c>
    </row>
    <row r="1976" spans="1:4" ht="30" customHeight="1">
      <c r="A1976" s="6">
        <v>1974</v>
      </c>
      <c r="B1976" s="6" t="str">
        <f>"508120230422173343139450"</f>
        <v>508120230422173343139450</v>
      </c>
      <c r="C1976" s="6" t="s">
        <v>11</v>
      </c>
      <c r="D1976" s="6" t="str">
        <f>"陈威霖"</f>
        <v>陈威霖</v>
      </c>
    </row>
    <row r="1977" spans="1:4" ht="30" customHeight="1">
      <c r="A1977" s="6">
        <v>1975</v>
      </c>
      <c r="B1977" s="6" t="str">
        <f>"508120230421191506139004"</f>
        <v>508120230421191506139004</v>
      </c>
      <c r="C1977" s="6" t="s">
        <v>11</v>
      </c>
      <c r="D1977" s="6" t="str">
        <f>"彭展隆"</f>
        <v>彭展隆</v>
      </c>
    </row>
    <row r="1978" spans="1:4" ht="30" customHeight="1">
      <c r="A1978" s="6">
        <v>1976</v>
      </c>
      <c r="B1978" s="6" t="str">
        <f>"508120230425183124141505"</f>
        <v>508120230425183124141505</v>
      </c>
      <c r="C1978" s="6" t="s">
        <v>11</v>
      </c>
      <c r="D1978" s="6" t="str">
        <f>"吴挺骏"</f>
        <v>吴挺骏</v>
      </c>
    </row>
    <row r="1979" spans="1:4" ht="30" customHeight="1">
      <c r="A1979" s="6">
        <v>1977</v>
      </c>
      <c r="B1979" s="6" t="str">
        <f>"508120230425192645141527"</f>
        <v>508120230425192645141527</v>
      </c>
      <c r="C1979" s="6" t="s">
        <v>11</v>
      </c>
      <c r="D1979" s="6" t="str">
        <f>"符晓霞"</f>
        <v>符晓霞</v>
      </c>
    </row>
    <row r="1980" spans="1:4" ht="30" customHeight="1">
      <c r="A1980" s="6">
        <v>1978</v>
      </c>
      <c r="B1980" s="6" t="str">
        <f>"508120230425150945141366"</f>
        <v>508120230425150945141366</v>
      </c>
      <c r="C1980" s="6" t="s">
        <v>11</v>
      </c>
      <c r="D1980" s="6" t="str">
        <f>"范平万"</f>
        <v>范平万</v>
      </c>
    </row>
    <row r="1981" spans="1:4" ht="30" customHeight="1">
      <c r="A1981" s="6">
        <v>1979</v>
      </c>
      <c r="B1981" s="6" t="str">
        <f>"508120230424235616141122"</f>
        <v>508120230424235616141122</v>
      </c>
      <c r="C1981" s="6" t="s">
        <v>11</v>
      </c>
      <c r="D1981" s="6" t="str">
        <f>"李源源"</f>
        <v>李源源</v>
      </c>
    </row>
    <row r="1982" spans="1:4" ht="30" customHeight="1">
      <c r="A1982" s="6">
        <v>1980</v>
      </c>
      <c r="B1982" s="6" t="str">
        <f>"508120230425122817141313"</f>
        <v>508120230425122817141313</v>
      </c>
      <c r="C1982" s="6" t="s">
        <v>11</v>
      </c>
      <c r="D1982" s="6" t="str">
        <f>"郑小杰"</f>
        <v>郑小杰</v>
      </c>
    </row>
    <row r="1983" spans="1:4" ht="30" customHeight="1">
      <c r="A1983" s="6">
        <v>1981</v>
      </c>
      <c r="B1983" s="6" t="str">
        <f>"508120230422184824139487"</f>
        <v>508120230422184824139487</v>
      </c>
      <c r="C1983" s="6" t="s">
        <v>11</v>
      </c>
      <c r="D1983" s="6" t="str">
        <f>"秦人霞"</f>
        <v>秦人霞</v>
      </c>
    </row>
    <row r="1984" spans="1:4" ht="30" customHeight="1">
      <c r="A1984" s="6">
        <v>1982</v>
      </c>
      <c r="B1984" s="6" t="str">
        <f>"508120230425164819141448"</f>
        <v>508120230425164819141448</v>
      </c>
      <c r="C1984" s="6" t="s">
        <v>11</v>
      </c>
      <c r="D1984" s="6" t="str">
        <f>"吴星"</f>
        <v>吴星</v>
      </c>
    </row>
    <row r="1985" spans="1:4" ht="30" customHeight="1">
      <c r="A1985" s="6">
        <v>1983</v>
      </c>
      <c r="B1985" s="6" t="str">
        <f>"508120230424205056141006"</f>
        <v>508120230424205056141006</v>
      </c>
      <c r="C1985" s="6" t="s">
        <v>11</v>
      </c>
      <c r="D1985" s="6" t="str">
        <f>"陈荣森"</f>
        <v>陈荣森</v>
      </c>
    </row>
    <row r="1986" spans="1:4" ht="30" customHeight="1">
      <c r="A1986" s="6">
        <v>1984</v>
      </c>
      <c r="B1986" s="6" t="str">
        <f>"508120230425205241141561"</f>
        <v>508120230425205241141561</v>
      </c>
      <c r="C1986" s="6" t="s">
        <v>11</v>
      </c>
      <c r="D1986" s="6" t="str">
        <f>"韦传占"</f>
        <v>韦传占</v>
      </c>
    </row>
    <row r="1987" spans="1:4" ht="30" customHeight="1">
      <c r="A1987" s="6">
        <v>1985</v>
      </c>
      <c r="B1987" s="6" t="str">
        <f>"508120230425212024141585"</f>
        <v>508120230425212024141585</v>
      </c>
      <c r="C1987" s="6" t="s">
        <v>11</v>
      </c>
      <c r="D1987" s="6" t="str">
        <f>"王丁"</f>
        <v>王丁</v>
      </c>
    </row>
    <row r="1988" spans="1:4" ht="30" customHeight="1">
      <c r="A1988" s="6">
        <v>1986</v>
      </c>
      <c r="B1988" s="6" t="str">
        <f>"508120230424191022140943"</f>
        <v>508120230424191022140943</v>
      </c>
      <c r="C1988" s="6" t="s">
        <v>11</v>
      </c>
      <c r="D1988" s="6" t="str">
        <f>"陈春媛"</f>
        <v>陈春媛</v>
      </c>
    </row>
    <row r="1989" spans="1:4" ht="30" customHeight="1">
      <c r="A1989" s="6">
        <v>1987</v>
      </c>
      <c r="B1989" s="6" t="str">
        <f>"508120230425214818141604"</f>
        <v>508120230425214818141604</v>
      </c>
      <c r="C1989" s="6" t="s">
        <v>11</v>
      </c>
      <c r="D1989" s="6" t="str">
        <f>"陈小宝"</f>
        <v>陈小宝</v>
      </c>
    </row>
    <row r="1990" spans="1:4" ht="30" customHeight="1">
      <c r="A1990" s="6">
        <v>1988</v>
      </c>
      <c r="B1990" s="6" t="str">
        <f>"508120230425220133141616"</f>
        <v>508120230425220133141616</v>
      </c>
      <c r="C1990" s="6" t="s">
        <v>11</v>
      </c>
      <c r="D1990" s="6" t="str">
        <f>"李美芬"</f>
        <v>李美芬</v>
      </c>
    </row>
    <row r="1991" spans="1:4" ht="30" customHeight="1">
      <c r="A1991" s="6">
        <v>1989</v>
      </c>
      <c r="B1991" s="6" t="str">
        <f>"508120230425081224141146"</f>
        <v>508120230425081224141146</v>
      </c>
      <c r="C1991" s="6" t="s">
        <v>11</v>
      </c>
      <c r="D1991" s="6" t="str">
        <f>"王岳成"</f>
        <v>王岳成</v>
      </c>
    </row>
    <row r="1992" spans="1:4" ht="30" customHeight="1">
      <c r="A1992" s="6">
        <v>1990</v>
      </c>
      <c r="B1992" s="6" t="str">
        <f>"508120230423145039139997"</f>
        <v>508120230423145039139997</v>
      </c>
      <c r="C1992" s="6" t="s">
        <v>11</v>
      </c>
      <c r="D1992" s="6" t="str">
        <f>"陈雪婵"</f>
        <v>陈雪婵</v>
      </c>
    </row>
    <row r="1993" spans="1:4" ht="30" customHeight="1">
      <c r="A1993" s="6">
        <v>1991</v>
      </c>
      <c r="B1993" s="6" t="str">
        <f>"508120230425212828141591"</f>
        <v>508120230425212828141591</v>
      </c>
      <c r="C1993" s="6" t="s">
        <v>11</v>
      </c>
      <c r="D1993" s="6" t="str">
        <f>"赵颖红"</f>
        <v>赵颖红</v>
      </c>
    </row>
    <row r="1994" spans="1:4" ht="30" customHeight="1">
      <c r="A1994" s="6">
        <v>1992</v>
      </c>
      <c r="B1994" s="6" t="str">
        <f>"508120230425155125141402"</f>
        <v>508120230425155125141402</v>
      </c>
      <c r="C1994" s="6" t="s">
        <v>11</v>
      </c>
      <c r="D1994" s="6" t="str">
        <f>"黄蕾"</f>
        <v>黄蕾</v>
      </c>
    </row>
    <row r="1995" spans="1:4" ht="30" customHeight="1">
      <c r="A1995" s="6">
        <v>1993</v>
      </c>
      <c r="B1995" s="6" t="str">
        <f>"508120230423110829139872"</f>
        <v>508120230423110829139872</v>
      </c>
      <c r="C1995" s="6" t="s">
        <v>11</v>
      </c>
      <c r="D1995" s="6" t="str">
        <f>"刘旭欣"</f>
        <v>刘旭欣</v>
      </c>
    </row>
    <row r="1996" spans="1:4" ht="30" customHeight="1">
      <c r="A1996" s="6">
        <v>1994</v>
      </c>
      <c r="B1996" s="6" t="str">
        <f>"508120230424001111140428"</f>
        <v>508120230424001111140428</v>
      </c>
      <c r="C1996" s="6" t="s">
        <v>11</v>
      </c>
      <c r="D1996" s="6" t="str">
        <f>"尹思思"</f>
        <v>尹思思</v>
      </c>
    </row>
    <row r="1997" spans="1:4" ht="30" customHeight="1">
      <c r="A1997" s="6">
        <v>1995</v>
      </c>
      <c r="B1997" s="6" t="str">
        <f>"508120230422174704139458"</f>
        <v>508120230422174704139458</v>
      </c>
      <c r="C1997" s="6" t="s">
        <v>11</v>
      </c>
      <c r="D1997" s="6" t="str">
        <f>"马淼"</f>
        <v>马淼</v>
      </c>
    </row>
    <row r="1998" spans="1:4" ht="30" customHeight="1">
      <c r="A1998" s="6">
        <v>1996</v>
      </c>
      <c r="B1998" s="6" t="str">
        <f>"508120230425222947141637"</f>
        <v>508120230425222947141637</v>
      </c>
      <c r="C1998" s="6" t="s">
        <v>11</v>
      </c>
      <c r="D1998" s="6" t="str">
        <f>"伍云杉"</f>
        <v>伍云杉</v>
      </c>
    </row>
    <row r="1999" spans="1:4" ht="30" customHeight="1">
      <c r="A1999" s="6">
        <v>1997</v>
      </c>
      <c r="B1999" s="6" t="str">
        <f>"508120230425222437141632"</f>
        <v>508120230425222437141632</v>
      </c>
      <c r="C1999" s="6" t="s">
        <v>11</v>
      </c>
      <c r="D1999" s="6" t="str">
        <f>"许海蕾"</f>
        <v>许海蕾</v>
      </c>
    </row>
    <row r="2000" spans="1:4" ht="30" customHeight="1">
      <c r="A2000" s="6">
        <v>1998</v>
      </c>
      <c r="B2000" s="6" t="str">
        <f>"508120230425224807141644"</f>
        <v>508120230425224807141644</v>
      </c>
      <c r="C2000" s="6" t="s">
        <v>11</v>
      </c>
      <c r="D2000" s="6" t="str">
        <f>"刘思麟"</f>
        <v>刘思麟</v>
      </c>
    </row>
    <row r="2001" spans="1:4" ht="30" customHeight="1">
      <c r="A2001" s="6">
        <v>1999</v>
      </c>
      <c r="B2001" s="6" t="str">
        <f>"508120230425230457141654"</f>
        <v>508120230425230457141654</v>
      </c>
      <c r="C2001" s="6" t="s">
        <v>11</v>
      </c>
      <c r="D2001" s="6" t="str">
        <f>"文茵"</f>
        <v>文茵</v>
      </c>
    </row>
    <row r="2002" spans="1:4" ht="30" customHeight="1">
      <c r="A2002" s="6">
        <v>2000</v>
      </c>
      <c r="B2002" s="6" t="str">
        <f>"508120230422012701139153"</f>
        <v>508120230422012701139153</v>
      </c>
      <c r="C2002" s="6" t="s">
        <v>11</v>
      </c>
      <c r="D2002" s="6" t="str">
        <f>"曾上浩"</f>
        <v>曾上浩</v>
      </c>
    </row>
    <row r="2003" spans="1:4" ht="30" customHeight="1">
      <c r="A2003" s="6">
        <v>2001</v>
      </c>
      <c r="B2003" s="6" t="str">
        <f>"508120230425230826141656"</f>
        <v>508120230425230826141656</v>
      </c>
      <c r="C2003" s="6" t="s">
        <v>11</v>
      </c>
      <c r="D2003" s="6" t="str">
        <f>"何娟娟"</f>
        <v>何娟娟</v>
      </c>
    </row>
    <row r="2004" spans="1:4" ht="30" customHeight="1">
      <c r="A2004" s="6">
        <v>2002</v>
      </c>
      <c r="B2004" s="6" t="str">
        <f>"508120230421164948138874"</f>
        <v>508120230421164948138874</v>
      </c>
      <c r="C2004" s="6" t="s">
        <v>11</v>
      </c>
      <c r="D2004" s="6" t="str">
        <f>"林颖"</f>
        <v>林颖</v>
      </c>
    </row>
    <row r="2005" spans="1:4" ht="30" customHeight="1">
      <c r="A2005" s="6">
        <v>2003</v>
      </c>
      <c r="B2005" s="6" t="str">
        <f>"508120230425225534141648"</f>
        <v>508120230425225534141648</v>
      </c>
      <c r="C2005" s="6" t="s">
        <v>11</v>
      </c>
      <c r="D2005" s="6" t="str">
        <f>"洪海花"</f>
        <v>洪海花</v>
      </c>
    </row>
    <row r="2006" spans="1:4" ht="30" customHeight="1">
      <c r="A2006" s="6">
        <v>2004</v>
      </c>
      <c r="B2006" s="6" t="str">
        <f>"508120230425232649141661"</f>
        <v>508120230425232649141661</v>
      </c>
      <c r="C2006" s="6" t="s">
        <v>11</v>
      </c>
      <c r="D2006" s="6" t="str">
        <f>"邓小昌"</f>
        <v>邓小昌</v>
      </c>
    </row>
    <row r="2007" spans="1:4" ht="30" customHeight="1">
      <c r="A2007" s="6">
        <v>2005</v>
      </c>
      <c r="B2007" s="6" t="str">
        <f>"508120230426001527141681"</f>
        <v>508120230426001527141681</v>
      </c>
      <c r="C2007" s="6" t="s">
        <v>11</v>
      </c>
      <c r="D2007" s="6" t="str">
        <f>"王建平"</f>
        <v>王建平</v>
      </c>
    </row>
    <row r="2008" spans="1:4" ht="30" customHeight="1">
      <c r="A2008" s="6">
        <v>2006</v>
      </c>
      <c r="B2008" s="6" t="str">
        <f>"508120230426004737141686"</f>
        <v>508120230426004737141686</v>
      </c>
      <c r="C2008" s="6" t="s">
        <v>11</v>
      </c>
      <c r="D2008" s="6" t="str">
        <f>"钟永莹"</f>
        <v>钟永莹</v>
      </c>
    </row>
    <row r="2009" spans="1:4" ht="30" customHeight="1">
      <c r="A2009" s="6">
        <v>2007</v>
      </c>
      <c r="B2009" s="6" t="str">
        <f>"508120230426015121141696"</f>
        <v>508120230426015121141696</v>
      </c>
      <c r="C2009" s="6" t="s">
        <v>11</v>
      </c>
      <c r="D2009" s="6" t="str">
        <f>"陈静"</f>
        <v>陈静</v>
      </c>
    </row>
    <row r="2010" spans="1:4" ht="30" customHeight="1">
      <c r="A2010" s="6">
        <v>2008</v>
      </c>
      <c r="B2010" s="6" t="str">
        <f>"508120230426020451141697"</f>
        <v>508120230426020451141697</v>
      </c>
      <c r="C2010" s="6" t="s">
        <v>11</v>
      </c>
      <c r="D2010" s="6" t="str">
        <f>"徐文玺"</f>
        <v>徐文玺</v>
      </c>
    </row>
    <row r="2011" spans="1:4" ht="30" customHeight="1">
      <c r="A2011" s="6">
        <v>2009</v>
      </c>
      <c r="B2011" s="6" t="str">
        <f>"508120230426081254141705"</f>
        <v>508120230426081254141705</v>
      </c>
      <c r="C2011" s="6" t="s">
        <v>11</v>
      </c>
      <c r="D2011" s="6" t="str">
        <f>"符琼连"</f>
        <v>符琼连</v>
      </c>
    </row>
    <row r="2012" spans="1:4" ht="30" customHeight="1">
      <c r="A2012" s="6">
        <v>2010</v>
      </c>
      <c r="B2012" s="6" t="str">
        <f>"508120230425225159141646"</f>
        <v>508120230425225159141646</v>
      </c>
      <c r="C2012" s="6" t="s">
        <v>11</v>
      </c>
      <c r="D2012" s="6" t="str">
        <f>"符加方"</f>
        <v>符加方</v>
      </c>
    </row>
    <row r="2013" spans="1:4" ht="30" customHeight="1">
      <c r="A2013" s="6">
        <v>2011</v>
      </c>
      <c r="B2013" s="6" t="str">
        <f>"508120230426082138141707"</f>
        <v>508120230426082138141707</v>
      </c>
      <c r="C2013" s="6" t="s">
        <v>11</v>
      </c>
      <c r="D2013" s="6" t="str">
        <f>"刘陈莉"</f>
        <v>刘陈莉</v>
      </c>
    </row>
    <row r="2014" spans="1:4" ht="30" customHeight="1">
      <c r="A2014" s="6">
        <v>2012</v>
      </c>
      <c r="B2014" s="6" t="str">
        <f>"508120230426084516141713"</f>
        <v>508120230426084516141713</v>
      </c>
      <c r="C2014" s="6" t="s">
        <v>11</v>
      </c>
      <c r="D2014" s="6" t="str">
        <f>"郭文婷"</f>
        <v>郭文婷</v>
      </c>
    </row>
    <row r="2015" spans="1:4" ht="30" customHeight="1">
      <c r="A2015" s="6">
        <v>2013</v>
      </c>
      <c r="B2015" s="6" t="str">
        <f>"508120230425221848141630"</f>
        <v>508120230425221848141630</v>
      </c>
      <c r="C2015" s="6" t="s">
        <v>11</v>
      </c>
      <c r="D2015" s="6" t="str">
        <f>"王业权"</f>
        <v>王业权</v>
      </c>
    </row>
    <row r="2016" spans="1:4" ht="30" customHeight="1">
      <c r="A2016" s="6">
        <v>2014</v>
      </c>
      <c r="B2016" s="6" t="str">
        <f>"508120230426095720141749"</f>
        <v>508120230426095720141749</v>
      </c>
      <c r="C2016" s="6" t="s">
        <v>11</v>
      </c>
      <c r="D2016" s="6" t="str">
        <f>"李儒生"</f>
        <v>李儒生</v>
      </c>
    </row>
    <row r="2017" spans="1:4" ht="30" customHeight="1">
      <c r="A2017" s="6">
        <v>2015</v>
      </c>
      <c r="B2017" s="6" t="str">
        <f>"508120230424132519140720"</f>
        <v>508120230424132519140720</v>
      </c>
      <c r="C2017" s="6" t="s">
        <v>11</v>
      </c>
      <c r="D2017" s="6" t="str">
        <f>"叶岚心"</f>
        <v>叶岚心</v>
      </c>
    </row>
    <row r="2018" spans="1:4" ht="30" customHeight="1">
      <c r="A2018" s="6">
        <v>2016</v>
      </c>
      <c r="B2018" s="6" t="str">
        <f>"508120230426101520141765"</f>
        <v>508120230426101520141765</v>
      </c>
      <c r="C2018" s="6" t="s">
        <v>11</v>
      </c>
      <c r="D2018" s="6" t="str">
        <f>"陈俐君"</f>
        <v>陈俐君</v>
      </c>
    </row>
    <row r="2019" spans="1:4" ht="30" customHeight="1">
      <c r="A2019" s="6">
        <v>2017</v>
      </c>
      <c r="B2019" s="6" t="str">
        <f>"508120230426094305141741"</f>
        <v>508120230426094305141741</v>
      </c>
      <c r="C2019" s="6" t="s">
        <v>11</v>
      </c>
      <c r="D2019" s="6" t="str">
        <f>"丁媛媛"</f>
        <v>丁媛媛</v>
      </c>
    </row>
    <row r="2020" spans="1:4" ht="30" customHeight="1">
      <c r="A2020" s="6">
        <v>2018</v>
      </c>
      <c r="B2020" s="6" t="str">
        <f>"508120230426100453141757"</f>
        <v>508120230426100453141757</v>
      </c>
      <c r="C2020" s="6" t="s">
        <v>11</v>
      </c>
      <c r="D2020" s="6" t="str">
        <f>"林秋懈"</f>
        <v>林秋懈</v>
      </c>
    </row>
    <row r="2021" spans="1:4" ht="30" customHeight="1">
      <c r="A2021" s="6">
        <v>2019</v>
      </c>
      <c r="B2021" s="6" t="str">
        <f>"508120230426100133141753"</f>
        <v>508120230426100133141753</v>
      </c>
      <c r="C2021" s="6" t="s">
        <v>11</v>
      </c>
      <c r="D2021" s="6" t="str">
        <f>"华德鹏"</f>
        <v>华德鹏</v>
      </c>
    </row>
    <row r="2022" spans="1:4" ht="30" customHeight="1">
      <c r="A2022" s="6">
        <v>2020</v>
      </c>
      <c r="B2022" s="6" t="str">
        <f>"508120230423120451139919"</f>
        <v>508120230423120451139919</v>
      </c>
      <c r="C2022" s="6" t="s">
        <v>11</v>
      </c>
      <c r="D2022" s="6" t="str">
        <f>"欧海燕"</f>
        <v>欧海燕</v>
      </c>
    </row>
    <row r="2023" spans="1:4" ht="30" customHeight="1">
      <c r="A2023" s="6">
        <v>2021</v>
      </c>
      <c r="B2023" s="6" t="str">
        <f>"508120230426110730141799"</f>
        <v>508120230426110730141799</v>
      </c>
      <c r="C2023" s="6" t="s">
        <v>11</v>
      </c>
      <c r="D2023" s="6" t="str">
        <f>"李银"</f>
        <v>李银</v>
      </c>
    </row>
    <row r="2024" spans="1:4" ht="30" customHeight="1">
      <c r="A2024" s="6">
        <v>2022</v>
      </c>
      <c r="B2024" s="6" t="str">
        <f>"508120230425155257141404"</f>
        <v>508120230425155257141404</v>
      </c>
      <c r="C2024" s="6" t="s">
        <v>11</v>
      </c>
      <c r="D2024" s="6" t="str">
        <f>"吴晓珍"</f>
        <v>吴晓珍</v>
      </c>
    </row>
    <row r="2025" spans="1:4" ht="30" customHeight="1">
      <c r="A2025" s="6">
        <v>2023</v>
      </c>
      <c r="B2025" s="6" t="str">
        <f>"508120230426101953141769"</f>
        <v>508120230426101953141769</v>
      </c>
      <c r="C2025" s="6" t="s">
        <v>11</v>
      </c>
      <c r="D2025" s="6" t="str">
        <f>"谢立翠"</f>
        <v>谢立翠</v>
      </c>
    </row>
    <row r="2026" spans="1:4" ht="30" customHeight="1">
      <c r="A2026" s="6">
        <v>2024</v>
      </c>
      <c r="B2026" s="6" t="str">
        <f>"508120230426111956141807"</f>
        <v>508120230426111956141807</v>
      </c>
      <c r="C2026" s="6" t="s">
        <v>11</v>
      </c>
      <c r="D2026" s="6" t="str">
        <f>"黄文凤"</f>
        <v>黄文凤</v>
      </c>
    </row>
    <row r="2027" spans="1:4" ht="30" customHeight="1">
      <c r="A2027" s="6">
        <v>2025</v>
      </c>
      <c r="B2027" s="6" t="str">
        <f>"508120230426114027141820"</f>
        <v>508120230426114027141820</v>
      </c>
      <c r="C2027" s="6" t="s">
        <v>11</v>
      </c>
      <c r="D2027" s="6" t="str">
        <f>"宋洋"</f>
        <v>宋洋</v>
      </c>
    </row>
    <row r="2028" spans="1:4" ht="30" customHeight="1">
      <c r="A2028" s="6">
        <v>2026</v>
      </c>
      <c r="B2028" s="6" t="str">
        <f>"508120230426115439141830"</f>
        <v>508120230426115439141830</v>
      </c>
      <c r="C2028" s="6" t="s">
        <v>11</v>
      </c>
      <c r="D2028" s="6" t="str">
        <f>"刘恩辰"</f>
        <v>刘恩辰</v>
      </c>
    </row>
    <row r="2029" spans="1:4" ht="30" customHeight="1">
      <c r="A2029" s="6">
        <v>2027</v>
      </c>
      <c r="B2029" s="6" t="str">
        <f>"508120230426110602141798"</f>
        <v>508120230426110602141798</v>
      </c>
      <c r="C2029" s="6" t="s">
        <v>11</v>
      </c>
      <c r="D2029" s="6" t="str">
        <f>"谢培伟"</f>
        <v>谢培伟</v>
      </c>
    </row>
    <row r="2030" spans="1:4" ht="30" customHeight="1">
      <c r="A2030" s="6">
        <v>2028</v>
      </c>
      <c r="B2030" s="6" t="str">
        <f>"508120230426123308141848"</f>
        <v>508120230426123308141848</v>
      </c>
      <c r="C2030" s="6" t="s">
        <v>11</v>
      </c>
      <c r="D2030" s="6" t="str">
        <f>"黄金花"</f>
        <v>黄金花</v>
      </c>
    </row>
    <row r="2031" spans="1:4" ht="30" customHeight="1">
      <c r="A2031" s="6">
        <v>2029</v>
      </c>
      <c r="B2031" s="6" t="str">
        <f>"508120230426120704141837"</f>
        <v>508120230426120704141837</v>
      </c>
      <c r="C2031" s="6" t="s">
        <v>11</v>
      </c>
      <c r="D2031" s="6" t="str">
        <f>"李翔鸿"</f>
        <v>李翔鸿</v>
      </c>
    </row>
    <row r="2032" spans="1:4" ht="30" customHeight="1">
      <c r="A2032" s="6">
        <v>2030</v>
      </c>
      <c r="B2032" s="6" t="str">
        <f>"508120230426125411141855"</f>
        <v>508120230426125411141855</v>
      </c>
      <c r="C2032" s="6" t="s">
        <v>11</v>
      </c>
      <c r="D2032" s="6" t="str">
        <f>"羊英瑛"</f>
        <v>羊英瑛</v>
      </c>
    </row>
    <row r="2033" spans="1:4" ht="30" customHeight="1">
      <c r="A2033" s="6">
        <v>2031</v>
      </c>
      <c r="B2033" s="6" t="str">
        <f>"508120230426082231141708"</f>
        <v>508120230426082231141708</v>
      </c>
      <c r="C2033" s="6" t="s">
        <v>11</v>
      </c>
      <c r="D2033" s="6" t="str">
        <f>"屈会龙"</f>
        <v>屈会龙</v>
      </c>
    </row>
    <row r="2034" spans="1:4" ht="30" customHeight="1">
      <c r="A2034" s="6">
        <v>2032</v>
      </c>
      <c r="B2034" s="6" t="str">
        <f>"508120230426134211141877"</f>
        <v>508120230426134211141877</v>
      </c>
      <c r="C2034" s="6" t="s">
        <v>11</v>
      </c>
      <c r="D2034" s="6" t="str">
        <f>"陈庭竹"</f>
        <v>陈庭竹</v>
      </c>
    </row>
    <row r="2035" spans="1:4" ht="30" customHeight="1">
      <c r="A2035" s="6">
        <v>2033</v>
      </c>
      <c r="B2035" s="6" t="str">
        <f>"508120230423231502140410"</f>
        <v>508120230423231502140410</v>
      </c>
      <c r="C2035" s="6" t="s">
        <v>11</v>
      </c>
      <c r="D2035" s="6" t="str">
        <f>"尹世海"</f>
        <v>尹世海</v>
      </c>
    </row>
    <row r="2036" spans="1:4" ht="30" customHeight="1">
      <c r="A2036" s="6">
        <v>2034</v>
      </c>
      <c r="B2036" s="6" t="str">
        <f>"508120230425213217141594"</f>
        <v>508120230425213217141594</v>
      </c>
      <c r="C2036" s="6" t="s">
        <v>11</v>
      </c>
      <c r="D2036" s="6" t="str">
        <f>"李婧文"</f>
        <v>李婧文</v>
      </c>
    </row>
    <row r="2037" spans="1:4" ht="30" customHeight="1">
      <c r="A2037" s="6">
        <v>2035</v>
      </c>
      <c r="B2037" s="6" t="str">
        <f>"508120230421174606138936"</f>
        <v>508120230421174606138936</v>
      </c>
      <c r="C2037" s="6" t="s">
        <v>11</v>
      </c>
      <c r="D2037" s="6" t="str">
        <f>"谢惠涛"</f>
        <v>谢惠涛</v>
      </c>
    </row>
    <row r="2038" spans="1:4" ht="30" customHeight="1">
      <c r="A2038" s="6">
        <v>2036</v>
      </c>
      <c r="B2038" s="6" t="str">
        <f>"508120230424225601141097"</f>
        <v>508120230424225601141097</v>
      </c>
      <c r="C2038" s="6" t="s">
        <v>11</v>
      </c>
      <c r="D2038" s="6" t="str">
        <f>"羊盛锦"</f>
        <v>羊盛锦</v>
      </c>
    </row>
    <row r="2039" spans="1:4" ht="30" customHeight="1">
      <c r="A2039" s="6">
        <v>2037</v>
      </c>
      <c r="B2039" s="6" t="str">
        <f>"508120230425142929141343"</f>
        <v>508120230425142929141343</v>
      </c>
      <c r="C2039" s="6" t="s">
        <v>11</v>
      </c>
      <c r="D2039" s="6" t="str">
        <f>"李奇罡"</f>
        <v>李奇罡</v>
      </c>
    </row>
    <row r="2040" spans="1:4" ht="30" customHeight="1">
      <c r="A2040" s="6">
        <v>2038</v>
      </c>
      <c r="B2040" s="6" t="str">
        <f>"508120230426094306141742"</f>
        <v>508120230426094306141742</v>
      </c>
      <c r="C2040" s="6" t="s">
        <v>11</v>
      </c>
      <c r="D2040" s="6" t="str">
        <f>"骆梓晴"</f>
        <v>骆梓晴</v>
      </c>
    </row>
    <row r="2041" spans="1:4" ht="30" customHeight="1">
      <c r="A2041" s="6">
        <v>2039</v>
      </c>
      <c r="B2041" s="6" t="str">
        <f>"508120230426150930141919"</f>
        <v>508120230426150930141919</v>
      </c>
      <c r="C2041" s="6" t="s">
        <v>11</v>
      </c>
      <c r="D2041" s="6" t="str">
        <f>"王国静"</f>
        <v>王国静</v>
      </c>
    </row>
    <row r="2042" spans="1:4" ht="30" customHeight="1">
      <c r="A2042" s="6">
        <v>2040</v>
      </c>
      <c r="B2042" s="6" t="str">
        <f>"508120230426135222141880"</f>
        <v>508120230426135222141880</v>
      </c>
      <c r="C2042" s="6" t="s">
        <v>11</v>
      </c>
      <c r="D2042" s="6" t="str">
        <f>"刘芳芳"</f>
        <v>刘芳芳</v>
      </c>
    </row>
    <row r="2043" spans="1:4" ht="30" customHeight="1">
      <c r="A2043" s="6">
        <v>2041</v>
      </c>
      <c r="B2043" s="6" t="str">
        <f>"508120230424202341140987"</f>
        <v>508120230424202341140987</v>
      </c>
      <c r="C2043" s="6" t="s">
        <v>11</v>
      </c>
      <c r="D2043" s="6" t="str">
        <f>"冯大杰"</f>
        <v>冯大杰</v>
      </c>
    </row>
    <row r="2044" spans="1:4" ht="30" customHeight="1">
      <c r="A2044" s="6">
        <v>2042</v>
      </c>
      <c r="B2044" s="6" t="str">
        <f>"508120230426154213141944"</f>
        <v>508120230426154213141944</v>
      </c>
      <c r="C2044" s="6" t="s">
        <v>11</v>
      </c>
      <c r="D2044" s="6" t="str">
        <f>"陈朝龙"</f>
        <v>陈朝龙</v>
      </c>
    </row>
    <row r="2045" spans="1:4" ht="30" customHeight="1">
      <c r="A2045" s="6">
        <v>2043</v>
      </c>
      <c r="B2045" s="6" t="str">
        <f>"508120230426154203141943"</f>
        <v>508120230426154203141943</v>
      </c>
      <c r="C2045" s="6" t="s">
        <v>11</v>
      </c>
      <c r="D2045" s="6" t="str">
        <f>"曾婷"</f>
        <v>曾婷</v>
      </c>
    </row>
    <row r="2046" spans="1:4" ht="30" customHeight="1">
      <c r="A2046" s="6">
        <v>2044</v>
      </c>
      <c r="B2046" s="6" t="str">
        <f>"508120230421103550138361"</f>
        <v>508120230421103550138361</v>
      </c>
      <c r="C2046" s="6" t="s">
        <v>11</v>
      </c>
      <c r="D2046" s="6" t="str">
        <f>"符舜容"</f>
        <v>符舜容</v>
      </c>
    </row>
    <row r="2047" spans="1:4" ht="30" customHeight="1">
      <c r="A2047" s="6">
        <v>2045</v>
      </c>
      <c r="B2047" s="6" t="str">
        <f>"508120230424173007140882"</f>
        <v>508120230424173007140882</v>
      </c>
      <c r="C2047" s="6" t="s">
        <v>11</v>
      </c>
      <c r="D2047" s="6" t="str">
        <f>"周清青"</f>
        <v>周清青</v>
      </c>
    </row>
    <row r="2048" spans="1:4" ht="30" customHeight="1">
      <c r="A2048" s="6">
        <v>2046</v>
      </c>
      <c r="B2048" s="6" t="str">
        <f>"508120230426154807141950"</f>
        <v>508120230426154807141950</v>
      </c>
      <c r="C2048" s="6" t="s">
        <v>11</v>
      </c>
      <c r="D2048" s="6" t="str">
        <f>"石春晓"</f>
        <v>石春晓</v>
      </c>
    </row>
    <row r="2049" spans="1:4" ht="30" customHeight="1">
      <c r="A2049" s="6">
        <v>2047</v>
      </c>
      <c r="B2049" s="6" t="str">
        <f>"508120230426154344141946"</f>
        <v>508120230426154344141946</v>
      </c>
      <c r="C2049" s="6" t="s">
        <v>11</v>
      </c>
      <c r="D2049" s="6" t="str">
        <f>"肖连丁"</f>
        <v>肖连丁</v>
      </c>
    </row>
    <row r="2050" spans="1:4" ht="30" customHeight="1">
      <c r="A2050" s="6">
        <v>2048</v>
      </c>
      <c r="B2050" s="6" t="str">
        <f>"508120230426160852141971"</f>
        <v>508120230426160852141971</v>
      </c>
      <c r="C2050" s="6" t="s">
        <v>11</v>
      </c>
      <c r="D2050" s="6" t="str">
        <f>"张晔"</f>
        <v>张晔</v>
      </c>
    </row>
    <row r="2051" spans="1:4" ht="30" customHeight="1">
      <c r="A2051" s="6">
        <v>2049</v>
      </c>
      <c r="B2051" s="6" t="str">
        <f>"508120230426101106141761"</f>
        <v>508120230426101106141761</v>
      </c>
      <c r="C2051" s="6" t="s">
        <v>11</v>
      </c>
      <c r="D2051" s="6" t="str">
        <f>"欧祖壮"</f>
        <v>欧祖壮</v>
      </c>
    </row>
    <row r="2052" spans="1:4" ht="30" customHeight="1">
      <c r="A2052" s="6">
        <v>2050</v>
      </c>
      <c r="B2052" s="6" t="str">
        <f>"508120230426132602141869"</f>
        <v>508120230426132602141869</v>
      </c>
      <c r="C2052" s="6" t="s">
        <v>11</v>
      </c>
      <c r="D2052" s="6" t="str">
        <f>"符馨尹"</f>
        <v>符馨尹</v>
      </c>
    </row>
    <row r="2053" spans="1:4" ht="30" customHeight="1">
      <c r="A2053" s="6">
        <v>2051</v>
      </c>
      <c r="B2053" s="6" t="str">
        <f>"508120230425103658141226"</f>
        <v>508120230425103658141226</v>
      </c>
      <c r="C2053" s="6" t="s">
        <v>11</v>
      </c>
      <c r="D2053" s="6" t="str">
        <f>"冯佳艺"</f>
        <v>冯佳艺</v>
      </c>
    </row>
    <row r="2054" spans="1:4" ht="30" customHeight="1">
      <c r="A2054" s="6">
        <v>2052</v>
      </c>
      <c r="B2054" s="6" t="str">
        <f>"508120230426160841141970"</f>
        <v>508120230426160841141970</v>
      </c>
      <c r="C2054" s="6" t="s">
        <v>11</v>
      </c>
      <c r="D2054" s="6" t="str">
        <f>"周玲"</f>
        <v>周玲</v>
      </c>
    </row>
    <row r="2055" spans="1:4" ht="30" customHeight="1">
      <c r="A2055" s="6">
        <v>2053</v>
      </c>
      <c r="B2055" s="6" t="str">
        <f>"508120230425233859141668"</f>
        <v>508120230425233859141668</v>
      </c>
      <c r="C2055" s="6" t="s">
        <v>11</v>
      </c>
      <c r="D2055" s="6" t="str">
        <f>"钟尊倩"</f>
        <v>钟尊倩</v>
      </c>
    </row>
    <row r="2056" spans="1:4" ht="30" customHeight="1">
      <c r="A2056" s="6">
        <v>2054</v>
      </c>
      <c r="B2056" s="6" t="str">
        <f>"508120230421114453138504"</f>
        <v>508120230421114453138504</v>
      </c>
      <c r="C2056" s="6" t="s">
        <v>11</v>
      </c>
      <c r="D2056" s="6" t="str">
        <f>"王萃英"</f>
        <v>王萃英</v>
      </c>
    </row>
    <row r="2057" spans="1:4" ht="30" customHeight="1">
      <c r="A2057" s="6">
        <v>2055</v>
      </c>
      <c r="B2057" s="6" t="str">
        <f>"508120230426164423141996"</f>
        <v>508120230426164423141996</v>
      </c>
      <c r="C2057" s="6" t="s">
        <v>11</v>
      </c>
      <c r="D2057" s="6" t="str">
        <f>"李晓声"</f>
        <v>李晓声</v>
      </c>
    </row>
    <row r="2058" spans="1:4" ht="30" customHeight="1">
      <c r="A2058" s="6">
        <v>2056</v>
      </c>
      <c r="B2058" s="6" t="str">
        <f>"508120230425022517141138"</f>
        <v>508120230425022517141138</v>
      </c>
      <c r="C2058" s="6" t="s">
        <v>11</v>
      </c>
      <c r="D2058" s="6" t="str">
        <f>"刘炎"</f>
        <v>刘炎</v>
      </c>
    </row>
    <row r="2059" spans="1:4" ht="30" customHeight="1">
      <c r="A2059" s="6">
        <v>2057</v>
      </c>
      <c r="B2059" s="6" t="str">
        <f>"508120230426172007142040"</f>
        <v>508120230426172007142040</v>
      </c>
      <c r="C2059" s="6" t="s">
        <v>11</v>
      </c>
      <c r="D2059" s="6" t="str">
        <f>"钟国育"</f>
        <v>钟国育</v>
      </c>
    </row>
    <row r="2060" spans="1:4" ht="30" customHeight="1">
      <c r="A2060" s="6">
        <v>2058</v>
      </c>
      <c r="B2060" s="6" t="str">
        <f>"508120230426103601141783"</f>
        <v>508120230426103601141783</v>
      </c>
      <c r="C2060" s="6" t="s">
        <v>11</v>
      </c>
      <c r="D2060" s="6" t="str">
        <f>"褚童"</f>
        <v>褚童</v>
      </c>
    </row>
    <row r="2061" spans="1:4" ht="30" customHeight="1">
      <c r="A2061" s="6">
        <v>2059</v>
      </c>
      <c r="B2061" s="6" t="str">
        <f>"508120230426183242142088"</f>
        <v>508120230426183242142088</v>
      </c>
      <c r="C2061" s="6" t="s">
        <v>11</v>
      </c>
      <c r="D2061" s="6" t="str">
        <f>"吴珏环"</f>
        <v>吴珏环</v>
      </c>
    </row>
    <row r="2062" spans="1:4" ht="30" customHeight="1">
      <c r="A2062" s="6">
        <v>2060</v>
      </c>
      <c r="B2062" s="6" t="str">
        <f>"508120230426174642142058"</f>
        <v>508120230426174642142058</v>
      </c>
      <c r="C2062" s="6" t="s">
        <v>11</v>
      </c>
      <c r="D2062" s="6" t="str">
        <f>"周权"</f>
        <v>周权</v>
      </c>
    </row>
    <row r="2063" spans="1:4" ht="30" customHeight="1">
      <c r="A2063" s="6">
        <v>2061</v>
      </c>
      <c r="B2063" s="6" t="str">
        <f>"508120230423150637140017"</f>
        <v>508120230423150637140017</v>
      </c>
      <c r="C2063" s="6" t="s">
        <v>11</v>
      </c>
      <c r="D2063" s="6" t="str">
        <f>"周焕辉"</f>
        <v>周焕辉</v>
      </c>
    </row>
    <row r="2064" spans="1:4" ht="30" customHeight="1">
      <c r="A2064" s="6">
        <v>2062</v>
      </c>
      <c r="B2064" s="6" t="str">
        <f>"508120230422120911139286"</f>
        <v>508120230422120911139286</v>
      </c>
      <c r="C2064" s="6" t="s">
        <v>11</v>
      </c>
      <c r="D2064" s="6" t="str">
        <f>"王映摄"</f>
        <v>王映摄</v>
      </c>
    </row>
    <row r="2065" spans="1:4" ht="30" customHeight="1">
      <c r="A2065" s="6">
        <v>2063</v>
      </c>
      <c r="B2065" s="6" t="str">
        <f>"508120230422201634139535"</f>
        <v>508120230422201634139535</v>
      </c>
      <c r="C2065" s="6" t="s">
        <v>11</v>
      </c>
      <c r="D2065" s="6" t="str">
        <f>"周小倩"</f>
        <v>周小倩</v>
      </c>
    </row>
    <row r="2066" spans="1:4" ht="30" customHeight="1">
      <c r="A2066" s="6">
        <v>2064</v>
      </c>
      <c r="B2066" s="6" t="str">
        <f>"508120230426165247142010"</f>
        <v>508120230426165247142010</v>
      </c>
      <c r="C2066" s="6" t="s">
        <v>11</v>
      </c>
      <c r="D2066" s="6" t="str">
        <f>"饶雄文"</f>
        <v>饶雄文</v>
      </c>
    </row>
    <row r="2067" spans="1:4" ht="30" customHeight="1">
      <c r="A2067" s="6">
        <v>2065</v>
      </c>
      <c r="B2067" s="6" t="str">
        <f>"508120230425161425141419"</f>
        <v>508120230425161425141419</v>
      </c>
      <c r="C2067" s="6" t="s">
        <v>11</v>
      </c>
      <c r="D2067" s="6" t="str">
        <f>"吴任"</f>
        <v>吴任</v>
      </c>
    </row>
    <row r="2068" spans="1:4" ht="30" customHeight="1">
      <c r="A2068" s="6">
        <v>2066</v>
      </c>
      <c r="B2068" s="6" t="str">
        <f>"508120230426183506142091"</f>
        <v>508120230426183506142091</v>
      </c>
      <c r="C2068" s="6" t="s">
        <v>11</v>
      </c>
      <c r="D2068" s="6" t="str">
        <f>"吴海华"</f>
        <v>吴海华</v>
      </c>
    </row>
    <row r="2069" spans="1:4" ht="30" customHeight="1">
      <c r="A2069" s="6">
        <v>2067</v>
      </c>
      <c r="B2069" s="6" t="str">
        <f>"508120230426192635142120"</f>
        <v>508120230426192635142120</v>
      </c>
      <c r="C2069" s="6" t="s">
        <v>11</v>
      </c>
      <c r="D2069" s="6" t="str">
        <f>"缪正雁"</f>
        <v>缪正雁</v>
      </c>
    </row>
    <row r="2070" spans="1:4" ht="30" customHeight="1">
      <c r="A2070" s="6">
        <v>2068</v>
      </c>
      <c r="B2070" s="6" t="str">
        <f>"508120230426193632142127"</f>
        <v>508120230426193632142127</v>
      </c>
      <c r="C2070" s="6" t="s">
        <v>11</v>
      </c>
      <c r="D2070" s="6" t="str">
        <f>"杨冰冰"</f>
        <v>杨冰冰</v>
      </c>
    </row>
    <row r="2071" spans="1:4" ht="30" customHeight="1">
      <c r="A2071" s="6">
        <v>2069</v>
      </c>
      <c r="B2071" s="6" t="str">
        <f>"508120230426191526142111"</f>
        <v>508120230426191526142111</v>
      </c>
      <c r="C2071" s="6" t="s">
        <v>11</v>
      </c>
      <c r="D2071" s="6" t="str">
        <f>"王英旭"</f>
        <v>王英旭</v>
      </c>
    </row>
    <row r="2072" spans="1:4" ht="30" customHeight="1">
      <c r="A2072" s="6">
        <v>2070</v>
      </c>
      <c r="B2072" s="6" t="str">
        <f>"508120230426195345142137"</f>
        <v>508120230426195345142137</v>
      </c>
      <c r="C2072" s="6" t="s">
        <v>11</v>
      </c>
      <c r="D2072" s="6" t="str">
        <f>"谢敏"</f>
        <v>谢敏</v>
      </c>
    </row>
    <row r="2073" spans="1:4" ht="30" customHeight="1">
      <c r="A2073" s="6">
        <v>2071</v>
      </c>
      <c r="B2073" s="6" t="str">
        <f>"508120230426201305142146"</f>
        <v>508120230426201305142146</v>
      </c>
      <c r="C2073" s="6" t="s">
        <v>11</v>
      </c>
      <c r="D2073" s="6" t="str">
        <f>"陈琳"</f>
        <v>陈琳</v>
      </c>
    </row>
    <row r="2074" spans="1:4" ht="30" customHeight="1">
      <c r="A2074" s="6">
        <v>2072</v>
      </c>
      <c r="B2074" s="6" t="str">
        <f>"508120230426203811142168"</f>
        <v>508120230426203811142168</v>
      </c>
      <c r="C2074" s="6" t="s">
        <v>11</v>
      </c>
      <c r="D2074" s="6" t="str">
        <f>"林琪"</f>
        <v>林琪</v>
      </c>
    </row>
    <row r="2075" spans="1:4" ht="30" customHeight="1">
      <c r="A2075" s="6">
        <v>2073</v>
      </c>
      <c r="B2075" s="6" t="str">
        <f>"508120230426204521142170"</f>
        <v>508120230426204521142170</v>
      </c>
      <c r="C2075" s="6" t="s">
        <v>11</v>
      </c>
      <c r="D2075" s="6" t="str">
        <f>"董小雨"</f>
        <v>董小雨</v>
      </c>
    </row>
    <row r="2076" spans="1:4" ht="30" customHeight="1">
      <c r="A2076" s="6">
        <v>2074</v>
      </c>
      <c r="B2076" s="6" t="str">
        <f>"508120230426160209141966"</f>
        <v>508120230426160209141966</v>
      </c>
      <c r="C2076" s="6" t="s">
        <v>11</v>
      </c>
      <c r="D2076" s="6" t="str">
        <f>"卓婷婷"</f>
        <v>卓婷婷</v>
      </c>
    </row>
    <row r="2077" spans="1:4" ht="30" customHeight="1">
      <c r="A2077" s="6">
        <v>2075</v>
      </c>
      <c r="B2077" s="6" t="str">
        <f>"508120230421173204138927"</f>
        <v>508120230421173204138927</v>
      </c>
      <c r="C2077" s="6" t="s">
        <v>11</v>
      </c>
      <c r="D2077" s="6" t="str">
        <f>"周娴婧"</f>
        <v>周娴婧</v>
      </c>
    </row>
    <row r="2078" spans="1:4" ht="30" customHeight="1">
      <c r="A2078" s="6">
        <v>2076</v>
      </c>
      <c r="B2078" s="6" t="str">
        <f>"508120230423004004139689"</f>
        <v>508120230423004004139689</v>
      </c>
      <c r="C2078" s="6" t="s">
        <v>11</v>
      </c>
      <c r="D2078" s="6" t="str">
        <f>"陈丽君"</f>
        <v>陈丽君</v>
      </c>
    </row>
    <row r="2079" spans="1:4" ht="30" customHeight="1">
      <c r="A2079" s="6">
        <v>2077</v>
      </c>
      <c r="B2079" s="6" t="str">
        <f>"508120230426220226142228"</f>
        <v>508120230426220226142228</v>
      </c>
      <c r="C2079" s="6" t="s">
        <v>11</v>
      </c>
      <c r="D2079" s="6" t="str">
        <f>"符加卫"</f>
        <v>符加卫</v>
      </c>
    </row>
    <row r="2080" spans="1:4" ht="30" customHeight="1">
      <c r="A2080" s="6">
        <v>2078</v>
      </c>
      <c r="B2080" s="6" t="str">
        <f>"508120230426213249142207"</f>
        <v>508120230426213249142207</v>
      </c>
      <c r="C2080" s="6" t="s">
        <v>11</v>
      </c>
      <c r="D2080" s="6" t="str">
        <f>"王婷婷"</f>
        <v>王婷婷</v>
      </c>
    </row>
    <row r="2081" spans="1:4" ht="30" customHeight="1">
      <c r="A2081" s="6">
        <v>2079</v>
      </c>
      <c r="B2081" s="6" t="str">
        <f>"508120230426133141141871"</f>
        <v>508120230426133141141871</v>
      </c>
      <c r="C2081" s="6" t="s">
        <v>11</v>
      </c>
      <c r="D2081" s="6" t="str">
        <f>"李青青"</f>
        <v>李青青</v>
      </c>
    </row>
    <row r="2082" spans="1:4" ht="30" customHeight="1">
      <c r="A2082" s="6">
        <v>2080</v>
      </c>
      <c r="B2082" s="6" t="str">
        <f>"508120230426180032142061"</f>
        <v>508120230426180032142061</v>
      </c>
      <c r="C2082" s="6" t="s">
        <v>11</v>
      </c>
      <c r="D2082" s="6" t="str">
        <f>"王朋光"</f>
        <v>王朋光</v>
      </c>
    </row>
    <row r="2083" spans="1:4" ht="30" customHeight="1">
      <c r="A2083" s="6">
        <v>2081</v>
      </c>
      <c r="B2083" s="6" t="str">
        <f>"508120230425200054141541"</f>
        <v>508120230425200054141541</v>
      </c>
      <c r="C2083" s="6" t="s">
        <v>11</v>
      </c>
      <c r="D2083" s="6" t="str">
        <f>"陈俄捷"</f>
        <v>陈俄捷</v>
      </c>
    </row>
    <row r="2084" spans="1:4" ht="30" customHeight="1">
      <c r="A2084" s="6">
        <v>2082</v>
      </c>
      <c r="B2084" s="6" t="str">
        <f>"508120230426230202142285"</f>
        <v>508120230426230202142285</v>
      </c>
      <c r="C2084" s="6" t="s">
        <v>11</v>
      </c>
      <c r="D2084" s="6" t="str">
        <f>"林道鹏"</f>
        <v>林道鹏</v>
      </c>
    </row>
    <row r="2085" spans="1:4" ht="30" customHeight="1">
      <c r="A2085" s="6">
        <v>2083</v>
      </c>
      <c r="B2085" s="6" t="str">
        <f>"508120230426230729142289"</f>
        <v>508120230426230729142289</v>
      </c>
      <c r="C2085" s="6" t="s">
        <v>11</v>
      </c>
      <c r="D2085" s="6" t="str">
        <f>"符雪贝"</f>
        <v>符雪贝</v>
      </c>
    </row>
    <row r="2086" spans="1:4" ht="30" customHeight="1">
      <c r="A2086" s="6">
        <v>2084</v>
      </c>
      <c r="B2086" s="6" t="str">
        <f>"508120230426224619142270"</f>
        <v>508120230426224619142270</v>
      </c>
      <c r="C2086" s="6" t="s">
        <v>11</v>
      </c>
      <c r="D2086" s="6" t="str">
        <f>"唐居造"</f>
        <v>唐居造</v>
      </c>
    </row>
    <row r="2087" spans="1:4" ht="30" customHeight="1">
      <c r="A2087" s="6">
        <v>2085</v>
      </c>
      <c r="B2087" s="6" t="str">
        <f>"508120230426231444142294"</f>
        <v>508120230426231444142294</v>
      </c>
      <c r="C2087" s="6" t="s">
        <v>11</v>
      </c>
      <c r="D2087" s="6" t="str">
        <f>"吴淑强"</f>
        <v>吴淑强</v>
      </c>
    </row>
    <row r="2088" spans="1:4" ht="30" customHeight="1">
      <c r="A2088" s="6">
        <v>2086</v>
      </c>
      <c r="B2088" s="6" t="str">
        <f>"508120230426114752141826"</f>
        <v>508120230426114752141826</v>
      </c>
      <c r="C2088" s="6" t="s">
        <v>11</v>
      </c>
      <c r="D2088" s="6" t="str">
        <f>"邢福宜"</f>
        <v>邢福宜</v>
      </c>
    </row>
    <row r="2089" spans="1:4" ht="30" customHeight="1">
      <c r="A2089" s="6">
        <v>2087</v>
      </c>
      <c r="B2089" s="6" t="str">
        <f>"508120230422003113139147"</f>
        <v>508120230422003113139147</v>
      </c>
      <c r="C2089" s="6" t="s">
        <v>11</v>
      </c>
      <c r="D2089" s="6" t="str">
        <f>"李许源"</f>
        <v>李许源</v>
      </c>
    </row>
    <row r="2090" spans="1:4" ht="30" customHeight="1">
      <c r="A2090" s="6">
        <v>2088</v>
      </c>
      <c r="B2090" s="6" t="str">
        <f>"508120230426212939142204"</f>
        <v>508120230426212939142204</v>
      </c>
      <c r="C2090" s="6" t="s">
        <v>11</v>
      </c>
      <c r="D2090" s="6" t="str">
        <f>"吴梦玉"</f>
        <v>吴梦玉</v>
      </c>
    </row>
    <row r="2091" spans="1:4" ht="30" customHeight="1">
      <c r="A2091" s="6">
        <v>2089</v>
      </c>
      <c r="B2091" s="6" t="str">
        <f>"508120230424013304140439"</f>
        <v>508120230424013304140439</v>
      </c>
      <c r="C2091" s="6" t="s">
        <v>11</v>
      </c>
      <c r="D2091" s="6" t="str">
        <f>"王侨源"</f>
        <v>王侨源</v>
      </c>
    </row>
    <row r="2092" spans="1:4" ht="30" customHeight="1">
      <c r="A2092" s="6">
        <v>2090</v>
      </c>
      <c r="B2092" s="6" t="str">
        <f>"508120230426230400142286"</f>
        <v>508120230426230400142286</v>
      </c>
      <c r="C2092" s="6" t="s">
        <v>11</v>
      </c>
      <c r="D2092" s="6" t="str">
        <f>"符祥策"</f>
        <v>符祥策</v>
      </c>
    </row>
    <row r="2093" spans="1:4" ht="30" customHeight="1">
      <c r="A2093" s="6">
        <v>2091</v>
      </c>
      <c r="B2093" s="6" t="str">
        <f>"508120230427000027142324"</f>
        <v>508120230427000027142324</v>
      </c>
      <c r="C2093" s="6" t="s">
        <v>11</v>
      </c>
      <c r="D2093" s="6" t="str">
        <f>"王海雯"</f>
        <v>王海雯</v>
      </c>
    </row>
    <row r="2094" spans="1:4" ht="30" customHeight="1">
      <c r="A2094" s="6">
        <v>2092</v>
      </c>
      <c r="B2094" s="6" t="str">
        <f>"508120230427000402142329"</f>
        <v>508120230427000402142329</v>
      </c>
      <c r="C2094" s="6" t="s">
        <v>11</v>
      </c>
      <c r="D2094" s="6" t="str">
        <f>"李晶"</f>
        <v>李晶</v>
      </c>
    </row>
    <row r="2095" spans="1:4" ht="30" customHeight="1">
      <c r="A2095" s="6">
        <v>2093</v>
      </c>
      <c r="B2095" s="6" t="str">
        <f>"508120230426235800142321"</f>
        <v>508120230426235800142321</v>
      </c>
      <c r="C2095" s="6" t="s">
        <v>11</v>
      </c>
      <c r="D2095" s="6" t="str">
        <f>"陈艳"</f>
        <v>陈艳</v>
      </c>
    </row>
    <row r="2096" spans="1:4" ht="30" customHeight="1">
      <c r="A2096" s="6">
        <v>2094</v>
      </c>
      <c r="B2096" s="6" t="str">
        <f>"508120230427004702142348"</f>
        <v>508120230427004702142348</v>
      </c>
      <c r="C2096" s="6" t="s">
        <v>11</v>
      </c>
      <c r="D2096" s="6" t="str">
        <f>"唐婷婷"</f>
        <v>唐婷婷</v>
      </c>
    </row>
    <row r="2097" spans="1:4" ht="30" customHeight="1">
      <c r="A2097" s="6">
        <v>2095</v>
      </c>
      <c r="B2097" s="6" t="str">
        <f>"508120230426113343141816"</f>
        <v>508120230426113343141816</v>
      </c>
      <c r="C2097" s="6" t="s">
        <v>11</v>
      </c>
      <c r="D2097" s="6" t="str">
        <f>"何飞玉"</f>
        <v>何飞玉</v>
      </c>
    </row>
    <row r="2098" spans="1:4" ht="30" customHeight="1">
      <c r="A2098" s="6">
        <v>2096</v>
      </c>
      <c r="B2098" s="6" t="str">
        <f>"508120230427030834142367"</f>
        <v>508120230427030834142367</v>
      </c>
      <c r="C2098" s="6" t="s">
        <v>11</v>
      </c>
      <c r="D2098" s="6" t="str">
        <f>"林先铨"</f>
        <v>林先铨</v>
      </c>
    </row>
    <row r="2099" spans="1:4" ht="30" customHeight="1">
      <c r="A2099" s="6">
        <v>2097</v>
      </c>
      <c r="B2099" s="6" t="str">
        <f>"508120230427055751142369"</f>
        <v>508120230427055751142369</v>
      </c>
      <c r="C2099" s="6" t="s">
        <v>11</v>
      </c>
      <c r="D2099" s="6" t="str">
        <f>"王亚蕊"</f>
        <v>王亚蕊</v>
      </c>
    </row>
    <row r="2100" spans="1:4" ht="30" customHeight="1">
      <c r="A2100" s="6">
        <v>2098</v>
      </c>
      <c r="B2100" s="6" t="str">
        <f>"508120230427052122142368"</f>
        <v>508120230427052122142368</v>
      </c>
      <c r="C2100" s="6" t="s">
        <v>11</v>
      </c>
      <c r="D2100" s="6" t="str">
        <f>"邓庆君"</f>
        <v>邓庆君</v>
      </c>
    </row>
    <row r="2101" spans="1:4" ht="30" customHeight="1">
      <c r="A2101" s="6">
        <v>2099</v>
      </c>
      <c r="B2101" s="6" t="str">
        <f>"508120230427075518142376"</f>
        <v>508120230427075518142376</v>
      </c>
      <c r="C2101" s="6" t="s">
        <v>11</v>
      </c>
      <c r="D2101" s="6" t="str">
        <f>"闫竞杰"</f>
        <v>闫竞杰</v>
      </c>
    </row>
    <row r="2102" spans="1:4" ht="30" customHeight="1">
      <c r="A2102" s="6">
        <v>2100</v>
      </c>
      <c r="B2102" s="6" t="str">
        <f>"508120230427075807142377"</f>
        <v>508120230427075807142377</v>
      </c>
      <c r="C2102" s="6" t="s">
        <v>11</v>
      </c>
      <c r="D2102" s="6" t="str">
        <f>"黎壮林"</f>
        <v>黎壮林</v>
      </c>
    </row>
    <row r="2103" spans="1:4" ht="30" customHeight="1">
      <c r="A2103" s="6">
        <v>2101</v>
      </c>
      <c r="B2103" s="6" t="str">
        <f>"508120230425181927141503"</f>
        <v>508120230425181927141503</v>
      </c>
      <c r="C2103" s="6" t="s">
        <v>11</v>
      </c>
      <c r="D2103" s="6" t="str">
        <f>"吴海红"</f>
        <v>吴海红</v>
      </c>
    </row>
    <row r="2104" spans="1:4" ht="30" customHeight="1">
      <c r="A2104" s="6">
        <v>2102</v>
      </c>
      <c r="B2104" s="6" t="str">
        <f>"508120230426155353141956"</f>
        <v>508120230426155353141956</v>
      </c>
      <c r="C2104" s="6" t="s">
        <v>11</v>
      </c>
      <c r="D2104" s="6" t="str">
        <f>"杨达成"</f>
        <v>杨达成</v>
      </c>
    </row>
    <row r="2105" spans="1:4" ht="30" customHeight="1">
      <c r="A2105" s="6">
        <v>2103</v>
      </c>
      <c r="B2105" s="6" t="str">
        <f>"508120230427083957142399"</f>
        <v>508120230427083957142399</v>
      </c>
      <c r="C2105" s="6" t="s">
        <v>11</v>
      </c>
      <c r="D2105" s="6" t="str">
        <f>"陈元腾"</f>
        <v>陈元腾</v>
      </c>
    </row>
    <row r="2106" spans="1:4" ht="30" customHeight="1">
      <c r="A2106" s="6">
        <v>2104</v>
      </c>
      <c r="B2106" s="6" t="str">
        <f>"508120230425152059141380"</f>
        <v>508120230425152059141380</v>
      </c>
      <c r="C2106" s="6" t="s">
        <v>11</v>
      </c>
      <c r="D2106" s="6" t="str">
        <f>"刘杰言"</f>
        <v>刘杰言</v>
      </c>
    </row>
    <row r="2107" spans="1:4" ht="30" customHeight="1">
      <c r="A2107" s="6">
        <v>2105</v>
      </c>
      <c r="B2107" s="6" t="str">
        <f>"508120230426205051142174"</f>
        <v>508120230426205051142174</v>
      </c>
      <c r="C2107" s="6" t="s">
        <v>11</v>
      </c>
      <c r="D2107" s="6" t="str">
        <f>"黄天然"</f>
        <v>黄天然</v>
      </c>
    </row>
    <row r="2108" spans="1:4" ht="30" customHeight="1">
      <c r="A2108" s="6">
        <v>2106</v>
      </c>
      <c r="B2108" s="6" t="str">
        <f>"508120230426173648142051"</f>
        <v>508120230426173648142051</v>
      </c>
      <c r="C2108" s="6" t="s">
        <v>11</v>
      </c>
      <c r="D2108" s="6" t="str">
        <f>"高茜"</f>
        <v>高茜</v>
      </c>
    </row>
    <row r="2109" spans="1:4" ht="30" customHeight="1">
      <c r="A2109" s="6">
        <v>2107</v>
      </c>
      <c r="B2109" s="6" t="str">
        <f>"508120230427091058142420"</f>
        <v>508120230427091058142420</v>
      </c>
      <c r="C2109" s="6" t="s">
        <v>11</v>
      </c>
      <c r="D2109" s="6" t="str">
        <f>"王忠翠"</f>
        <v>王忠翠</v>
      </c>
    </row>
    <row r="2110" spans="1:4" ht="30" customHeight="1">
      <c r="A2110" s="6">
        <v>2108</v>
      </c>
      <c r="B2110" s="6" t="str">
        <f>"508120230426141020141885"</f>
        <v>508120230426141020141885</v>
      </c>
      <c r="C2110" s="6" t="s">
        <v>11</v>
      </c>
      <c r="D2110" s="6" t="str">
        <f>"郑建琼"</f>
        <v>郑建琼</v>
      </c>
    </row>
    <row r="2111" spans="1:4" ht="30" customHeight="1">
      <c r="A2111" s="6">
        <v>2109</v>
      </c>
      <c r="B2111" s="6" t="str">
        <f>"508120230427091729142426"</f>
        <v>508120230427091729142426</v>
      </c>
      <c r="C2111" s="6" t="s">
        <v>11</v>
      </c>
      <c r="D2111" s="6" t="str">
        <f>"郑杰友"</f>
        <v>郑杰友</v>
      </c>
    </row>
    <row r="2112" spans="1:4" ht="30" customHeight="1">
      <c r="A2112" s="6">
        <v>2110</v>
      </c>
      <c r="B2112" s="6" t="str">
        <f>"508120230427083625142394"</f>
        <v>508120230427083625142394</v>
      </c>
      <c r="C2112" s="6" t="s">
        <v>11</v>
      </c>
      <c r="D2112" s="6" t="str">
        <f>"王飞鹏"</f>
        <v>王飞鹏</v>
      </c>
    </row>
    <row r="2113" spans="1:4" ht="30" customHeight="1">
      <c r="A2113" s="6">
        <v>2111</v>
      </c>
      <c r="B2113" s="6" t="str">
        <f>"508120230427093550142447"</f>
        <v>508120230427093550142447</v>
      </c>
      <c r="C2113" s="6" t="s">
        <v>11</v>
      </c>
      <c r="D2113" s="6" t="str">
        <f>"卓毛朝"</f>
        <v>卓毛朝</v>
      </c>
    </row>
    <row r="2114" spans="1:4" ht="30" customHeight="1">
      <c r="A2114" s="6">
        <v>2112</v>
      </c>
      <c r="B2114" s="6" t="str">
        <f>"508120230427085723142411"</f>
        <v>508120230427085723142411</v>
      </c>
      <c r="C2114" s="6" t="s">
        <v>11</v>
      </c>
      <c r="D2114" s="6" t="str">
        <f>"林传坤"</f>
        <v>林传坤</v>
      </c>
    </row>
    <row r="2115" spans="1:4" ht="30" customHeight="1">
      <c r="A2115" s="6">
        <v>2113</v>
      </c>
      <c r="B2115" s="6" t="str">
        <f>"508120230427094052142454"</f>
        <v>508120230427094052142454</v>
      </c>
      <c r="C2115" s="6" t="s">
        <v>11</v>
      </c>
      <c r="D2115" s="6" t="str">
        <f>"郑戴凡"</f>
        <v>郑戴凡</v>
      </c>
    </row>
    <row r="2116" spans="1:4" ht="30" customHeight="1">
      <c r="A2116" s="6">
        <v>2114</v>
      </c>
      <c r="B2116" s="6" t="str">
        <f>"508120230427092838142438"</f>
        <v>508120230427092838142438</v>
      </c>
      <c r="C2116" s="6" t="s">
        <v>11</v>
      </c>
      <c r="D2116" s="6" t="str">
        <f>"罗玉华"</f>
        <v>罗玉华</v>
      </c>
    </row>
    <row r="2117" spans="1:4" ht="30" customHeight="1">
      <c r="A2117" s="6">
        <v>2115</v>
      </c>
      <c r="B2117" s="6" t="str">
        <f>"508120230427091830142428"</f>
        <v>508120230427091830142428</v>
      </c>
      <c r="C2117" s="6" t="s">
        <v>11</v>
      </c>
      <c r="D2117" s="6" t="str">
        <f>"符箕德"</f>
        <v>符箕德</v>
      </c>
    </row>
    <row r="2118" spans="1:4" ht="30" customHeight="1">
      <c r="A2118" s="6">
        <v>2116</v>
      </c>
      <c r="B2118" s="6" t="str">
        <f>"508120230427094351142459"</f>
        <v>508120230427094351142459</v>
      </c>
      <c r="C2118" s="6" t="s">
        <v>11</v>
      </c>
      <c r="D2118" s="6" t="str">
        <f>"王绍锋"</f>
        <v>王绍锋</v>
      </c>
    </row>
    <row r="2119" spans="1:4" ht="30" customHeight="1">
      <c r="A2119" s="6">
        <v>2117</v>
      </c>
      <c r="B2119" s="6" t="str">
        <f>"508120230427092041142430"</f>
        <v>508120230427092041142430</v>
      </c>
      <c r="C2119" s="6" t="s">
        <v>11</v>
      </c>
      <c r="D2119" s="6" t="str">
        <f>"梁安楠"</f>
        <v>梁安楠</v>
      </c>
    </row>
    <row r="2120" spans="1:4" ht="30" customHeight="1">
      <c r="A2120" s="6">
        <v>2118</v>
      </c>
      <c r="B2120" s="6" t="str">
        <f>"508120230427093807142448"</f>
        <v>508120230427093807142448</v>
      </c>
      <c r="C2120" s="6" t="s">
        <v>11</v>
      </c>
      <c r="D2120" s="6" t="str">
        <f>"符坤究"</f>
        <v>符坤究</v>
      </c>
    </row>
    <row r="2121" spans="1:4" ht="30" customHeight="1">
      <c r="A2121" s="6">
        <v>2119</v>
      </c>
      <c r="B2121" s="6" t="str">
        <f>"508120230427070009142373"</f>
        <v>508120230427070009142373</v>
      </c>
      <c r="C2121" s="6" t="s">
        <v>11</v>
      </c>
      <c r="D2121" s="6" t="str">
        <f>"邢馨之"</f>
        <v>邢馨之</v>
      </c>
    </row>
    <row r="2122" spans="1:4" ht="30" customHeight="1">
      <c r="A2122" s="6">
        <v>2120</v>
      </c>
      <c r="B2122" s="6" t="str">
        <f>"508120230427101842142501"</f>
        <v>508120230427101842142501</v>
      </c>
      <c r="C2122" s="6" t="s">
        <v>11</v>
      </c>
      <c r="D2122" s="6" t="str">
        <f>"杨文"</f>
        <v>杨文</v>
      </c>
    </row>
    <row r="2123" spans="1:4" ht="30" customHeight="1">
      <c r="A2123" s="6">
        <v>2121</v>
      </c>
      <c r="B2123" s="6" t="str">
        <f>"508120230421135707138634"</f>
        <v>508120230421135707138634</v>
      </c>
      <c r="C2123" s="6" t="s">
        <v>11</v>
      </c>
      <c r="D2123" s="6" t="str">
        <f>"罗文智"</f>
        <v>罗文智</v>
      </c>
    </row>
    <row r="2124" spans="1:4" ht="30" customHeight="1">
      <c r="A2124" s="6">
        <v>2122</v>
      </c>
      <c r="B2124" s="6" t="str">
        <f>"508120230426125118141854"</f>
        <v>508120230426125118141854</v>
      </c>
      <c r="C2124" s="6" t="s">
        <v>11</v>
      </c>
      <c r="D2124" s="6" t="str">
        <f>"李颖"</f>
        <v>李颖</v>
      </c>
    </row>
    <row r="2125" spans="1:4" ht="30" customHeight="1">
      <c r="A2125" s="6">
        <v>2123</v>
      </c>
      <c r="B2125" s="6" t="str">
        <f>"508120230427094517142460"</f>
        <v>508120230427094517142460</v>
      </c>
      <c r="C2125" s="6" t="s">
        <v>11</v>
      </c>
      <c r="D2125" s="6" t="str">
        <f>"吴淑勋"</f>
        <v>吴淑勋</v>
      </c>
    </row>
    <row r="2126" spans="1:4" ht="30" customHeight="1">
      <c r="A2126" s="6">
        <v>2124</v>
      </c>
      <c r="B2126" s="6" t="str">
        <f>"508120230427100545142490"</f>
        <v>508120230427100545142490</v>
      </c>
      <c r="C2126" s="6" t="s">
        <v>11</v>
      </c>
      <c r="D2126" s="6" t="str">
        <f>"钟海超"</f>
        <v>钟海超</v>
      </c>
    </row>
    <row r="2127" spans="1:4" ht="30" customHeight="1">
      <c r="A2127" s="6">
        <v>2125</v>
      </c>
      <c r="B2127" s="6" t="str">
        <f>"508120230426143926141895"</f>
        <v>508120230426143926141895</v>
      </c>
      <c r="C2127" s="6" t="s">
        <v>11</v>
      </c>
      <c r="D2127" s="6" t="str">
        <f>"涂丽云"</f>
        <v>涂丽云</v>
      </c>
    </row>
    <row r="2128" spans="1:4" ht="30" customHeight="1">
      <c r="A2128" s="6">
        <v>2126</v>
      </c>
      <c r="B2128" s="6" t="str">
        <f>"508120230427100234142487"</f>
        <v>508120230427100234142487</v>
      </c>
      <c r="C2128" s="6" t="s">
        <v>11</v>
      </c>
      <c r="D2128" s="6" t="str">
        <f>"孙太隽"</f>
        <v>孙太隽</v>
      </c>
    </row>
    <row r="2129" spans="1:4" ht="30" customHeight="1">
      <c r="A2129" s="6">
        <v>2127</v>
      </c>
      <c r="B2129" s="6" t="str">
        <f>"508120230424010532140434"</f>
        <v>508120230424010532140434</v>
      </c>
      <c r="C2129" s="6" t="s">
        <v>11</v>
      </c>
      <c r="D2129" s="6" t="str">
        <f>"王永捷"</f>
        <v>王永捷</v>
      </c>
    </row>
    <row r="2130" spans="1:4" ht="30" customHeight="1">
      <c r="A2130" s="6">
        <v>2128</v>
      </c>
      <c r="B2130" s="6" t="str">
        <f>"508120230427112244142559"</f>
        <v>508120230427112244142559</v>
      </c>
      <c r="C2130" s="6" t="s">
        <v>11</v>
      </c>
      <c r="D2130" s="6" t="str">
        <f>"李婷"</f>
        <v>李婷</v>
      </c>
    </row>
    <row r="2131" spans="1:4" ht="30" customHeight="1">
      <c r="A2131" s="6">
        <v>2129</v>
      </c>
      <c r="B2131" s="6" t="str">
        <f>"508120230427102714142511"</f>
        <v>508120230427102714142511</v>
      </c>
      <c r="C2131" s="6" t="s">
        <v>11</v>
      </c>
      <c r="D2131" s="6" t="str">
        <f>"周雨枝"</f>
        <v>周雨枝</v>
      </c>
    </row>
    <row r="2132" spans="1:4" ht="30" customHeight="1">
      <c r="A2132" s="6">
        <v>2130</v>
      </c>
      <c r="B2132" s="6" t="str">
        <f>"508120230421155004138793"</f>
        <v>508120230421155004138793</v>
      </c>
      <c r="C2132" s="6" t="s">
        <v>11</v>
      </c>
      <c r="D2132" s="6" t="str">
        <f>"罗紫兰"</f>
        <v>罗紫兰</v>
      </c>
    </row>
    <row r="2133" spans="1:4" ht="30" customHeight="1">
      <c r="A2133" s="6">
        <v>2131</v>
      </c>
      <c r="B2133" s="6" t="str">
        <f>"508120230427113349142565"</f>
        <v>508120230427113349142565</v>
      </c>
      <c r="C2133" s="6" t="s">
        <v>11</v>
      </c>
      <c r="D2133" s="6" t="str">
        <f>"吉秋妍"</f>
        <v>吉秋妍</v>
      </c>
    </row>
    <row r="2134" spans="1:4" ht="30" customHeight="1">
      <c r="A2134" s="6">
        <v>2132</v>
      </c>
      <c r="B2134" s="6" t="str">
        <f>"508120230427104715142532"</f>
        <v>508120230427104715142532</v>
      </c>
      <c r="C2134" s="6" t="s">
        <v>11</v>
      </c>
      <c r="D2134" s="6" t="str">
        <f>"朱琳"</f>
        <v>朱琳</v>
      </c>
    </row>
    <row r="2135" spans="1:4" ht="30" customHeight="1">
      <c r="A2135" s="6">
        <v>2133</v>
      </c>
      <c r="B2135" s="6" t="str">
        <f>"508120230427115434142587"</f>
        <v>508120230427115434142587</v>
      </c>
      <c r="C2135" s="6" t="s">
        <v>11</v>
      </c>
      <c r="D2135" s="6" t="str">
        <f>"蔡虹"</f>
        <v>蔡虹</v>
      </c>
    </row>
    <row r="2136" spans="1:4" ht="30" customHeight="1">
      <c r="A2136" s="6">
        <v>2134</v>
      </c>
      <c r="B2136" s="6" t="str">
        <f>"508120230421090817138110"</f>
        <v>508120230421090817138110</v>
      </c>
      <c r="C2136" s="6" t="s">
        <v>12</v>
      </c>
      <c r="D2136" s="6" t="str">
        <f>"陈美玲"</f>
        <v>陈美玲</v>
      </c>
    </row>
    <row r="2137" spans="1:4" ht="30" customHeight="1">
      <c r="A2137" s="6">
        <v>2135</v>
      </c>
      <c r="B2137" s="6" t="str">
        <f>"508120230421090202138087"</f>
        <v>508120230421090202138087</v>
      </c>
      <c r="C2137" s="6" t="s">
        <v>12</v>
      </c>
      <c r="D2137" s="6" t="str">
        <f>"邢雅韵"</f>
        <v>邢雅韵</v>
      </c>
    </row>
    <row r="2138" spans="1:4" ht="30" customHeight="1">
      <c r="A2138" s="6">
        <v>2136</v>
      </c>
      <c r="B2138" s="6" t="str">
        <f>"508120230421090547138106"</f>
        <v>508120230421090547138106</v>
      </c>
      <c r="C2138" s="6" t="s">
        <v>12</v>
      </c>
      <c r="D2138" s="6" t="str">
        <f>"张淑贞"</f>
        <v>张淑贞</v>
      </c>
    </row>
    <row r="2139" spans="1:4" ht="30" customHeight="1">
      <c r="A2139" s="6">
        <v>2137</v>
      </c>
      <c r="B2139" s="6" t="str">
        <f>"508120230421090904138114"</f>
        <v>508120230421090904138114</v>
      </c>
      <c r="C2139" s="6" t="s">
        <v>12</v>
      </c>
      <c r="D2139" s="6" t="str">
        <f>"高丽姑"</f>
        <v>高丽姑</v>
      </c>
    </row>
    <row r="2140" spans="1:4" ht="30" customHeight="1">
      <c r="A2140" s="6">
        <v>2138</v>
      </c>
      <c r="B2140" s="6" t="str">
        <f>"508120230421091552138140"</f>
        <v>508120230421091552138140</v>
      </c>
      <c r="C2140" s="6" t="s">
        <v>12</v>
      </c>
      <c r="D2140" s="6" t="str">
        <f>"陈日乾"</f>
        <v>陈日乾</v>
      </c>
    </row>
    <row r="2141" spans="1:4" ht="30" customHeight="1">
      <c r="A2141" s="6">
        <v>2139</v>
      </c>
      <c r="B2141" s="6" t="str">
        <f>"508120230421090313138092"</f>
        <v>508120230421090313138092</v>
      </c>
      <c r="C2141" s="6" t="s">
        <v>12</v>
      </c>
      <c r="D2141" s="6" t="str">
        <f>"陈敏"</f>
        <v>陈敏</v>
      </c>
    </row>
    <row r="2142" spans="1:4" ht="30" customHeight="1">
      <c r="A2142" s="6">
        <v>2140</v>
      </c>
      <c r="B2142" s="6" t="str">
        <f>"508120230421091515138137"</f>
        <v>508120230421091515138137</v>
      </c>
      <c r="C2142" s="6" t="s">
        <v>12</v>
      </c>
      <c r="D2142" s="6" t="str">
        <f>"王春娇"</f>
        <v>王春娇</v>
      </c>
    </row>
    <row r="2143" spans="1:4" ht="30" customHeight="1">
      <c r="A2143" s="6">
        <v>2141</v>
      </c>
      <c r="B2143" s="6" t="str">
        <f>"508120230421091105138123"</f>
        <v>508120230421091105138123</v>
      </c>
      <c r="C2143" s="6" t="s">
        <v>12</v>
      </c>
      <c r="D2143" s="6" t="str">
        <f>"郑贞莹"</f>
        <v>郑贞莹</v>
      </c>
    </row>
    <row r="2144" spans="1:4" ht="30" customHeight="1">
      <c r="A2144" s="6">
        <v>2142</v>
      </c>
      <c r="B2144" s="6" t="str">
        <f>"508120230421093501138193"</f>
        <v>508120230421093501138193</v>
      </c>
      <c r="C2144" s="6" t="s">
        <v>12</v>
      </c>
      <c r="D2144" s="6" t="str">
        <f>"王阳森"</f>
        <v>王阳森</v>
      </c>
    </row>
    <row r="2145" spans="1:4" ht="30" customHeight="1">
      <c r="A2145" s="6">
        <v>2143</v>
      </c>
      <c r="B2145" s="6" t="str">
        <f>"508120230421094136138216"</f>
        <v>508120230421094136138216</v>
      </c>
      <c r="C2145" s="6" t="s">
        <v>12</v>
      </c>
      <c r="D2145" s="6" t="str">
        <f>"卢珍丽"</f>
        <v>卢珍丽</v>
      </c>
    </row>
    <row r="2146" spans="1:4" ht="30" customHeight="1">
      <c r="A2146" s="6">
        <v>2144</v>
      </c>
      <c r="B2146" s="6" t="str">
        <f>"508120230421090313138091"</f>
        <v>508120230421090313138091</v>
      </c>
      <c r="C2146" s="6" t="s">
        <v>12</v>
      </c>
      <c r="D2146" s="6" t="str">
        <f>"吴燕阳"</f>
        <v>吴燕阳</v>
      </c>
    </row>
    <row r="2147" spans="1:4" ht="30" customHeight="1">
      <c r="A2147" s="6">
        <v>2145</v>
      </c>
      <c r="B2147" s="6" t="str">
        <f>"508120230421095019138242"</f>
        <v>508120230421095019138242</v>
      </c>
      <c r="C2147" s="6" t="s">
        <v>12</v>
      </c>
      <c r="D2147" s="6" t="str">
        <f>"冯文思 "</f>
        <v>冯文思 </v>
      </c>
    </row>
    <row r="2148" spans="1:4" ht="30" customHeight="1">
      <c r="A2148" s="6">
        <v>2146</v>
      </c>
      <c r="B2148" s="6" t="str">
        <f>"508120230421092305138162"</f>
        <v>508120230421092305138162</v>
      </c>
      <c r="C2148" s="6" t="s">
        <v>12</v>
      </c>
      <c r="D2148" s="6" t="str">
        <f>"符蕾"</f>
        <v>符蕾</v>
      </c>
    </row>
    <row r="2149" spans="1:4" ht="30" customHeight="1">
      <c r="A2149" s="6">
        <v>2147</v>
      </c>
      <c r="B2149" s="6" t="str">
        <f>"508120230421095629138261"</f>
        <v>508120230421095629138261</v>
      </c>
      <c r="C2149" s="6" t="s">
        <v>12</v>
      </c>
      <c r="D2149" s="6" t="str">
        <f>"黎颖"</f>
        <v>黎颖</v>
      </c>
    </row>
    <row r="2150" spans="1:4" ht="30" customHeight="1">
      <c r="A2150" s="6">
        <v>2148</v>
      </c>
      <c r="B2150" s="6" t="str">
        <f>"508120230421095235138251"</f>
        <v>508120230421095235138251</v>
      </c>
      <c r="C2150" s="6" t="s">
        <v>12</v>
      </c>
      <c r="D2150" s="6" t="str">
        <f>"王雲"</f>
        <v>王雲</v>
      </c>
    </row>
    <row r="2151" spans="1:4" ht="30" customHeight="1">
      <c r="A2151" s="6">
        <v>2149</v>
      </c>
      <c r="B2151" s="6" t="str">
        <f>"508120230421095108138246"</f>
        <v>508120230421095108138246</v>
      </c>
      <c r="C2151" s="6" t="s">
        <v>12</v>
      </c>
      <c r="D2151" s="6" t="str">
        <f>"黄泽武"</f>
        <v>黄泽武</v>
      </c>
    </row>
    <row r="2152" spans="1:4" ht="30" customHeight="1">
      <c r="A2152" s="6">
        <v>2150</v>
      </c>
      <c r="B2152" s="6" t="str">
        <f>"508120230421100736138287"</f>
        <v>508120230421100736138287</v>
      </c>
      <c r="C2152" s="6" t="s">
        <v>12</v>
      </c>
      <c r="D2152" s="6" t="str">
        <f>"王春霞"</f>
        <v>王春霞</v>
      </c>
    </row>
    <row r="2153" spans="1:4" ht="30" customHeight="1">
      <c r="A2153" s="6">
        <v>2151</v>
      </c>
      <c r="B2153" s="6" t="str">
        <f>"508120230421094316138221"</f>
        <v>508120230421094316138221</v>
      </c>
      <c r="C2153" s="6" t="s">
        <v>12</v>
      </c>
      <c r="D2153" s="6" t="str">
        <f>"吴挺宁"</f>
        <v>吴挺宁</v>
      </c>
    </row>
    <row r="2154" spans="1:4" ht="30" customHeight="1">
      <c r="A2154" s="6">
        <v>2152</v>
      </c>
      <c r="B2154" s="6" t="str">
        <f>"508120230421090852138112"</f>
        <v>508120230421090852138112</v>
      </c>
      <c r="C2154" s="6" t="s">
        <v>12</v>
      </c>
      <c r="D2154" s="6" t="str">
        <f>"王国徽"</f>
        <v>王国徽</v>
      </c>
    </row>
    <row r="2155" spans="1:4" ht="30" customHeight="1">
      <c r="A2155" s="6">
        <v>2153</v>
      </c>
      <c r="B2155" s="6" t="str">
        <f>"508120230421094637138230"</f>
        <v>508120230421094637138230</v>
      </c>
      <c r="C2155" s="6" t="s">
        <v>12</v>
      </c>
      <c r="D2155" s="6" t="str">
        <f>"王聪聪"</f>
        <v>王聪聪</v>
      </c>
    </row>
    <row r="2156" spans="1:4" ht="30" customHeight="1">
      <c r="A2156" s="6">
        <v>2154</v>
      </c>
      <c r="B2156" s="6" t="str">
        <f>"508120230421101512138303"</f>
        <v>508120230421101512138303</v>
      </c>
      <c r="C2156" s="6" t="s">
        <v>12</v>
      </c>
      <c r="D2156" s="6" t="str">
        <f>"李彩娇"</f>
        <v>李彩娇</v>
      </c>
    </row>
    <row r="2157" spans="1:4" ht="30" customHeight="1">
      <c r="A2157" s="6">
        <v>2155</v>
      </c>
      <c r="B2157" s="6" t="str">
        <f>"508120230421094846138234"</f>
        <v>508120230421094846138234</v>
      </c>
      <c r="C2157" s="6" t="s">
        <v>12</v>
      </c>
      <c r="D2157" s="6" t="str">
        <f>"林明范"</f>
        <v>林明范</v>
      </c>
    </row>
    <row r="2158" spans="1:4" ht="30" customHeight="1">
      <c r="A2158" s="6">
        <v>2156</v>
      </c>
      <c r="B2158" s="6" t="str">
        <f>"508120230421094550138227"</f>
        <v>508120230421094550138227</v>
      </c>
      <c r="C2158" s="6" t="s">
        <v>12</v>
      </c>
      <c r="D2158" s="6" t="str">
        <f>"孙周月"</f>
        <v>孙周月</v>
      </c>
    </row>
    <row r="2159" spans="1:4" ht="30" customHeight="1">
      <c r="A2159" s="6">
        <v>2157</v>
      </c>
      <c r="B2159" s="6" t="str">
        <f>"508120230421092356138164"</f>
        <v>508120230421092356138164</v>
      </c>
      <c r="C2159" s="6" t="s">
        <v>12</v>
      </c>
      <c r="D2159" s="6" t="str">
        <f>"陈金玉"</f>
        <v>陈金玉</v>
      </c>
    </row>
    <row r="2160" spans="1:4" ht="30" customHeight="1">
      <c r="A2160" s="6">
        <v>2158</v>
      </c>
      <c r="B2160" s="6" t="str">
        <f>"508120230421095456138254"</f>
        <v>508120230421095456138254</v>
      </c>
      <c r="C2160" s="6" t="s">
        <v>12</v>
      </c>
      <c r="D2160" s="6" t="str">
        <f>"吴玫坛"</f>
        <v>吴玫坛</v>
      </c>
    </row>
    <row r="2161" spans="1:4" ht="30" customHeight="1">
      <c r="A2161" s="6">
        <v>2159</v>
      </c>
      <c r="B2161" s="6" t="str">
        <f>"508120230421100724138286"</f>
        <v>508120230421100724138286</v>
      </c>
      <c r="C2161" s="6" t="s">
        <v>12</v>
      </c>
      <c r="D2161" s="6" t="str">
        <f>"赵嘉玮"</f>
        <v>赵嘉玮</v>
      </c>
    </row>
    <row r="2162" spans="1:4" ht="30" customHeight="1">
      <c r="A2162" s="6">
        <v>2160</v>
      </c>
      <c r="B2162" s="6" t="str">
        <f>"508120230421100104138276"</f>
        <v>508120230421100104138276</v>
      </c>
      <c r="C2162" s="6" t="s">
        <v>12</v>
      </c>
      <c r="D2162" s="6" t="str">
        <f>"赵文雅"</f>
        <v>赵文雅</v>
      </c>
    </row>
    <row r="2163" spans="1:4" ht="30" customHeight="1">
      <c r="A2163" s="6">
        <v>2161</v>
      </c>
      <c r="B2163" s="6" t="str">
        <f>"508120230421100842138291"</f>
        <v>508120230421100842138291</v>
      </c>
      <c r="C2163" s="6" t="s">
        <v>12</v>
      </c>
      <c r="D2163" s="6" t="str">
        <f>"黄琼莹"</f>
        <v>黄琼莹</v>
      </c>
    </row>
    <row r="2164" spans="1:4" ht="30" customHeight="1">
      <c r="A2164" s="6">
        <v>2162</v>
      </c>
      <c r="B2164" s="6" t="str">
        <f>"508120230421101319138299"</f>
        <v>508120230421101319138299</v>
      </c>
      <c r="C2164" s="6" t="s">
        <v>12</v>
      </c>
      <c r="D2164" s="6" t="str">
        <f>"张秋岱"</f>
        <v>张秋岱</v>
      </c>
    </row>
    <row r="2165" spans="1:4" ht="30" customHeight="1">
      <c r="A2165" s="6">
        <v>2163</v>
      </c>
      <c r="B2165" s="6" t="str">
        <f>"508120230421094045138211"</f>
        <v>508120230421094045138211</v>
      </c>
      <c r="C2165" s="6" t="s">
        <v>12</v>
      </c>
      <c r="D2165" s="6" t="str">
        <f>"王晓翎"</f>
        <v>王晓翎</v>
      </c>
    </row>
    <row r="2166" spans="1:4" ht="30" customHeight="1">
      <c r="A2166" s="6">
        <v>2164</v>
      </c>
      <c r="B2166" s="6" t="str">
        <f>"508120230421100417138282"</f>
        <v>508120230421100417138282</v>
      </c>
      <c r="C2166" s="6" t="s">
        <v>12</v>
      </c>
      <c r="D2166" s="6" t="str">
        <f>"郑琳"</f>
        <v>郑琳</v>
      </c>
    </row>
    <row r="2167" spans="1:4" ht="30" customHeight="1">
      <c r="A2167" s="6">
        <v>2165</v>
      </c>
      <c r="B2167" s="6" t="str">
        <f>"508120230421102404138328"</f>
        <v>508120230421102404138328</v>
      </c>
      <c r="C2167" s="6" t="s">
        <v>12</v>
      </c>
      <c r="D2167" s="6" t="str">
        <f>"江淑婷"</f>
        <v>江淑婷</v>
      </c>
    </row>
    <row r="2168" spans="1:4" ht="30" customHeight="1">
      <c r="A2168" s="6">
        <v>2166</v>
      </c>
      <c r="B2168" s="6" t="str">
        <f>"508120230421093535138194"</f>
        <v>508120230421093535138194</v>
      </c>
      <c r="C2168" s="6" t="s">
        <v>12</v>
      </c>
      <c r="D2168" s="6" t="str">
        <f>"叶媛"</f>
        <v>叶媛</v>
      </c>
    </row>
    <row r="2169" spans="1:4" ht="30" customHeight="1">
      <c r="A2169" s="6">
        <v>2167</v>
      </c>
      <c r="B2169" s="6" t="str">
        <f>"508120230421104657138389"</f>
        <v>508120230421104657138389</v>
      </c>
      <c r="C2169" s="6" t="s">
        <v>12</v>
      </c>
      <c r="D2169" s="6" t="str">
        <f>"冼庆帝"</f>
        <v>冼庆帝</v>
      </c>
    </row>
    <row r="2170" spans="1:4" ht="30" customHeight="1">
      <c r="A2170" s="6">
        <v>2168</v>
      </c>
      <c r="B2170" s="6" t="str">
        <f>"508120230421103055138352"</f>
        <v>508120230421103055138352</v>
      </c>
      <c r="C2170" s="6" t="s">
        <v>12</v>
      </c>
      <c r="D2170" s="6" t="str">
        <f>"黄慧鑫"</f>
        <v>黄慧鑫</v>
      </c>
    </row>
    <row r="2171" spans="1:4" ht="30" customHeight="1">
      <c r="A2171" s="6">
        <v>2169</v>
      </c>
      <c r="B2171" s="6" t="str">
        <f>"508120230421110502138424"</f>
        <v>508120230421110502138424</v>
      </c>
      <c r="C2171" s="6" t="s">
        <v>12</v>
      </c>
      <c r="D2171" s="6" t="str">
        <f>"林芳"</f>
        <v>林芳</v>
      </c>
    </row>
    <row r="2172" spans="1:4" ht="30" customHeight="1">
      <c r="A2172" s="6">
        <v>2170</v>
      </c>
      <c r="B2172" s="6" t="str">
        <f>"508120230421103906138369"</f>
        <v>508120230421103906138369</v>
      </c>
      <c r="C2172" s="6" t="s">
        <v>12</v>
      </c>
      <c r="D2172" s="6" t="str">
        <f>"颜小青"</f>
        <v>颜小青</v>
      </c>
    </row>
    <row r="2173" spans="1:4" ht="30" customHeight="1">
      <c r="A2173" s="6">
        <v>2171</v>
      </c>
      <c r="B2173" s="6" t="str">
        <f>"508120230421100111138277"</f>
        <v>508120230421100111138277</v>
      </c>
      <c r="C2173" s="6" t="s">
        <v>12</v>
      </c>
      <c r="D2173" s="6" t="str">
        <f>"符娜"</f>
        <v>符娜</v>
      </c>
    </row>
    <row r="2174" spans="1:4" ht="30" customHeight="1">
      <c r="A2174" s="6">
        <v>2172</v>
      </c>
      <c r="B2174" s="6" t="str">
        <f>"508120230421104151138378"</f>
        <v>508120230421104151138378</v>
      </c>
      <c r="C2174" s="6" t="s">
        <v>12</v>
      </c>
      <c r="D2174" s="6" t="str">
        <f>"薛昱"</f>
        <v>薛昱</v>
      </c>
    </row>
    <row r="2175" spans="1:4" ht="30" customHeight="1">
      <c r="A2175" s="6">
        <v>2173</v>
      </c>
      <c r="B2175" s="6" t="str">
        <f>"508120230421102206138322"</f>
        <v>508120230421102206138322</v>
      </c>
      <c r="C2175" s="6" t="s">
        <v>12</v>
      </c>
      <c r="D2175" s="6" t="str">
        <f>"张晓"</f>
        <v>张晓</v>
      </c>
    </row>
    <row r="2176" spans="1:4" ht="30" customHeight="1">
      <c r="A2176" s="6">
        <v>2174</v>
      </c>
      <c r="B2176" s="6" t="str">
        <f>"508120230421100629138284"</f>
        <v>508120230421100629138284</v>
      </c>
      <c r="C2176" s="6" t="s">
        <v>12</v>
      </c>
      <c r="D2176" s="6" t="str">
        <f>"邱名岳"</f>
        <v>邱名岳</v>
      </c>
    </row>
    <row r="2177" spans="1:4" ht="30" customHeight="1">
      <c r="A2177" s="6">
        <v>2175</v>
      </c>
      <c r="B2177" s="6" t="str">
        <f>"508120230421105647138410"</f>
        <v>508120230421105647138410</v>
      </c>
      <c r="C2177" s="6" t="s">
        <v>12</v>
      </c>
      <c r="D2177" s="6" t="str">
        <f>"王露婕"</f>
        <v>王露婕</v>
      </c>
    </row>
    <row r="2178" spans="1:4" ht="30" customHeight="1">
      <c r="A2178" s="6">
        <v>2176</v>
      </c>
      <c r="B2178" s="6" t="str">
        <f>"508120230421103500138360"</f>
        <v>508120230421103500138360</v>
      </c>
      <c r="C2178" s="6" t="s">
        <v>12</v>
      </c>
      <c r="D2178" s="6" t="str">
        <f>"黄菁菁"</f>
        <v>黄菁菁</v>
      </c>
    </row>
    <row r="2179" spans="1:4" ht="30" customHeight="1">
      <c r="A2179" s="6">
        <v>2177</v>
      </c>
      <c r="B2179" s="6" t="str">
        <f>"508120230421095241138252"</f>
        <v>508120230421095241138252</v>
      </c>
      <c r="C2179" s="6" t="s">
        <v>12</v>
      </c>
      <c r="D2179" s="6" t="str">
        <f>"刘洗书"</f>
        <v>刘洗书</v>
      </c>
    </row>
    <row r="2180" spans="1:4" ht="30" customHeight="1">
      <c r="A2180" s="6">
        <v>2178</v>
      </c>
      <c r="B2180" s="6" t="str">
        <f>"508120230421100907138293"</f>
        <v>508120230421100907138293</v>
      </c>
      <c r="C2180" s="6" t="s">
        <v>12</v>
      </c>
      <c r="D2180" s="6" t="str">
        <f>"马媛媛"</f>
        <v>马媛媛</v>
      </c>
    </row>
    <row r="2181" spans="1:4" ht="30" customHeight="1">
      <c r="A2181" s="6">
        <v>2179</v>
      </c>
      <c r="B2181" s="6" t="str">
        <f>"508120230421110757138431"</f>
        <v>508120230421110757138431</v>
      </c>
      <c r="C2181" s="6" t="s">
        <v>12</v>
      </c>
      <c r="D2181" s="6" t="str">
        <f>"苏敏"</f>
        <v>苏敏</v>
      </c>
    </row>
    <row r="2182" spans="1:4" ht="30" customHeight="1">
      <c r="A2182" s="6">
        <v>2180</v>
      </c>
      <c r="B2182" s="6" t="str">
        <f>"508120230421095657138263"</f>
        <v>508120230421095657138263</v>
      </c>
      <c r="C2182" s="6" t="s">
        <v>12</v>
      </c>
      <c r="D2182" s="6" t="str">
        <f>"林斯红"</f>
        <v>林斯红</v>
      </c>
    </row>
    <row r="2183" spans="1:4" ht="30" customHeight="1">
      <c r="A2183" s="6">
        <v>2181</v>
      </c>
      <c r="B2183" s="6" t="str">
        <f>"508120230421092544138172"</f>
        <v>508120230421092544138172</v>
      </c>
      <c r="C2183" s="6" t="s">
        <v>12</v>
      </c>
      <c r="D2183" s="6" t="str">
        <f>"黄艳"</f>
        <v>黄艳</v>
      </c>
    </row>
    <row r="2184" spans="1:4" ht="30" customHeight="1">
      <c r="A2184" s="6">
        <v>2182</v>
      </c>
      <c r="B2184" s="6" t="str">
        <f>"508120230421100413138281"</f>
        <v>508120230421100413138281</v>
      </c>
      <c r="C2184" s="6" t="s">
        <v>12</v>
      </c>
      <c r="D2184" s="6" t="str">
        <f>"王惠"</f>
        <v>王惠</v>
      </c>
    </row>
    <row r="2185" spans="1:4" ht="30" customHeight="1">
      <c r="A2185" s="6">
        <v>2183</v>
      </c>
      <c r="B2185" s="6" t="str">
        <f>"508120230421114017138490"</f>
        <v>508120230421114017138490</v>
      </c>
      <c r="C2185" s="6" t="s">
        <v>12</v>
      </c>
      <c r="D2185" s="6" t="str">
        <f>"陈华玲"</f>
        <v>陈华玲</v>
      </c>
    </row>
    <row r="2186" spans="1:4" ht="30" customHeight="1">
      <c r="A2186" s="6">
        <v>2184</v>
      </c>
      <c r="B2186" s="6" t="str">
        <f>"508120230421112843138467"</f>
        <v>508120230421112843138467</v>
      </c>
      <c r="C2186" s="6" t="s">
        <v>12</v>
      </c>
      <c r="D2186" s="6" t="str">
        <f>"黄垂敏"</f>
        <v>黄垂敏</v>
      </c>
    </row>
    <row r="2187" spans="1:4" ht="30" customHeight="1">
      <c r="A2187" s="6">
        <v>2185</v>
      </c>
      <c r="B2187" s="6" t="str">
        <f>"508120230421115727138521"</f>
        <v>508120230421115727138521</v>
      </c>
      <c r="C2187" s="6" t="s">
        <v>12</v>
      </c>
      <c r="D2187" s="6" t="str">
        <f>"王嘉莹"</f>
        <v>王嘉莹</v>
      </c>
    </row>
    <row r="2188" spans="1:4" ht="30" customHeight="1">
      <c r="A2188" s="6">
        <v>2186</v>
      </c>
      <c r="B2188" s="6" t="str">
        <f>"508120230421111450138443"</f>
        <v>508120230421111450138443</v>
      </c>
      <c r="C2188" s="6" t="s">
        <v>12</v>
      </c>
      <c r="D2188" s="6" t="str">
        <f>"孙昌河"</f>
        <v>孙昌河</v>
      </c>
    </row>
    <row r="2189" spans="1:4" ht="30" customHeight="1">
      <c r="A2189" s="6">
        <v>2187</v>
      </c>
      <c r="B2189" s="6" t="str">
        <f>"508120230421121030138536"</f>
        <v>508120230421121030138536</v>
      </c>
      <c r="C2189" s="6" t="s">
        <v>12</v>
      </c>
      <c r="D2189" s="6" t="str">
        <f>"吴多坚"</f>
        <v>吴多坚</v>
      </c>
    </row>
    <row r="2190" spans="1:4" ht="30" customHeight="1">
      <c r="A2190" s="6">
        <v>2188</v>
      </c>
      <c r="B2190" s="6" t="str">
        <f>"508120230421113445138479"</f>
        <v>508120230421113445138479</v>
      </c>
      <c r="C2190" s="6" t="s">
        <v>12</v>
      </c>
      <c r="D2190" s="6" t="str">
        <f>"冉菊慧"</f>
        <v>冉菊慧</v>
      </c>
    </row>
    <row r="2191" spans="1:4" ht="30" customHeight="1">
      <c r="A2191" s="6">
        <v>2189</v>
      </c>
      <c r="B2191" s="6" t="str">
        <f>"508120230421124944138588"</f>
        <v>508120230421124944138588</v>
      </c>
      <c r="C2191" s="6" t="s">
        <v>12</v>
      </c>
      <c r="D2191" s="6" t="str">
        <f>"张年俊"</f>
        <v>张年俊</v>
      </c>
    </row>
    <row r="2192" spans="1:4" ht="30" customHeight="1">
      <c r="A2192" s="6">
        <v>2190</v>
      </c>
      <c r="B2192" s="6" t="str">
        <f>"508120230421123150138567"</f>
        <v>508120230421123150138567</v>
      </c>
      <c r="C2192" s="6" t="s">
        <v>12</v>
      </c>
      <c r="D2192" s="6" t="str">
        <f>"吴怡亭"</f>
        <v>吴怡亭</v>
      </c>
    </row>
    <row r="2193" spans="1:4" ht="30" customHeight="1">
      <c r="A2193" s="6">
        <v>2191</v>
      </c>
      <c r="B2193" s="6" t="str">
        <f>"508120230421130416138596"</f>
        <v>508120230421130416138596</v>
      </c>
      <c r="C2193" s="6" t="s">
        <v>12</v>
      </c>
      <c r="D2193" s="6" t="str">
        <f>"车罗玲"</f>
        <v>车罗玲</v>
      </c>
    </row>
    <row r="2194" spans="1:4" ht="30" customHeight="1">
      <c r="A2194" s="6">
        <v>2192</v>
      </c>
      <c r="B2194" s="6" t="str">
        <f>"508120230421091812138148"</f>
        <v>508120230421091812138148</v>
      </c>
      <c r="C2194" s="6" t="s">
        <v>12</v>
      </c>
      <c r="D2194" s="6" t="str">
        <f>"卓美玲"</f>
        <v>卓美玲</v>
      </c>
    </row>
    <row r="2195" spans="1:4" ht="30" customHeight="1">
      <c r="A2195" s="6">
        <v>2193</v>
      </c>
      <c r="B2195" s="6" t="str">
        <f>"508120230421133419138616"</f>
        <v>508120230421133419138616</v>
      </c>
      <c r="C2195" s="6" t="s">
        <v>12</v>
      </c>
      <c r="D2195" s="6" t="str">
        <f>"吴海桂"</f>
        <v>吴海桂</v>
      </c>
    </row>
    <row r="2196" spans="1:4" ht="30" customHeight="1">
      <c r="A2196" s="6">
        <v>2194</v>
      </c>
      <c r="B2196" s="6" t="str">
        <f>"508120230421101528138304"</f>
        <v>508120230421101528138304</v>
      </c>
      <c r="C2196" s="6" t="s">
        <v>12</v>
      </c>
      <c r="D2196" s="6" t="str">
        <f>"吴巨猷"</f>
        <v>吴巨猷</v>
      </c>
    </row>
    <row r="2197" spans="1:4" ht="30" customHeight="1">
      <c r="A2197" s="6">
        <v>2195</v>
      </c>
      <c r="B2197" s="6" t="str">
        <f>"508120230421140057138635"</f>
        <v>508120230421140057138635</v>
      </c>
      <c r="C2197" s="6" t="s">
        <v>12</v>
      </c>
      <c r="D2197" s="6" t="str">
        <f>"尹杰琦"</f>
        <v>尹杰琦</v>
      </c>
    </row>
    <row r="2198" spans="1:4" ht="30" customHeight="1">
      <c r="A2198" s="6">
        <v>2196</v>
      </c>
      <c r="B2198" s="6" t="str">
        <f>"508120230421140807138640"</f>
        <v>508120230421140807138640</v>
      </c>
      <c r="C2198" s="6" t="s">
        <v>12</v>
      </c>
      <c r="D2198" s="6" t="str">
        <f>"符小娜"</f>
        <v>符小娜</v>
      </c>
    </row>
    <row r="2199" spans="1:4" ht="30" customHeight="1">
      <c r="A2199" s="6">
        <v>2197</v>
      </c>
      <c r="B2199" s="6" t="str">
        <f>"508120230421115238138516"</f>
        <v>508120230421115238138516</v>
      </c>
      <c r="C2199" s="6" t="s">
        <v>12</v>
      </c>
      <c r="D2199" s="6" t="str">
        <f>"李兰"</f>
        <v>李兰</v>
      </c>
    </row>
    <row r="2200" spans="1:4" ht="30" customHeight="1">
      <c r="A2200" s="6">
        <v>2198</v>
      </c>
      <c r="B2200" s="6" t="str">
        <f>"508120230421092539138171"</f>
        <v>508120230421092539138171</v>
      </c>
      <c r="C2200" s="6" t="s">
        <v>12</v>
      </c>
      <c r="D2200" s="6" t="str">
        <f>"陈云雨"</f>
        <v>陈云雨</v>
      </c>
    </row>
    <row r="2201" spans="1:4" ht="30" customHeight="1">
      <c r="A2201" s="6">
        <v>2199</v>
      </c>
      <c r="B2201" s="6" t="str">
        <f>"508120230421113912138488"</f>
        <v>508120230421113912138488</v>
      </c>
      <c r="C2201" s="6" t="s">
        <v>12</v>
      </c>
      <c r="D2201" s="6" t="str">
        <f>"陈琳"</f>
        <v>陈琳</v>
      </c>
    </row>
    <row r="2202" spans="1:4" ht="30" customHeight="1">
      <c r="A2202" s="6">
        <v>2200</v>
      </c>
      <c r="B2202" s="6" t="str">
        <f>"508120230421093207138186"</f>
        <v>508120230421093207138186</v>
      </c>
      <c r="C2202" s="6" t="s">
        <v>12</v>
      </c>
      <c r="D2202" s="6" t="str">
        <f>"王经菲"</f>
        <v>王经菲</v>
      </c>
    </row>
    <row r="2203" spans="1:4" ht="30" customHeight="1">
      <c r="A2203" s="6">
        <v>2201</v>
      </c>
      <c r="B2203" s="6" t="str">
        <f>"508120230421144007138676"</f>
        <v>508120230421144007138676</v>
      </c>
      <c r="C2203" s="6" t="s">
        <v>12</v>
      </c>
      <c r="D2203" s="6" t="str">
        <f>"麦金枝"</f>
        <v>麦金枝</v>
      </c>
    </row>
    <row r="2204" spans="1:4" ht="30" customHeight="1">
      <c r="A2204" s="6">
        <v>2202</v>
      </c>
      <c r="B2204" s="6" t="str">
        <f>"508120230421114135138495"</f>
        <v>508120230421114135138495</v>
      </c>
      <c r="C2204" s="6" t="s">
        <v>12</v>
      </c>
      <c r="D2204" s="6" t="str">
        <f>"江蕾"</f>
        <v>江蕾</v>
      </c>
    </row>
    <row r="2205" spans="1:4" ht="30" customHeight="1">
      <c r="A2205" s="6">
        <v>2203</v>
      </c>
      <c r="B2205" s="6" t="str">
        <f>"508120230421150704138720"</f>
        <v>508120230421150704138720</v>
      </c>
      <c r="C2205" s="6" t="s">
        <v>12</v>
      </c>
      <c r="D2205" s="6" t="str">
        <f>"黎妍"</f>
        <v>黎妍</v>
      </c>
    </row>
    <row r="2206" spans="1:4" ht="30" customHeight="1">
      <c r="A2206" s="6">
        <v>2204</v>
      </c>
      <c r="B2206" s="6" t="str">
        <f>"508120230421145929138706"</f>
        <v>508120230421145929138706</v>
      </c>
      <c r="C2206" s="6" t="s">
        <v>12</v>
      </c>
      <c r="D2206" s="6" t="str">
        <f>"卓小娜"</f>
        <v>卓小娜</v>
      </c>
    </row>
    <row r="2207" spans="1:4" ht="30" customHeight="1">
      <c r="A2207" s="6">
        <v>2205</v>
      </c>
      <c r="B2207" s="6" t="str">
        <f>"508120230421143428138667"</f>
        <v>508120230421143428138667</v>
      </c>
      <c r="C2207" s="6" t="s">
        <v>12</v>
      </c>
      <c r="D2207" s="6" t="str">
        <f>"羊瑞华"</f>
        <v>羊瑞华</v>
      </c>
    </row>
    <row r="2208" spans="1:4" ht="30" customHeight="1">
      <c r="A2208" s="6">
        <v>2206</v>
      </c>
      <c r="B2208" s="6" t="str">
        <f>"508120230421150925138727"</f>
        <v>508120230421150925138727</v>
      </c>
      <c r="C2208" s="6" t="s">
        <v>12</v>
      </c>
      <c r="D2208" s="6" t="str">
        <f>"邓玉凤"</f>
        <v>邓玉凤</v>
      </c>
    </row>
    <row r="2209" spans="1:4" ht="30" customHeight="1">
      <c r="A2209" s="6">
        <v>2207</v>
      </c>
      <c r="B2209" s="6" t="str">
        <f>"508120230421105648138411"</f>
        <v>508120230421105648138411</v>
      </c>
      <c r="C2209" s="6" t="s">
        <v>12</v>
      </c>
      <c r="D2209" s="6" t="str">
        <f>"张保旺"</f>
        <v>张保旺</v>
      </c>
    </row>
    <row r="2210" spans="1:4" ht="30" customHeight="1">
      <c r="A2210" s="6">
        <v>2208</v>
      </c>
      <c r="B2210" s="6" t="str">
        <f>"508120230421113155138473"</f>
        <v>508120230421113155138473</v>
      </c>
      <c r="C2210" s="6" t="s">
        <v>12</v>
      </c>
      <c r="D2210" s="6" t="str">
        <f>"冯春夏"</f>
        <v>冯春夏</v>
      </c>
    </row>
    <row r="2211" spans="1:4" ht="30" customHeight="1">
      <c r="A2211" s="6">
        <v>2209</v>
      </c>
      <c r="B2211" s="6" t="str">
        <f>"508120230421153753138775"</f>
        <v>508120230421153753138775</v>
      </c>
      <c r="C2211" s="6" t="s">
        <v>12</v>
      </c>
      <c r="D2211" s="6" t="str">
        <f>"李密"</f>
        <v>李密</v>
      </c>
    </row>
    <row r="2212" spans="1:4" ht="30" customHeight="1">
      <c r="A2212" s="6">
        <v>2210</v>
      </c>
      <c r="B2212" s="6" t="str">
        <f>"508120230421105647138409"</f>
        <v>508120230421105647138409</v>
      </c>
      <c r="C2212" s="6" t="s">
        <v>12</v>
      </c>
      <c r="D2212" s="6" t="str">
        <f>"蔡爱芳"</f>
        <v>蔡爱芳</v>
      </c>
    </row>
    <row r="2213" spans="1:4" ht="30" customHeight="1">
      <c r="A2213" s="6">
        <v>2211</v>
      </c>
      <c r="B2213" s="6" t="str">
        <f>"508120230421095940138268"</f>
        <v>508120230421095940138268</v>
      </c>
      <c r="C2213" s="6" t="s">
        <v>12</v>
      </c>
      <c r="D2213" s="6" t="str">
        <f>"许秀英"</f>
        <v>许秀英</v>
      </c>
    </row>
    <row r="2214" spans="1:4" ht="30" customHeight="1">
      <c r="A2214" s="6">
        <v>2212</v>
      </c>
      <c r="B2214" s="6" t="str">
        <f>"508120230421091354138134"</f>
        <v>508120230421091354138134</v>
      </c>
      <c r="C2214" s="6" t="s">
        <v>12</v>
      </c>
      <c r="D2214" s="6" t="str">
        <f>"柳艺"</f>
        <v>柳艺</v>
      </c>
    </row>
    <row r="2215" spans="1:4" ht="30" customHeight="1">
      <c r="A2215" s="6">
        <v>2213</v>
      </c>
      <c r="B2215" s="6" t="str">
        <f>"508120230421155337138797"</f>
        <v>508120230421155337138797</v>
      </c>
      <c r="C2215" s="6" t="s">
        <v>12</v>
      </c>
      <c r="D2215" s="6" t="str">
        <f>"林彩虹"</f>
        <v>林彩虹</v>
      </c>
    </row>
    <row r="2216" spans="1:4" ht="30" customHeight="1">
      <c r="A2216" s="6">
        <v>2214</v>
      </c>
      <c r="B2216" s="6" t="str">
        <f>"508120230421113010138469"</f>
        <v>508120230421113010138469</v>
      </c>
      <c r="C2216" s="6" t="s">
        <v>12</v>
      </c>
      <c r="D2216" s="6" t="str">
        <f>"张勇"</f>
        <v>张勇</v>
      </c>
    </row>
    <row r="2217" spans="1:4" ht="30" customHeight="1">
      <c r="A2217" s="6">
        <v>2215</v>
      </c>
      <c r="B2217" s="6" t="str">
        <f>"508120230421161220138826"</f>
        <v>508120230421161220138826</v>
      </c>
      <c r="C2217" s="6" t="s">
        <v>12</v>
      </c>
      <c r="D2217" s="6" t="str">
        <f>"王微霞"</f>
        <v>王微霞</v>
      </c>
    </row>
    <row r="2218" spans="1:4" ht="30" customHeight="1">
      <c r="A2218" s="6">
        <v>2216</v>
      </c>
      <c r="B2218" s="6" t="str">
        <f>"508120230421154338138781"</f>
        <v>508120230421154338138781</v>
      </c>
      <c r="C2218" s="6" t="s">
        <v>12</v>
      </c>
      <c r="D2218" s="6" t="str">
        <f>"周婕"</f>
        <v>周婕</v>
      </c>
    </row>
    <row r="2219" spans="1:4" ht="30" customHeight="1">
      <c r="A2219" s="6">
        <v>2217</v>
      </c>
      <c r="B2219" s="6" t="str">
        <f>"508120230421150207138709"</f>
        <v>508120230421150207138709</v>
      </c>
      <c r="C2219" s="6" t="s">
        <v>12</v>
      </c>
      <c r="D2219" s="6" t="str">
        <f>"王立旭"</f>
        <v>王立旭</v>
      </c>
    </row>
    <row r="2220" spans="1:4" ht="30" customHeight="1">
      <c r="A2220" s="6">
        <v>2218</v>
      </c>
      <c r="B2220" s="6" t="str">
        <f>"508120230421153150138763"</f>
        <v>508120230421153150138763</v>
      </c>
      <c r="C2220" s="6" t="s">
        <v>12</v>
      </c>
      <c r="D2220" s="6" t="str">
        <f>"吴小妹"</f>
        <v>吴小妹</v>
      </c>
    </row>
    <row r="2221" spans="1:4" ht="30" customHeight="1">
      <c r="A2221" s="6">
        <v>2219</v>
      </c>
      <c r="B2221" s="6" t="str">
        <f>"508120230421110637138428"</f>
        <v>508120230421110637138428</v>
      </c>
      <c r="C2221" s="6" t="s">
        <v>12</v>
      </c>
      <c r="D2221" s="6" t="str">
        <f>"蔡佳玲"</f>
        <v>蔡佳玲</v>
      </c>
    </row>
    <row r="2222" spans="1:4" ht="30" customHeight="1">
      <c r="A2222" s="6">
        <v>2220</v>
      </c>
      <c r="B2222" s="6" t="str">
        <f>"508120230421162230138841"</f>
        <v>508120230421162230138841</v>
      </c>
      <c r="C2222" s="6" t="s">
        <v>12</v>
      </c>
      <c r="D2222" s="6" t="str">
        <f>"王转姑"</f>
        <v>王转姑</v>
      </c>
    </row>
    <row r="2223" spans="1:4" ht="30" customHeight="1">
      <c r="A2223" s="6">
        <v>2221</v>
      </c>
      <c r="B2223" s="6" t="str">
        <f>"508120230421154254138780"</f>
        <v>508120230421154254138780</v>
      </c>
      <c r="C2223" s="6" t="s">
        <v>12</v>
      </c>
      <c r="D2223" s="6" t="str">
        <f>"李祥瑞"</f>
        <v>李祥瑞</v>
      </c>
    </row>
    <row r="2224" spans="1:4" ht="30" customHeight="1">
      <c r="A2224" s="6">
        <v>2222</v>
      </c>
      <c r="B2224" s="6" t="str">
        <f>"508120230421115039138511"</f>
        <v>508120230421115039138511</v>
      </c>
      <c r="C2224" s="6" t="s">
        <v>12</v>
      </c>
      <c r="D2224" s="6" t="str">
        <f>"吴清岸"</f>
        <v>吴清岸</v>
      </c>
    </row>
    <row r="2225" spans="1:4" ht="30" customHeight="1">
      <c r="A2225" s="6">
        <v>2223</v>
      </c>
      <c r="B2225" s="6" t="str">
        <f>"508120230421164241138865"</f>
        <v>508120230421164241138865</v>
      </c>
      <c r="C2225" s="6" t="s">
        <v>12</v>
      </c>
      <c r="D2225" s="6" t="str">
        <f>"周俊慧"</f>
        <v>周俊慧</v>
      </c>
    </row>
    <row r="2226" spans="1:4" ht="30" customHeight="1">
      <c r="A2226" s="6">
        <v>2224</v>
      </c>
      <c r="B2226" s="6" t="str">
        <f>"508120230421162301138842"</f>
        <v>508120230421162301138842</v>
      </c>
      <c r="C2226" s="6" t="s">
        <v>12</v>
      </c>
      <c r="D2226" s="6" t="str">
        <f>"周唐姝"</f>
        <v>周唐姝</v>
      </c>
    </row>
    <row r="2227" spans="1:4" ht="30" customHeight="1">
      <c r="A2227" s="6">
        <v>2225</v>
      </c>
      <c r="B2227" s="6" t="str">
        <f>"508120230421120343138531"</f>
        <v>508120230421120343138531</v>
      </c>
      <c r="C2227" s="6" t="s">
        <v>12</v>
      </c>
      <c r="D2227" s="6" t="str">
        <f>"吴清仙"</f>
        <v>吴清仙</v>
      </c>
    </row>
    <row r="2228" spans="1:4" ht="30" customHeight="1">
      <c r="A2228" s="6">
        <v>2226</v>
      </c>
      <c r="B2228" s="6" t="str">
        <f>"508120230421165513138883"</f>
        <v>508120230421165513138883</v>
      </c>
      <c r="C2228" s="6" t="s">
        <v>12</v>
      </c>
      <c r="D2228" s="6" t="str">
        <f>"陈美玲"</f>
        <v>陈美玲</v>
      </c>
    </row>
    <row r="2229" spans="1:4" ht="30" customHeight="1">
      <c r="A2229" s="6">
        <v>2227</v>
      </c>
      <c r="B2229" s="6" t="str">
        <f>"508120230421152452138747"</f>
        <v>508120230421152452138747</v>
      </c>
      <c r="C2229" s="6" t="s">
        <v>12</v>
      </c>
      <c r="D2229" s="6" t="str">
        <f>"伍春花"</f>
        <v>伍春花</v>
      </c>
    </row>
    <row r="2230" spans="1:4" ht="30" customHeight="1">
      <c r="A2230" s="6">
        <v>2228</v>
      </c>
      <c r="B2230" s="6" t="str">
        <f>"508120230421170909138900"</f>
        <v>508120230421170909138900</v>
      </c>
      <c r="C2230" s="6" t="s">
        <v>12</v>
      </c>
      <c r="D2230" s="6" t="str">
        <f>"关虹肖"</f>
        <v>关虹肖</v>
      </c>
    </row>
    <row r="2231" spans="1:4" ht="30" customHeight="1">
      <c r="A2231" s="6">
        <v>2229</v>
      </c>
      <c r="B2231" s="6" t="str">
        <f>"508120230421170533138890"</f>
        <v>508120230421170533138890</v>
      </c>
      <c r="C2231" s="6" t="s">
        <v>12</v>
      </c>
      <c r="D2231" s="6" t="str">
        <f>"林金花"</f>
        <v>林金花</v>
      </c>
    </row>
    <row r="2232" spans="1:4" ht="30" customHeight="1">
      <c r="A2232" s="6">
        <v>2230</v>
      </c>
      <c r="B2232" s="6" t="str">
        <f>"508120230421172108138913"</f>
        <v>508120230421172108138913</v>
      </c>
      <c r="C2232" s="6" t="s">
        <v>12</v>
      </c>
      <c r="D2232" s="6" t="str">
        <f>"周孟莹"</f>
        <v>周孟莹</v>
      </c>
    </row>
    <row r="2233" spans="1:4" ht="30" customHeight="1">
      <c r="A2233" s="6">
        <v>2231</v>
      </c>
      <c r="B2233" s="6" t="str">
        <f>"508120230421171020138902"</f>
        <v>508120230421171020138902</v>
      </c>
      <c r="C2233" s="6" t="s">
        <v>12</v>
      </c>
      <c r="D2233" s="6" t="str">
        <f>"纪婷婷"</f>
        <v>纪婷婷</v>
      </c>
    </row>
    <row r="2234" spans="1:4" ht="30" customHeight="1">
      <c r="A2234" s="6">
        <v>2232</v>
      </c>
      <c r="B2234" s="6" t="str">
        <f>"508120230421140223138636"</f>
        <v>508120230421140223138636</v>
      </c>
      <c r="C2234" s="6" t="s">
        <v>12</v>
      </c>
      <c r="D2234" s="6" t="str">
        <f>"吉晶晶"</f>
        <v>吉晶晶</v>
      </c>
    </row>
    <row r="2235" spans="1:4" ht="30" customHeight="1">
      <c r="A2235" s="6">
        <v>2233</v>
      </c>
      <c r="B2235" s="6" t="str">
        <f>"508120230421173100138926"</f>
        <v>508120230421173100138926</v>
      </c>
      <c r="C2235" s="6" t="s">
        <v>12</v>
      </c>
      <c r="D2235" s="6" t="str">
        <f>"郭雯娟"</f>
        <v>郭雯娟</v>
      </c>
    </row>
    <row r="2236" spans="1:4" ht="30" customHeight="1">
      <c r="A2236" s="6">
        <v>2234</v>
      </c>
      <c r="B2236" s="6" t="str">
        <f>"508120230421110320138422"</f>
        <v>508120230421110320138422</v>
      </c>
      <c r="C2236" s="6" t="s">
        <v>12</v>
      </c>
      <c r="D2236" s="6" t="str">
        <f>"王钰文"</f>
        <v>王钰文</v>
      </c>
    </row>
    <row r="2237" spans="1:4" ht="30" customHeight="1">
      <c r="A2237" s="6">
        <v>2235</v>
      </c>
      <c r="B2237" s="6" t="str">
        <f>"508120230421174253138933"</f>
        <v>508120230421174253138933</v>
      </c>
      <c r="C2237" s="6" t="s">
        <v>12</v>
      </c>
      <c r="D2237" s="6" t="str">
        <f>"杨惠景"</f>
        <v>杨惠景</v>
      </c>
    </row>
    <row r="2238" spans="1:4" ht="30" customHeight="1">
      <c r="A2238" s="6">
        <v>2236</v>
      </c>
      <c r="B2238" s="6" t="str">
        <f>"508120230421092807138178"</f>
        <v>508120230421092807138178</v>
      </c>
      <c r="C2238" s="6" t="s">
        <v>12</v>
      </c>
      <c r="D2238" s="6" t="str">
        <f>"王玉玲"</f>
        <v>王玉玲</v>
      </c>
    </row>
    <row r="2239" spans="1:4" ht="30" customHeight="1">
      <c r="A2239" s="6">
        <v>2237</v>
      </c>
      <c r="B2239" s="6" t="str">
        <f>"508120230421174711138938"</f>
        <v>508120230421174711138938</v>
      </c>
      <c r="C2239" s="6" t="s">
        <v>12</v>
      </c>
      <c r="D2239" s="6" t="str">
        <f>"文影影"</f>
        <v>文影影</v>
      </c>
    </row>
    <row r="2240" spans="1:4" ht="30" customHeight="1">
      <c r="A2240" s="6">
        <v>2238</v>
      </c>
      <c r="B2240" s="6" t="str">
        <f>"508120230421175037138944"</f>
        <v>508120230421175037138944</v>
      </c>
      <c r="C2240" s="6" t="s">
        <v>12</v>
      </c>
      <c r="D2240" s="6" t="str">
        <f>"吕媚"</f>
        <v>吕媚</v>
      </c>
    </row>
    <row r="2241" spans="1:4" ht="30" customHeight="1">
      <c r="A2241" s="6">
        <v>2239</v>
      </c>
      <c r="B2241" s="6" t="str">
        <f>"508120230421163304138856"</f>
        <v>508120230421163304138856</v>
      </c>
      <c r="C2241" s="6" t="s">
        <v>12</v>
      </c>
      <c r="D2241" s="6" t="str">
        <f>"冯朝曦"</f>
        <v>冯朝曦</v>
      </c>
    </row>
    <row r="2242" spans="1:4" ht="30" customHeight="1">
      <c r="A2242" s="6">
        <v>2240</v>
      </c>
      <c r="B2242" s="6" t="str">
        <f>"508120230421175142138946"</f>
        <v>508120230421175142138946</v>
      </c>
      <c r="C2242" s="6" t="s">
        <v>12</v>
      </c>
      <c r="D2242" s="6" t="str">
        <f>"韩焕芳"</f>
        <v>韩焕芳</v>
      </c>
    </row>
    <row r="2243" spans="1:4" ht="30" customHeight="1">
      <c r="A2243" s="6">
        <v>2241</v>
      </c>
      <c r="B2243" s="6" t="str">
        <f>"508120230421190837139001"</f>
        <v>508120230421190837139001</v>
      </c>
      <c r="C2243" s="6" t="s">
        <v>12</v>
      </c>
      <c r="D2243" s="6" t="str">
        <f>"吴芳玲"</f>
        <v>吴芳玲</v>
      </c>
    </row>
    <row r="2244" spans="1:4" ht="30" customHeight="1">
      <c r="A2244" s="6">
        <v>2242</v>
      </c>
      <c r="B2244" s="6" t="str">
        <f>"508120230421135240138630"</f>
        <v>508120230421135240138630</v>
      </c>
      <c r="C2244" s="6" t="s">
        <v>12</v>
      </c>
      <c r="D2244" s="6" t="str">
        <f>"杨令捷"</f>
        <v>杨令捷</v>
      </c>
    </row>
    <row r="2245" spans="1:4" ht="30" customHeight="1">
      <c r="A2245" s="6">
        <v>2243</v>
      </c>
      <c r="B2245" s="6" t="str">
        <f>"508120230421092144138158"</f>
        <v>508120230421092144138158</v>
      </c>
      <c r="C2245" s="6" t="s">
        <v>12</v>
      </c>
      <c r="D2245" s="6" t="str">
        <f>"吴欣"</f>
        <v>吴欣</v>
      </c>
    </row>
    <row r="2246" spans="1:4" ht="30" customHeight="1">
      <c r="A2246" s="6">
        <v>2244</v>
      </c>
      <c r="B2246" s="6" t="str">
        <f>"508120230421194044139019"</f>
        <v>508120230421194044139019</v>
      </c>
      <c r="C2246" s="6" t="s">
        <v>12</v>
      </c>
      <c r="D2246" s="6" t="str">
        <f>"罗佳欣"</f>
        <v>罗佳欣</v>
      </c>
    </row>
    <row r="2247" spans="1:4" ht="30" customHeight="1">
      <c r="A2247" s="6">
        <v>2245</v>
      </c>
      <c r="B2247" s="6" t="str">
        <f>"508120230421160112138807"</f>
        <v>508120230421160112138807</v>
      </c>
      <c r="C2247" s="6" t="s">
        <v>12</v>
      </c>
      <c r="D2247" s="6" t="str">
        <f>"吴凯"</f>
        <v>吴凯</v>
      </c>
    </row>
    <row r="2248" spans="1:4" ht="30" customHeight="1">
      <c r="A2248" s="6">
        <v>2246</v>
      </c>
      <c r="B2248" s="6" t="str">
        <f>"508120230421201120139040"</f>
        <v>508120230421201120139040</v>
      </c>
      <c r="C2248" s="6" t="s">
        <v>12</v>
      </c>
      <c r="D2248" s="6" t="str">
        <f>"杨宇翔"</f>
        <v>杨宇翔</v>
      </c>
    </row>
    <row r="2249" spans="1:4" ht="30" customHeight="1">
      <c r="A2249" s="6">
        <v>2247</v>
      </c>
      <c r="B2249" s="6" t="str">
        <f>"508120230421203120139054"</f>
        <v>508120230421203120139054</v>
      </c>
      <c r="C2249" s="6" t="s">
        <v>12</v>
      </c>
      <c r="D2249" s="6" t="str">
        <f>"冉胜男"</f>
        <v>冉胜男</v>
      </c>
    </row>
    <row r="2250" spans="1:4" ht="30" customHeight="1">
      <c r="A2250" s="6">
        <v>2248</v>
      </c>
      <c r="B2250" s="6" t="str">
        <f>"508120230421204458139061"</f>
        <v>508120230421204458139061</v>
      </c>
      <c r="C2250" s="6" t="s">
        <v>12</v>
      </c>
      <c r="D2250" s="6" t="str">
        <f>"李真"</f>
        <v>李真</v>
      </c>
    </row>
    <row r="2251" spans="1:4" ht="30" customHeight="1">
      <c r="A2251" s="6">
        <v>2249</v>
      </c>
      <c r="B2251" s="6" t="str">
        <f>"508120230421183612138981"</f>
        <v>508120230421183612138981</v>
      </c>
      <c r="C2251" s="6" t="s">
        <v>12</v>
      </c>
      <c r="D2251" s="6" t="str">
        <f>"范营营"</f>
        <v>范营营</v>
      </c>
    </row>
    <row r="2252" spans="1:4" ht="30" customHeight="1">
      <c r="A2252" s="6">
        <v>2250</v>
      </c>
      <c r="B2252" s="6" t="str">
        <f>"508120230421115654138520"</f>
        <v>508120230421115654138520</v>
      </c>
      <c r="C2252" s="6" t="s">
        <v>12</v>
      </c>
      <c r="D2252" s="6" t="str">
        <f>"王品熙"</f>
        <v>王品熙</v>
      </c>
    </row>
    <row r="2253" spans="1:4" ht="30" customHeight="1">
      <c r="A2253" s="6">
        <v>2251</v>
      </c>
      <c r="B2253" s="6" t="str">
        <f>"508120230421130149138595"</f>
        <v>508120230421130149138595</v>
      </c>
      <c r="C2253" s="6" t="s">
        <v>12</v>
      </c>
      <c r="D2253" s="6" t="str">
        <f>"王来姑"</f>
        <v>王来姑</v>
      </c>
    </row>
    <row r="2254" spans="1:4" ht="30" customHeight="1">
      <c r="A2254" s="6">
        <v>2252</v>
      </c>
      <c r="B2254" s="6" t="str">
        <f>"508120230421212809139080"</f>
        <v>508120230421212809139080</v>
      </c>
      <c r="C2254" s="6" t="s">
        <v>12</v>
      </c>
      <c r="D2254" s="6" t="str">
        <f>"高学寒"</f>
        <v>高学寒</v>
      </c>
    </row>
    <row r="2255" spans="1:4" ht="30" customHeight="1">
      <c r="A2255" s="6">
        <v>2253</v>
      </c>
      <c r="B2255" s="6" t="str">
        <f>"508120230421212320139078"</f>
        <v>508120230421212320139078</v>
      </c>
      <c r="C2255" s="6" t="s">
        <v>12</v>
      </c>
      <c r="D2255" s="6" t="str">
        <f>"符冰"</f>
        <v>符冰</v>
      </c>
    </row>
    <row r="2256" spans="1:4" ht="30" customHeight="1">
      <c r="A2256" s="6">
        <v>2254</v>
      </c>
      <c r="B2256" s="6" t="str">
        <f>"508120230421214253139086"</f>
        <v>508120230421214253139086</v>
      </c>
      <c r="C2256" s="6" t="s">
        <v>12</v>
      </c>
      <c r="D2256" s="6" t="str">
        <f>"赵兴国"</f>
        <v>赵兴国</v>
      </c>
    </row>
    <row r="2257" spans="1:4" ht="30" customHeight="1">
      <c r="A2257" s="6">
        <v>2255</v>
      </c>
      <c r="B2257" s="6" t="str">
        <f>"508120230421102957138348"</f>
        <v>508120230421102957138348</v>
      </c>
      <c r="C2257" s="6" t="s">
        <v>12</v>
      </c>
      <c r="D2257" s="6" t="str">
        <f>"王敏"</f>
        <v>王敏</v>
      </c>
    </row>
    <row r="2258" spans="1:4" ht="30" customHeight="1">
      <c r="A2258" s="6">
        <v>2256</v>
      </c>
      <c r="B2258" s="6" t="str">
        <f>"508120230421222437139108"</f>
        <v>508120230421222437139108</v>
      </c>
      <c r="C2258" s="6" t="s">
        <v>12</v>
      </c>
      <c r="D2258" s="6" t="str">
        <f>"符玉秋"</f>
        <v>符玉秋</v>
      </c>
    </row>
    <row r="2259" spans="1:4" ht="30" customHeight="1">
      <c r="A2259" s="6">
        <v>2257</v>
      </c>
      <c r="B2259" s="6" t="str">
        <f>"508120230421222004139105"</f>
        <v>508120230421222004139105</v>
      </c>
      <c r="C2259" s="6" t="s">
        <v>12</v>
      </c>
      <c r="D2259" s="6" t="str">
        <f>"黄达鸣"</f>
        <v>黄达鸣</v>
      </c>
    </row>
    <row r="2260" spans="1:4" ht="30" customHeight="1">
      <c r="A2260" s="6">
        <v>2258</v>
      </c>
      <c r="B2260" s="6" t="str">
        <f>"508120230422082733139168"</f>
        <v>508120230422082733139168</v>
      </c>
      <c r="C2260" s="6" t="s">
        <v>12</v>
      </c>
      <c r="D2260" s="6" t="str">
        <f>"陈红日"</f>
        <v>陈红日</v>
      </c>
    </row>
    <row r="2261" spans="1:4" ht="30" customHeight="1">
      <c r="A2261" s="6">
        <v>2259</v>
      </c>
      <c r="B2261" s="6" t="str">
        <f>"508120230422084548139171"</f>
        <v>508120230422084548139171</v>
      </c>
      <c r="C2261" s="6" t="s">
        <v>12</v>
      </c>
      <c r="D2261" s="6" t="str">
        <f>"陈柳伶"</f>
        <v>陈柳伶</v>
      </c>
    </row>
    <row r="2262" spans="1:4" ht="30" customHeight="1">
      <c r="A2262" s="6">
        <v>2260</v>
      </c>
      <c r="B2262" s="6" t="str">
        <f>"508120230422095112139203"</f>
        <v>508120230422095112139203</v>
      </c>
      <c r="C2262" s="6" t="s">
        <v>12</v>
      </c>
      <c r="D2262" s="6" t="str">
        <f>"李立娜"</f>
        <v>李立娜</v>
      </c>
    </row>
    <row r="2263" spans="1:4" ht="30" customHeight="1">
      <c r="A2263" s="6">
        <v>2261</v>
      </c>
      <c r="B2263" s="6" t="str">
        <f>"508120230421092426138166"</f>
        <v>508120230421092426138166</v>
      </c>
      <c r="C2263" s="6" t="s">
        <v>12</v>
      </c>
      <c r="D2263" s="6" t="str">
        <f>"万乙洁"</f>
        <v>万乙洁</v>
      </c>
    </row>
    <row r="2264" spans="1:4" ht="30" customHeight="1">
      <c r="A2264" s="6">
        <v>2262</v>
      </c>
      <c r="B2264" s="6" t="str">
        <f>"508120230422104156139229"</f>
        <v>508120230422104156139229</v>
      </c>
      <c r="C2264" s="6" t="s">
        <v>12</v>
      </c>
      <c r="D2264" s="6" t="str">
        <f>"郭俊宏"</f>
        <v>郭俊宏</v>
      </c>
    </row>
    <row r="2265" spans="1:4" ht="30" customHeight="1">
      <c r="A2265" s="6">
        <v>2263</v>
      </c>
      <c r="B2265" s="6" t="str">
        <f>"508120230422101501139214"</f>
        <v>508120230422101501139214</v>
      </c>
      <c r="C2265" s="6" t="s">
        <v>12</v>
      </c>
      <c r="D2265" s="6" t="str">
        <f>"郭伟"</f>
        <v>郭伟</v>
      </c>
    </row>
    <row r="2266" spans="1:4" ht="30" customHeight="1">
      <c r="A2266" s="6">
        <v>2264</v>
      </c>
      <c r="B2266" s="6" t="str">
        <f>"508120230421132151138608"</f>
        <v>508120230421132151138608</v>
      </c>
      <c r="C2266" s="6" t="s">
        <v>12</v>
      </c>
      <c r="D2266" s="6" t="str">
        <f>"陈海婕"</f>
        <v>陈海婕</v>
      </c>
    </row>
    <row r="2267" spans="1:4" ht="30" customHeight="1">
      <c r="A2267" s="6">
        <v>2265</v>
      </c>
      <c r="B2267" s="6" t="str">
        <f>"508120230421145645138698"</f>
        <v>508120230421145645138698</v>
      </c>
      <c r="C2267" s="6" t="s">
        <v>12</v>
      </c>
      <c r="D2267" s="6" t="str">
        <f>"陈丹丽"</f>
        <v>陈丹丽</v>
      </c>
    </row>
    <row r="2268" spans="1:4" ht="30" customHeight="1">
      <c r="A2268" s="6">
        <v>2266</v>
      </c>
      <c r="B2268" s="6" t="str">
        <f>"508120230422103529139226"</f>
        <v>508120230422103529139226</v>
      </c>
      <c r="C2268" s="6" t="s">
        <v>12</v>
      </c>
      <c r="D2268" s="6" t="str">
        <f>"李婷"</f>
        <v>李婷</v>
      </c>
    </row>
    <row r="2269" spans="1:4" ht="30" customHeight="1">
      <c r="A2269" s="6">
        <v>2267</v>
      </c>
      <c r="B2269" s="6" t="str">
        <f>"508120230422104406139232"</f>
        <v>508120230422104406139232</v>
      </c>
      <c r="C2269" s="6" t="s">
        <v>12</v>
      </c>
      <c r="D2269" s="6" t="str">
        <f>"蔡於顿"</f>
        <v>蔡於顿</v>
      </c>
    </row>
    <row r="2270" spans="1:4" ht="30" customHeight="1">
      <c r="A2270" s="6">
        <v>2268</v>
      </c>
      <c r="B2270" s="6" t="str">
        <f>"508120230422095409139204"</f>
        <v>508120230422095409139204</v>
      </c>
      <c r="C2270" s="6" t="s">
        <v>12</v>
      </c>
      <c r="D2270" s="6" t="str">
        <f>"单丽佳"</f>
        <v>单丽佳</v>
      </c>
    </row>
    <row r="2271" spans="1:4" ht="30" customHeight="1">
      <c r="A2271" s="6">
        <v>2269</v>
      </c>
      <c r="B2271" s="6" t="str">
        <f>"508120230421090902138113"</f>
        <v>508120230421090902138113</v>
      </c>
      <c r="C2271" s="6" t="s">
        <v>12</v>
      </c>
      <c r="D2271" s="6" t="str">
        <f>"肖万立"</f>
        <v>肖万立</v>
      </c>
    </row>
    <row r="2272" spans="1:4" ht="30" customHeight="1">
      <c r="A2272" s="6">
        <v>2270</v>
      </c>
      <c r="B2272" s="6" t="str">
        <f>"508120230421171732138911"</f>
        <v>508120230421171732138911</v>
      </c>
      <c r="C2272" s="6" t="s">
        <v>12</v>
      </c>
      <c r="D2272" s="6" t="str">
        <f>"卢兴冰"</f>
        <v>卢兴冰</v>
      </c>
    </row>
    <row r="2273" spans="1:4" ht="30" customHeight="1">
      <c r="A2273" s="6">
        <v>2271</v>
      </c>
      <c r="B2273" s="6" t="str">
        <f>"508120230422115112139275"</f>
        <v>508120230422115112139275</v>
      </c>
      <c r="C2273" s="6" t="s">
        <v>12</v>
      </c>
      <c r="D2273" s="6" t="str">
        <f>"田锐"</f>
        <v>田锐</v>
      </c>
    </row>
    <row r="2274" spans="1:4" ht="30" customHeight="1">
      <c r="A2274" s="6">
        <v>2272</v>
      </c>
      <c r="B2274" s="6" t="str">
        <f>"508120230422125457139323"</f>
        <v>508120230422125457139323</v>
      </c>
      <c r="C2274" s="6" t="s">
        <v>12</v>
      </c>
      <c r="D2274" s="6" t="str">
        <f>"吴晓莹"</f>
        <v>吴晓莹</v>
      </c>
    </row>
    <row r="2275" spans="1:4" ht="30" customHeight="1">
      <c r="A2275" s="6">
        <v>2273</v>
      </c>
      <c r="B2275" s="6" t="str">
        <f>"508120230422125120139317"</f>
        <v>508120230422125120139317</v>
      </c>
      <c r="C2275" s="6" t="s">
        <v>12</v>
      </c>
      <c r="D2275" s="6" t="str">
        <f>"邱丽瑾"</f>
        <v>邱丽瑾</v>
      </c>
    </row>
    <row r="2276" spans="1:4" ht="30" customHeight="1">
      <c r="A2276" s="6">
        <v>2274</v>
      </c>
      <c r="B2276" s="6" t="str">
        <f>"508120230422123937139307"</f>
        <v>508120230422123937139307</v>
      </c>
      <c r="C2276" s="6" t="s">
        <v>12</v>
      </c>
      <c r="D2276" s="6" t="str">
        <f>"戴庞慕"</f>
        <v>戴庞慕</v>
      </c>
    </row>
    <row r="2277" spans="1:4" ht="30" customHeight="1">
      <c r="A2277" s="6">
        <v>2275</v>
      </c>
      <c r="B2277" s="6" t="str">
        <f>"508120230422133921139342"</f>
        <v>508120230422133921139342</v>
      </c>
      <c r="C2277" s="6" t="s">
        <v>12</v>
      </c>
      <c r="D2277" s="6" t="str">
        <f>"黎经仁"</f>
        <v>黎经仁</v>
      </c>
    </row>
    <row r="2278" spans="1:4" ht="30" customHeight="1">
      <c r="A2278" s="6">
        <v>2276</v>
      </c>
      <c r="B2278" s="6" t="str">
        <f>"508120230422104931139236"</f>
        <v>508120230422104931139236</v>
      </c>
      <c r="C2278" s="6" t="s">
        <v>12</v>
      </c>
      <c r="D2278" s="6" t="str">
        <f>"王薇茜"</f>
        <v>王薇茜</v>
      </c>
    </row>
    <row r="2279" spans="1:4" ht="30" customHeight="1">
      <c r="A2279" s="6">
        <v>2277</v>
      </c>
      <c r="B2279" s="6" t="str">
        <f>"508120230422140151139349"</f>
        <v>508120230422140151139349</v>
      </c>
      <c r="C2279" s="6" t="s">
        <v>12</v>
      </c>
      <c r="D2279" s="6" t="str">
        <f>"王瑜"</f>
        <v>王瑜</v>
      </c>
    </row>
    <row r="2280" spans="1:4" ht="30" customHeight="1">
      <c r="A2280" s="6">
        <v>2278</v>
      </c>
      <c r="B2280" s="6" t="str">
        <f>"508120230422130037139325"</f>
        <v>508120230422130037139325</v>
      </c>
      <c r="C2280" s="6" t="s">
        <v>12</v>
      </c>
      <c r="D2280" s="6" t="str">
        <f>"蔡玲"</f>
        <v>蔡玲</v>
      </c>
    </row>
    <row r="2281" spans="1:4" ht="30" customHeight="1">
      <c r="A2281" s="6">
        <v>2279</v>
      </c>
      <c r="B2281" s="6" t="str">
        <f>"508120230422122700139296"</f>
        <v>508120230422122700139296</v>
      </c>
      <c r="C2281" s="6" t="s">
        <v>12</v>
      </c>
      <c r="D2281" s="6" t="str">
        <f>"吴婧"</f>
        <v>吴婧</v>
      </c>
    </row>
    <row r="2282" spans="1:4" ht="30" customHeight="1">
      <c r="A2282" s="6">
        <v>2280</v>
      </c>
      <c r="B2282" s="6" t="str">
        <f>"508120230422101150139211"</f>
        <v>508120230422101150139211</v>
      </c>
      <c r="C2282" s="6" t="s">
        <v>12</v>
      </c>
      <c r="D2282" s="6" t="str">
        <f>"姜柄屹"</f>
        <v>姜柄屹</v>
      </c>
    </row>
    <row r="2283" spans="1:4" ht="30" customHeight="1">
      <c r="A2283" s="6">
        <v>2281</v>
      </c>
      <c r="B2283" s="6" t="str">
        <f>"508120230422141425139353"</f>
        <v>508120230422141425139353</v>
      </c>
      <c r="C2283" s="6" t="s">
        <v>12</v>
      </c>
      <c r="D2283" s="6" t="str">
        <f>"符紫凤"</f>
        <v>符紫凤</v>
      </c>
    </row>
    <row r="2284" spans="1:4" ht="30" customHeight="1">
      <c r="A2284" s="6">
        <v>2282</v>
      </c>
      <c r="B2284" s="6" t="str">
        <f>"508120230421105835138415"</f>
        <v>508120230421105835138415</v>
      </c>
      <c r="C2284" s="6" t="s">
        <v>12</v>
      </c>
      <c r="D2284" s="6" t="str">
        <f>"黄晶"</f>
        <v>黄晶</v>
      </c>
    </row>
    <row r="2285" spans="1:4" ht="30" customHeight="1">
      <c r="A2285" s="6">
        <v>2283</v>
      </c>
      <c r="B2285" s="6" t="str">
        <f>"508120230422150137139369"</f>
        <v>508120230422150137139369</v>
      </c>
      <c r="C2285" s="6" t="s">
        <v>12</v>
      </c>
      <c r="D2285" s="6" t="str">
        <f>"刘智菲"</f>
        <v>刘智菲</v>
      </c>
    </row>
    <row r="2286" spans="1:4" ht="30" customHeight="1">
      <c r="A2286" s="6">
        <v>2284</v>
      </c>
      <c r="B2286" s="6" t="str">
        <f>"508120230422160024139402"</f>
        <v>508120230422160024139402</v>
      </c>
      <c r="C2286" s="6" t="s">
        <v>12</v>
      </c>
      <c r="D2286" s="6" t="str">
        <f>"赵娜"</f>
        <v>赵娜</v>
      </c>
    </row>
    <row r="2287" spans="1:4" ht="30" customHeight="1">
      <c r="A2287" s="6">
        <v>2285</v>
      </c>
      <c r="B2287" s="6" t="str">
        <f>"508120230422162530139407"</f>
        <v>508120230422162530139407</v>
      </c>
      <c r="C2287" s="6" t="s">
        <v>12</v>
      </c>
      <c r="D2287" s="6" t="str">
        <f>"周君怡"</f>
        <v>周君怡</v>
      </c>
    </row>
    <row r="2288" spans="1:4" ht="30" customHeight="1">
      <c r="A2288" s="6">
        <v>2286</v>
      </c>
      <c r="B2288" s="6" t="str">
        <f>"508120230422162543139408"</f>
        <v>508120230422162543139408</v>
      </c>
      <c r="C2288" s="6" t="s">
        <v>12</v>
      </c>
      <c r="D2288" s="6" t="str">
        <f>"张韩"</f>
        <v>张韩</v>
      </c>
    </row>
    <row r="2289" spans="1:4" ht="30" customHeight="1">
      <c r="A2289" s="6">
        <v>2287</v>
      </c>
      <c r="B2289" s="6" t="str">
        <f>"508120230422164449139417"</f>
        <v>508120230422164449139417</v>
      </c>
      <c r="C2289" s="6" t="s">
        <v>12</v>
      </c>
      <c r="D2289" s="6" t="str">
        <f>"陈绍帅"</f>
        <v>陈绍帅</v>
      </c>
    </row>
    <row r="2290" spans="1:4" ht="30" customHeight="1">
      <c r="A2290" s="6">
        <v>2288</v>
      </c>
      <c r="B2290" s="6" t="str">
        <f>"508120230422165640139425"</f>
        <v>508120230422165640139425</v>
      </c>
      <c r="C2290" s="6" t="s">
        <v>12</v>
      </c>
      <c r="D2290" s="6" t="str">
        <f>"冼则含"</f>
        <v>冼则含</v>
      </c>
    </row>
    <row r="2291" spans="1:4" ht="30" customHeight="1">
      <c r="A2291" s="6">
        <v>2289</v>
      </c>
      <c r="B2291" s="6" t="str">
        <f>"508120230422081848139166"</f>
        <v>508120230422081848139166</v>
      </c>
      <c r="C2291" s="6" t="s">
        <v>12</v>
      </c>
      <c r="D2291" s="6" t="str">
        <f>"郭教娜"</f>
        <v>郭教娜</v>
      </c>
    </row>
    <row r="2292" spans="1:4" ht="30" customHeight="1">
      <c r="A2292" s="6">
        <v>2290</v>
      </c>
      <c r="B2292" s="6" t="str">
        <f>"508120230422170047139427"</f>
        <v>508120230422170047139427</v>
      </c>
      <c r="C2292" s="6" t="s">
        <v>12</v>
      </c>
      <c r="D2292" s="6" t="str">
        <f>"刘佳鑫"</f>
        <v>刘佳鑫</v>
      </c>
    </row>
    <row r="2293" spans="1:4" ht="30" customHeight="1">
      <c r="A2293" s="6">
        <v>2291</v>
      </c>
      <c r="B2293" s="6" t="str">
        <f>"508120230422164946139421"</f>
        <v>508120230422164946139421</v>
      </c>
      <c r="C2293" s="6" t="s">
        <v>12</v>
      </c>
      <c r="D2293" s="6" t="str">
        <f>"王玮佳"</f>
        <v>王玮佳</v>
      </c>
    </row>
    <row r="2294" spans="1:4" ht="30" customHeight="1">
      <c r="A2294" s="6">
        <v>2292</v>
      </c>
      <c r="B2294" s="6" t="str">
        <f>"508120230422174824139460"</f>
        <v>508120230422174824139460</v>
      </c>
      <c r="C2294" s="6" t="s">
        <v>12</v>
      </c>
      <c r="D2294" s="6" t="str">
        <f>"蒙秋如"</f>
        <v>蒙秋如</v>
      </c>
    </row>
    <row r="2295" spans="1:4" ht="30" customHeight="1">
      <c r="A2295" s="6">
        <v>2293</v>
      </c>
      <c r="B2295" s="6" t="str">
        <f>"508120230422104345139231"</f>
        <v>508120230422104345139231</v>
      </c>
      <c r="C2295" s="6" t="s">
        <v>12</v>
      </c>
      <c r="D2295" s="6" t="str">
        <f>"冯冬春"</f>
        <v>冯冬春</v>
      </c>
    </row>
    <row r="2296" spans="1:4" ht="30" customHeight="1">
      <c r="A2296" s="6">
        <v>2294</v>
      </c>
      <c r="B2296" s="6" t="str">
        <f>"508120230422181413139471"</f>
        <v>508120230422181413139471</v>
      </c>
      <c r="C2296" s="6" t="s">
        <v>12</v>
      </c>
      <c r="D2296" s="6" t="str">
        <f>"陈姗姗"</f>
        <v>陈姗姗</v>
      </c>
    </row>
    <row r="2297" spans="1:4" ht="30" customHeight="1">
      <c r="A2297" s="6">
        <v>2295</v>
      </c>
      <c r="B2297" s="6" t="str">
        <f>"508120230422172457139442"</f>
        <v>508120230422172457139442</v>
      </c>
      <c r="C2297" s="6" t="s">
        <v>12</v>
      </c>
      <c r="D2297" s="6" t="str">
        <f>"陈嘉欣"</f>
        <v>陈嘉欣</v>
      </c>
    </row>
    <row r="2298" spans="1:4" ht="30" customHeight="1">
      <c r="A2298" s="6">
        <v>2296</v>
      </c>
      <c r="B2298" s="6" t="str">
        <f>"508120230421212705139079"</f>
        <v>508120230421212705139079</v>
      </c>
      <c r="C2298" s="6" t="s">
        <v>12</v>
      </c>
      <c r="D2298" s="6" t="str">
        <f>"于海佳"</f>
        <v>于海佳</v>
      </c>
    </row>
    <row r="2299" spans="1:4" ht="30" customHeight="1">
      <c r="A2299" s="6">
        <v>2297</v>
      </c>
      <c r="B2299" s="6" t="str">
        <f>"508120230422174123139455"</f>
        <v>508120230422174123139455</v>
      </c>
      <c r="C2299" s="6" t="s">
        <v>12</v>
      </c>
      <c r="D2299" s="6" t="str">
        <f>"尤荣辉"</f>
        <v>尤荣辉</v>
      </c>
    </row>
    <row r="2300" spans="1:4" ht="30" customHeight="1">
      <c r="A2300" s="6">
        <v>2298</v>
      </c>
      <c r="B2300" s="6" t="str">
        <f>"508120230421121519138541"</f>
        <v>508120230421121519138541</v>
      </c>
      <c r="C2300" s="6" t="s">
        <v>12</v>
      </c>
      <c r="D2300" s="6" t="str">
        <f>"周谦红"</f>
        <v>周谦红</v>
      </c>
    </row>
    <row r="2301" spans="1:4" ht="30" customHeight="1">
      <c r="A2301" s="6">
        <v>2299</v>
      </c>
      <c r="B2301" s="6" t="str">
        <f>"508120230422192302139504"</f>
        <v>508120230422192302139504</v>
      </c>
      <c r="C2301" s="6" t="s">
        <v>12</v>
      </c>
      <c r="D2301" s="6" t="str">
        <f>"陈宇洋"</f>
        <v>陈宇洋</v>
      </c>
    </row>
    <row r="2302" spans="1:4" ht="30" customHeight="1">
      <c r="A2302" s="6">
        <v>2300</v>
      </c>
      <c r="B2302" s="6" t="str">
        <f>"508120230422191235139496"</f>
        <v>508120230422191235139496</v>
      </c>
      <c r="C2302" s="6" t="s">
        <v>12</v>
      </c>
      <c r="D2302" s="6" t="str">
        <f>"曹泽文"</f>
        <v>曹泽文</v>
      </c>
    </row>
    <row r="2303" spans="1:4" ht="30" customHeight="1">
      <c r="A2303" s="6">
        <v>2301</v>
      </c>
      <c r="B2303" s="6" t="str">
        <f>"508120230422195044139517"</f>
        <v>508120230422195044139517</v>
      </c>
      <c r="C2303" s="6" t="s">
        <v>12</v>
      </c>
      <c r="D2303" s="6" t="str">
        <f>"冯成辉"</f>
        <v>冯成辉</v>
      </c>
    </row>
    <row r="2304" spans="1:4" ht="30" customHeight="1">
      <c r="A2304" s="6">
        <v>2302</v>
      </c>
      <c r="B2304" s="6" t="str">
        <f>"508120230422201624139534"</f>
        <v>508120230422201624139534</v>
      </c>
      <c r="C2304" s="6" t="s">
        <v>12</v>
      </c>
      <c r="D2304" s="6" t="str">
        <f>"王璐瑶"</f>
        <v>王璐瑶</v>
      </c>
    </row>
    <row r="2305" spans="1:4" ht="30" customHeight="1">
      <c r="A2305" s="6">
        <v>2303</v>
      </c>
      <c r="B2305" s="6" t="str">
        <f>"508120230422201205139531"</f>
        <v>508120230422201205139531</v>
      </c>
      <c r="C2305" s="6" t="s">
        <v>12</v>
      </c>
      <c r="D2305" s="6" t="str">
        <f>"谢秋池"</f>
        <v>谢秋池</v>
      </c>
    </row>
    <row r="2306" spans="1:4" ht="30" customHeight="1">
      <c r="A2306" s="6">
        <v>2304</v>
      </c>
      <c r="B2306" s="6" t="str">
        <f>"508120230422204243139559"</f>
        <v>508120230422204243139559</v>
      </c>
      <c r="C2306" s="6" t="s">
        <v>12</v>
      </c>
      <c r="D2306" s="6" t="str">
        <f>"彭秀文"</f>
        <v>彭秀文</v>
      </c>
    </row>
    <row r="2307" spans="1:4" ht="30" customHeight="1">
      <c r="A2307" s="6">
        <v>2305</v>
      </c>
      <c r="B2307" s="6" t="str">
        <f>"508120230422202528139542"</f>
        <v>508120230422202528139542</v>
      </c>
      <c r="C2307" s="6" t="s">
        <v>12</v>
      </c>
      <c r="D2307" s="6" t="str">
        <f>"林颖婕"</f>
        <v>林颖婕</v>
      </c>
    </row>
    <row r="2308" spans="1:4" ht="30" customHeight="1">
      <c r="A2308" s="6">
        <v>2306</v>
      </c>
      <c r="B2308" s="6" t="str">
        <f>"508120230422203649139555"</f>
        <v>508120230422203649139555</v>
      </c>
      <c r="C2308" s="6" t="s">
        <v>12</v>
      </c>
      <c r="D2308" s="6" t="str">
        <f>"郑玉婷"</f>
        <v>郑玉婷</v>
      </c>
    </row>
    <row r="2309" spans="1:4" ht="30" customHeight="1">
      <c r="A2309" s="6">
        <v>2307</v>
      </c>
      <c r="B2309" s="6" t="str">
        <f>"508120230422203434139551"</f>
        <v>508120230422203434139551</v>
      </c>
      <c r="C2309" s="6" t="s">
        <v>12</v>
      </c>
      <c r="D2309" s="6" t="str">
        <f>"邝易萍"</f>
        <v>邝易萍</v>
      </c>
    </row>
    <row r="2310" spans="1:4" ht="30" customHeight="1">
      <c r="A2310" s="6">
        <v>2308</v>
      </c>
      <c r="B2310" s="6" t="str">
        <f>"508120230422204212139558"</f>
        <v>508120230422204212139558</v>
      </c>
      <c r="C2310" s="6" t="s">
        <v>12</v>
      </c>
      <c r="D2310" s="6" t="str">
        <f>"陈敏"</f>
        <v>陈敏</v>
      </c>
    </row>
    <row r="2311" spans="1:4" ht="30" customHeight="1">
      <c r="A2311" s="6">
        <v>2309</v>
      </c>
      <c r="B2311" s="6" t="str">
        <f>"508120230422215804139608"</f>
        <v>508120230422215804139608</v>
      </c>
      <c r="C2311" s="6" t="s">
        <v>12</v>
      </c>
      <c r="D2311" s="6" t="str">
        <f>"陈升稳"</f>
        <v>陈升稳</v>
      </c>
    </row>
    <row r="2312" spans="1:4" ht="30" customHeight="1">
      <c r="A2312" s="6">
        <v>2310</v>
      </c>
      <c r="B2312" s="6" t="str">
        <f>"508120230421223819139116"</f>
        <v>508120230421223819139116</v>
      </c>
      <c r="C2312" s="6" t="s">
        <v>12</v>
      </c>
      <c r="D2312" s="6" t="str">
        <f>"王婉莹"</f>
        <v>王婉莹</v>
      </c>
    </row>
    <row r="2313" spans="1:4" ht="30" customHeight="1">
      <c r="A2313" s="6">
        <v>2311</v>
      </c>
      <c r="B2313" s="6" t="str">
        <f>"508120230422223104139634"</f>
        <v>508120230422223104139634</v>
      </c>
      <c r="C2313" s="6" t="s">
        <v>12</v>
      </c>
      <c r="D2313" s="6" t="str">
        <f>"蔡柳蔓"</f>
        <v>蔡柳蔓</v>
      </c>
    </row>
    <row r="2314" spans="1:4" ht="30" customHeight="1">
      <c r="A2314" s="6">
        <v>2312</v>
      </c>
      <c r="B2314" s="6" t="str">
        <f>"508120230422225031139646"</f>
        <v>508120230422225031139646</v>
      </c>
      <c r="C2314" s="6" t="s">
        <v>12</v>
      </c>
      <c r="D2314" s="6" t="str">
        <f>"邓力豪"</f>
        <v>邓力豪</v>
      </c>
    </row>
    <row r="2315" spans="1:4" ht="30" customHeight="1">
      <c r="A2315" s="6">
        <v>2313</v>
      </c>
      <c r="B2315" s="6" t="str">
        <f>"508120230422223005139632"</f>
        <v>508120230422223005139632</v>
      </c>
      <c r="C2315" s="6" t="s">
        <v>12</v>
      </c>
      <c r="D2315" s="6" t="str">
        <f>"邱铄岚"</f>
        <v>邱铄岚</v>
      </c>
    </row>
    <row r="2316" spans="1:4" ht="30" customHeight="1">
      <c r="A2316" s="6">
        <v>2314</v>
      </c>
      <c r="B2316" s="6" t="str">
        <f>"508120230422222915139631"</f>
        <v>508120230422222915139631</v>
      </c>
      <c r="C2316" s="6" t="s">
        <v>12</v>
      </c>
      <c r="D2316" s="6" t="str">
        <f>"陈惠贤"</f>
        <v>陈惠贤</v>
      </c>
    </row>
    <row r="2317" spans="1:4" ht="30" customHeight="1">
      <c r="A2317" s="6">
        <v>2315</v>
      </c>
      <c r="B2317" s="6" t="str">
        <f>"508120230422222036139625"</f>
        <v>508120230422222036139625</v>
      </c>
      <c r="C2317" s="6" t="s">
        <v>12</v>
      </c>
      <c r="D2317" s="6" t="str">
        <f>"许海涛"</f>
        <v>许海涛</v>
      </c>
    </row>
    <row r="2318" spans="1:4" ht="30" customHeight="1">
      <c r="A2318" s="6">
        <v>2316</v>
      </c>
      <c r="B2318" s="6" t="str">
        <f>"508120230423001955139684"</f>
        <v>508120230423001955139684</v>
      </c>
      <c r="C2318" s="6" t="s">
        <v>12</v>
      </c>
      <c r="D2318" s="6" t="str">
        <f>"冯羽"</f>
        <v>冯羽</v>
      </c>
    </row>
    <row r="2319" spans="1:4" ht="30" customHeight="1">
      <c r="A2319" s="6">
        <v>2317</v>
      </c>
      <c r="B2319" s="6" t="str">
        <f>"508120230422012240139152"</f>
        <v>508120230422012240139152</v>
      </c>
      <c r="C2319" s="6" t="s">
        <v>12</v>
      </c>
      <c r="D2319" s="6" t="str">
        <f>"云春梅"</f>
        <v>云春梅</v>
      </c>
    </row>
    <row r="2320" spans="1:4" ht="30" customHeight="1">
      <c r="A2320" s="6">
        <v>2318</v>
      </c>
      <c r="B2320" s="6" t="str">
        <f>"508120230421093710138198"</f>
        <v>508120230421093710138198</v>
      </c>
      <c r="C2320" s="6" t="s">
        <v>12</v>
      </c>
      <c r="D2320" s="6" t="str">
        <f>"王明锋"</f>
        <v>王明锋</v>
      </c>
    </row>
    <row r="2321" spans="1:4" ht="30" customHeight="1">
      <c r="A2321" s="6">
        <v>2319</v>
      </c>
      <c r="B2321" s="6" t="str">
        <f>"508120230423081457139703"</f>
        <v>508120230423081457139703</v>
      </c>
      <c r="C2321" s="6" t="s">
        <v>12</v>
      </c>
      <c r="D2321" s="6" t="str">
        <f>"陈日婷"</f>
        <v>陈日婷</v>
      </c>
    </row>
    <row r="2322" spans="1:4" ht="30" customHeight="1">
      <c r="A2322" s="6">
        <v>2320</v>
      </c>
      <c r="B2322" s="6" t="str">
        <f>"508120230421111816138449"</f>
        <v>508120230421111816138449</v>
      </c>
      <c r="C2322" s="6" t="s">
        <v>12</v>
      </c>
      <c r="D2322" s="6" t="str">
        <f>"李慢晶"</f>
        <v>李慢晶</v>
      </c>
    </row>
    <row r="2323" spans="1:4" ht="30" customHeight="1">
      <c r="A2323" s="6">
        <v>2321</v>
      </c>
      <c r="B2323" s="6" t="str">
        <f>"508120230421153207138764"</f>
        <v>508120230421153207138764</v>
      </c>
      <c r="C2323" s="6" t="s">
        <v>12</v>
      </c>
      <c r="D2323" s="6" t="str">
        <f>"吴海泉"</f>
        <v>吴海泉</v>
      </c>
    </row>
    <row r="2324" spans="1:4" ht="30" customHeight="1">
      <c r="A2324" s="6">
        <v>2322</v>
      </c>
      <c r="B2324" s="6" t="str">
        <f>"508120230422101610139216"</f>
        <v>508120230422101610139216</v>
      </c>
      <c r="C2324" s="6" t="s">
        <v>12</v>
      </c>
      <c r="D2324" s="6" t="str">
        <f>"张瑞琮"</f>
        <v>张瑞琮</v>
      </c>
    </row>
    <row r="2325" spans="1:4" ht="30" customHeight="1">
      <c r="A2325" s="6">
        <v>2323</v>
      </c>
      <c r="B2325" s="6" t="str">
        <f>"508120230423084459139713"</f>
        <v>508120230423084459139713</v>
      </c>
      <c r="C2325" s="6" t="s">
        <v>12</v>
      </c>
      <c r="D2325" s="6" t="str">
        <f>"黄梅格"</f>
        <v>黄梅格</v>
      </c>
    </row>
    <row r="2326" spans="1:4" ht="30" customHeight="1">
      <c r="A2326" s="6">
        <v>2324</v>
      </c>
      <c r="B2326" s="6" t="str">
        <f>"508120230421144928138687"</f>
        <v>508120230421144928138687</v>
      </c>
      <c r="C2326" s="6" t="s">
        <v>12</v>
      </c>
      <c r="D2326" s="6" t="str">
        <f>"孙梦霞"</f>
        <v>孙梦霞</v>
      </c>
    </row>
    <row r="2327" spans="1:4" ht="30" customHeight="1">
      <c r="A2327" s="6">
        <v>2325</v>
      </c>
      <c r="B2327" s="6" t="str">
        <f>"508120230423091034139740"</f>
        <v>508120230423091034139740</v>
      </c>
      <c r="C2327" s="6" t="s">
        <v>12</v>
      </c>
      <c r="D2327" s="6" t="str">
        <f>"李双吉"</f>
        <v>李双吉</v>
      </c>
    </row>
    <row r="2328" spans="1:4" ht="30" customHeight="1">
      <c r="A2328" s="6">
        <v>2326</v>
      </c>
      <c r="B2328" s="6" t="str">
        <f>"508120230423085403139725"</f>
        <v>508120230423085403139725</v>
      </c>
      <c r="C2328" s="6" t="s">
        <v>12</v>
      </c>
      <c r="D2328" s="6" t="str">
        <f>"符达基"</f>
        <v>符达基</v>
      </c>
    </row>
    <row r="2329" spans="1:4" ht="30" customHeight="1">
      <c r="A2329" s="6">
        <v>2327</v>
      </c>
      <c r="B2329" s="6" t="str">
        <f>"508120230423090929139737"</f>
        <v>508120230423090929139737</v>
      </c>
      <c r="C2329" s="6" t="s">
        <v>12</v>
      </c>
      <c r="D2329" s="6" t="str">
        <f>"邓丽丽"</f>
        <v>邓丽丽</v>
      </c>
    </row>
    <row r="2330" spans="1:4" ht="30" customHeight="1">
      <c r="A2330" s="6">
        <v>2328</v>
      </c>
      <c r="B2330" s="6" t="str">
        <f>"508120230421153959138777"</f>
        <v>508120230421153959138777</v>
      </c>
      <c r="C2330" s="6" t="s">
        <v>12</v>
      </c>
      <c r="D2330" s="6" t="str">
        <f>"潘芬芬"</f>
        <v>潘芬芬</v>
      </c>
    </row>
    <row r="2331" spans="1:4" ht="30" customHeight="1">
      <c r="A2331" s="6">
        <v>2329</v>
      </c>
      <c r="B2331" s="6" t="str">
        <f>"508120230423093236139770"</f>
        <v>508120230423093236139770</v>
      </c>
      <c r="C2331" s="6" t="s">
        <v>12</v>
      </c>
      <c r="D2331" s="6" t="str">
        <f>"李冉"</f>
        <v>李冉</v>
      </c>
    </row>
    <row r="2332" spans="1:4" ht="30" customHeight="1">
      <c r="A2332" s="6">
        <v>2330</v>
      </c>
      <c r="B2332" s="6" t="str">
        <f>"508120230423094152139785"</f>
        <v>508120230423094152139785</v>
      </c>
      <c r="C2332" s="6" t="s">
        <v>12</v>
      </c>
      <c r="D2332" s="6" t="str">
        <f>"罗雯琦"</f>
        <v>罗雯琦</v>
      </c>
    </row>
    <row r="2333" spans="1:4" ht="30" customHeight="1">
      <c r="A2333" s="6">
        <v>2331</v>
      </c>
      <c r="B2333" s="6" t="str">
        <f>"508120230423092845139763"</f>
        <v>508120230423092845139763</v>
      </c>
      <c r="C2333" s="6" t="s">
        <v>12</v>
      </c>
      <c r="D2333" s="6" t="str">
        <f>"钟兴婉"</f>
        <v>钟兴婉</v>
      </c>
    </row>
    <row r="2334" spans="1:4" ht="30" customHeight="1">
      <c r="A2334" s="6">
        <v>2332</v>
      </c>
      <c r="B2334" s="6" t="str">
        <f>"508120230423094933139795"</f>
        <v>508120230423094933139795</v>
      </c>
      <c r="C2334" s="6" t="s">
        <v>12</v>
      </c>
      <c r="D2334" s="6" t="str">
        <f>"陈曼"</f>
        <v>陈曼</v>
      </c>
    </row>
    <row r="2335" spans="1:4" ht="30" customHeight="1">
      <c r="A2335" s="6">
        <v>2333</v>
      </c>
      <c r="B2335" s="6" t="str">
        <f>"508120230423094336139787"</f>
        <v>508120230423094336139787</v>
      </c>
      <c r="C2335" s="6" t="s">
        <v>12</v>
      </c>
      <c r="D2335" s="6" t="str">
        <f>"陈雅玉"</f>
        <v>陈雅玉</v>
      </c>
    </row>
    <row r="2336" spans="1:4" ht="30" customHeight="1">
      <c r="A2336" s="6">
        <v>2334</v>
      </c>
      <c r="B2336" s="6" t="str">
        <f>"508120230423093656139775"</f>
        <v>508120230423093656139775</v>
      </c>
      <c r="C2336" s="6" t="s">
        <v>12</v>
      </c>
      <c r="D2336" s="6" t="str">
        <f>"许敏"</f>
        <v>许敏</v>
      </c>
    </row>
    <row r="2337" spans="1:4" ht="30" customHeight="1">
      <c r="A2337" s="6">
        <v>2335</v>
      </c>
      <c r="B2337" s="6" t="str">
        <f>"508120230423094610139791"</f>
        <v>508120230423094610139791</v>
      </c>
      <c r="C2337" s="6" t="s">
        <v>12</v>
      </c>
      <c r="D2337" s="6" t="str">
        <f>"郑少叶"</f>
        <v>郑少叶</v>
      </c>
    </row>
    <row r="2338" spans="1:4" ht="30" customHeight="1">
      <c r="A2338" s="6">
        <v>2336</v>
      </c>
      <c r="B2338" s="6" t="str">
        <f>"508120230423101751139815"</f>
        <v>508120230423101751139815</v>
      </c>
      <c r="C2338" s="6" t="s">
        <v>12</v>
      </c>
      <c r="D2338" s="6" t="str">
        <f>"云紫燕"</f>
        <v>云紫燕</v>
      </c>
    </row>
    <row r="2339" spans="1:4" ht="30" customHeight="1">
      <c r="A2339" s="6">
        <v>2337</v>
      </c>
      <c r="B2339" s="6" t="str">
        <f>"508120230423104017139828"</f>
        <v>508120230423104017139828</v>
      </c>
      <c r="C2339" s="6" t="s">
        <v>12</v>
      </c>
      <c r="D2339" s="6" t="str">
        <f>"张祖凡"</f>
        <v>张祖凡</v>
      </c>
    </row>
    <row r="2340" spans="1:4" ht="30" customHeight="1">
      <c r="A2340" s="6">
        <v>2338</v>
      </c>
      <c r="B2340" s="6" t="str">
        <f>"508120230423094039139782"</f>
        <v>508120230423094039139782</v>
      </c>
      <c r="C2340" s="6" t="s">
        <v>12</v>
      </c>
      <c r="D2340" s="6" t="str">
        <f>"王世家"</f>
        <v>王世家</v>
      </c>
    </row>
    <row r="2341" spans="1:4" ht="30" customHeight="1">
      <c r="A2341" s="6">
        <v>2339</v>
      </c>
      <c r="B2341" s="6" t="str">
        <f>"508120230423104311139830"</f>
        <v>508120230423104311139830</v>
      </c>
      <c r="C2341" s="6" t="s">
        <v>12</v>
      </c>
      <c r="D2341" s="6" t="str">
        <f>"何姿滢"</f>
        <v>何姿滢</v>
      </c>
    </row>
    <row r="2342" spans="1:4" ht="30" customHeight="1">
      <c r="A2342" s="6">
        <v>2340</v>
      </c>
      <c r="B2342" s="6" t="str">
        <f>"508120230423101621139813"</f>
        <v>508120230423101621139813</v>
      </c>
      <c r="C2342" s="6" t="s">
        <v>12</v>
      </c>
      <c r="D2342" s="6" t="str">
        <f>"林珍萍"</f>
        <v>林珍萍</v>
      </c>
    </row>
    <row r="2343" spans="1:4" ht="30" customHeight="1">
      <c r="A2343" s="6">
        <v>2341</v>
      </c>
      <c r="B2343" s="6" t="str">
        <f>"508120230423104424139832"</f>
        <v>508120230423104424139832</v>
      </c>
      <c r="C2343" s="6" t="s">
        <v>12</v>
      </c>
      <c r="D2343" s="6" t="str">
        <f>"曾川"</f>
        <v>曾川</v>
      </c>
    </row>
    <row r="2344" spans="1:4" ht="30" customHeight="1">
      <c r="A2344" s="6">
        <v>2342</v>
      </c>
      <c r="B2344" s="6" t="str">
        <f>"508120230423102147139818"</f>
        <v>508120230423102147139818</v>
      </c>
      <c r="C2344" s="6" t="s">
        <v>12</v>
      </c>
      <c r="D2344" s="6" t="str">
        <f>"王献珏"</f>
        <v>王献珏</v>
      </c>
    </row>
    <row r="2345" spans="1:4" ht="30" customHeight="1">
      <c r="A2345" s="6">
        <v>2343</v>
      </c>
      <c r="B2345" s="6" t="str">
        <f>"508120230423105709139852"</f>
        <v>508120230423105709139852</v>
      </c>
      <c r="C2345" s="6" t="s">
        <v>12</v>
      </c>
      <c r="D2345" s="6" t="str">
        <f>"羊庆恩"</f>
        <v>羊庆恩</v>
      </c>
    </row>
    <row r="2346" spans="1:4" ht="30" customHeight="1">
      <c r="A2346" s="6">
        <v>2344</v>
      </c>
      <c r="B2346" s="6" t="str">
        <f>"508120230422225351139648"</f>
        <v>508120230422225351139648</v>
      </c>
      <c r="C2346" s="6" t="s">
        <v>12</v>
      </c>
      <c r="D2346" s="6" t="str">
        <f>"冯善炳"</f>
        <v>冯善炳</v>
      </c>
    </row>
    <row r="2347" spans="1:4" ht="30" customHeight="1">
      <c r="A2347" s="6">
        <v>2345</v>
      </c>
      <c r="B2347" s="6" t="str">
        <f>"508120230423105646139851"</f>
        <v>508120230423105646139851</v>
      </c>
      <c r="C2347" s="6" t="s">
        <v>12</v>
      </c>
      <c r="D2347" s="6" t="str">
        <f>"栗熠镔"</f>
        <v>栗熠镔</v>
      </c>
    </row>
    <row r="2348" spans="1:4" ht="30" customHeight="1">
      <c r="A2348" s="6">
        <v>2346</v>
      </c>
      <c r="B2348" s="6" t="str">
        <f>"508120230423103420139826"</f>
        <v>508120230423103420139826</v>
      </c>
      <c r="C2348" s="6" t="s">
        <v>12</v>
      </c>
      <c r="D2348" s="6" t="str">
        <f>"黄莹"</f>
        <v>黄莹</v>
      </c>
    </row>
    <row r="2349" spans="1:4" ht="30" customHeight="1">
      <c r="A2349" s="6">
        <v>2347</v>
      </c>
      <c r="B2349" s="6" t="str">
        <f>"508120230423105541139848"</f>
        <v>508120230423105541139848</v>
      </c>
      <c r="C2349" s="6" t="s">
        <v>12</v>
      </c>
      <c r="D2349" s="6" t="str">
        <f>"王家庚"</f>
        <v>王家庚</v>
      </c>
    </row>
    <row r="2350" spans="1:4" ht="30" customHeight="1">
      <c r="A2350" s="6">
        <v>2348</v>
      </c>
      <c r="B2350" s="6" t="str">
        <f>"508120230421171625138909"</f>
        <v>508120230421171625138909</v>
      </c>
      <c r="C2350" s="6" t="s">
        <v>12</v>
      </c>
      <c r="D2350" s="6" t="str">
        <f>"洪梅"</f>
        <v>洪梅</v>
      </c>
    </row>
    <row r="2351" spans="1:4" ht="30" customHeight="1">
      <c r="A2351" s="6">
        <v>2349</v>
      </c>
      <c r="B2351" s="6" t="str">
        <f>"508120230421160012138804"</f>
        <v>508120230421160012138804</v>
      </c>
      <c r="C2351" s="6" t="s">
        <v>12</v>
      </c>
      <c r="D2351" s="6" t="str">
        <f>"黄钰清"</f>
        <v>黄钰清</v>
      </c>
    </row>
    <row r="2352" spans="1:4" ht="30" customHeight="1">
      <c r="A2352" s="6">
        <v>2350</v>
      </c>
      <c r="B2352" s="6" t="str">
        <f>"508120230423100918139808"</f>
        <v>508120230423100918139808</v>
      </c>
      <c r="C2352" s="6" t="s">
        <v>12</v>
      </c>
      <c r="D2352" s="6" t="str">
        <f>"温希月"</f>
        <v>温希月</v>
      </c>
    </row>
    <row r="2353" spans="1:4" ht="30" customHeight="1">
      <c r="A2353" s="6">
        <v>2351</v>
      </c>
      <c r="B2353" s="6" t="str">
        <f>"508120230421160322138813"</f>
        <v>508120230421160322138813</v>
      </c>
      <c r="C2353" s="6" t="s">
        <v>12</v>
      </c>
      <c r="D2353" s="6" t="str">
        <f>"黄蓝"</f>
        <v>黄蓝</v>
      </c>
    </row>
    <row r="2354" spans="1:4" ht="30" customHeight="1">
      <c r="A2354" s="6">
        <v>2352</v>
      </c>
      <c r="B2354" s="6" t="str">
        <f>"508120230423103033139823"</f>
        <v>508120230423103033139823</v>
      </c>
      <c r="C2354" s="6" t="s">
        <v>12</v>
      </c>
      <c r="D2354" s="6" t="str">
        <f>"李婷婷"</f>
        <v>李婷婷</v>
      </c>
    </row>
    <row r="2355" spans="1:4" ht="30" customHeight="1">
      <c r="A2355" s="6">
        <v>2353</v>
      </c>
      <c r="B2355" s="6" t="str">
        <f>"508120230423092234139754"</f>
        <v>508120230423092234139754</v>
      </c>
      <c r="C2355" s="6" t="s">
        <v>12</v>
      </c>
      <c r="D2355" s="6" t="str">
        <f>"陈玫伶"</f>
        <v>陈玫伶</v>
      </c>
    </row>
    <row r="2356" spans="1:4" ht="30" customHeight="1">
      <c r="A2356" s="6">
        <v>2354</v>
      </c>
      <c r="B2356" s="6" t="str">
        <f>"508120230421154837138789"</f>
        <v>508120230421154837138789</v>
      </c>
      <c r="C2356" s="6" t="s">
        <v>12</v>
      </c>
      <c r="D2356" s="6" t="str">
        <f>"吴戴用"</f>
        <v>吴戴用</v>
      </c>
    </row>
    <row r="2357" spans="1:4" ht="30" customHeight="1">
      <c r="A2357" s="6">
        <v>2355</v>
      </c>
      <c r="B2357" s="6" t="str">
        <f>"508120230421111700138446"</f>
        <v>508120230421111700138446</v>
      </c>
      <c r="C2357" s="6" t="s">
        <v>12</v>
      </c>
      <c r="D2357" s="6" t="str">
        <f>"陈均建"</f>
        <v>陈均建</v>
      </c>
    </row>
    <row r="2358" spans="1:4" ht="30" customHeight="1">
      <c r="A2358" s="6">
        <v>2356</v>
      </c>
      <c r="B2358" s="6" t="str">
        <f>"508120230423110736139870"</f>
        <v>508120230423110736139870</v>
      </c>
      <c r="C2358" s="6" t="s">
        <v>12</v>
      </c>
      <c r="D2358" s="6" t="str">
        <f>"王艺"</f>
        <v>王艺</v>
      </c>
    </row>
    <row r="2359" spans="1:4" ht="30" customHeight="1">
      <c r="A2359" s="6">
        <v>2357</v>
      </c>
      <c r="B2359" s="6" t="str">
        <f>"508120230423112824139891"</f>
        <v>508120230423112824139891</v>
      </c>
      <c r="C2359" s="6" t="s">
        <v>12</v>
      </c>
      <c r="D2359" s="6" t="str">
        <f>"杨小雪"</f>
        <v>杨小雪</v>
      </c>
    </row>
    <row r="2360" spans="1:4" ht="30" customHeight="1">
      <c r="A2360" s="6">
        <v>2358</v>
      </c>
      <c r="B2360" s="6" t="str">
        <f>"508120230421095046138243"</f>
        <v>508120230421095046138243</v>
      </c>
      <c r="C2360" s="6" t="s">
        <v>12</v>
      </c>
      <c r="D2360" s="6" t="str">
        <f>"梁哲雯"</f>
        <v>梁哲雯</v>
      </c>
    </row>
    <row r="2361" spans="1:4" ht="30" customHeight="1">
      <c r="A2361" s="6">
        <v>2359</v>
      </c>
      <c r="B2361" s="6" t="str">
        <f>"508120230423100740139806"</f>
        <v>508120230423100740139806</v>
      </c>
      <c r="C2361" s="6" t="s">
        <v>12</v>
      </c>
      <c r="D2361" s="6" t="str">
        <f>"陈明浩"</f>
        <v>陈明浩</v>
      </c>
    </row>
    <row r="2362" spans="1:4" ht="30" customHeight="1">
      <c r="A2362" s="6">
        <v>2360</v>
      </c>
      <c r="B2362" s="6" t="str">
        <f>"508120230422191442139499"</f>
        <v>508120230422191442139499</v>
      </c>
      <c r="C2362" s="6" t="s">
        <v>12</v>
      </c>
      <c r="D2362" s="6" t="str">
        <f>"黄楠"</f>
        <v>黄楠</v>
      </c>
    </row>
    <row r="2363" spans="1:4" ht="30" customHeight="1">
      <c r="A2363" s="6">
        <v>2361</v>
      </c>
      <c r="B2363" s="6" t="str">
        <f>"508120230422210212139576"</f>
        <v>508120230422210212139576</v>
      </c>
      <c r="C2363" s="6" t="s">
        <v>12</v>
      </c>
      <c r="D2363" s="6" t="str">
        <f>"邵勇"</f>
        <v>邵勇</v>
      </c>
    </row>
    <row r="2364" spans="1:4" ht="30" customHeight="1">
      <c r="A2364" s="6">
        <v>2362</v>
      </c>
      <c r="B2364" s="6" t="str">
        <f>"508120230423125452139943"</f>
        <v>508120230423125452139943</v>
      </c>
      <c r="C2364" s="6" t="s">
        <v>12</v>
      </c>
      <c r="D2364" s="6" t="str">
        <f>"李姗蔚"</f>
        <v>李姗蔚</v>
      </c>
    </row>
    <row r="2365" spans="1:4" ht="30" customHeight="1">
      <c r="A2365" s="6">
        <v>2363</v>
      </c>
      <c r="B2365" s="6" t="str">
        <f>"508120230423125127139942"</f>
        <v>508120230423125127139942</v>
      </c>
      <c r="C2365" s="6" t="s">
        <v>12</v>
      </c>
      <c r="D2365" s="6" t="str">
        <f>"王凡逸"</f>
        <v>王凡逸</v>
      </c>
    </row>
    <row r="2366" spans="1:4" ht="30" customHeight="1">
      <c r="A2366" s="6">
        <v>2364</v>
      </c>
      <c r="B2366" s="6" t="str">
        <f>"508120230423121703139927"</f>
        <v>508120230423121703139927</v>
      </c>
      <c r="C2366" s="6" t="s">
        <v>12</v>
      </c>
      <c r="D2366" s="6" t="str">
        <f>"何冰月"</f>
        <v>何冰月</v>
      </c>
    </row>
    <row r="2367" spans="1:4" ht="30" customHeight="1">
      <c r="A2367" s="6">
        <v>2365</v>
      </c>
      <c r="B2367" s="6" t="str">
        <f>"508120230423121147139923"</f>
        <v>508120230423121147139923</v>
      </c>
      <c r="C2367" s="6" t="s">
        <v>12</v>
      </c>
      <c r="D2367" s="6" t="str">
        <f>"符叶柔"</f>
        <v>符叶柔</v>
      </c>
    </row>
    <row r="2368" spans="1:4" ht="30" customHeight="1">
      <c r="A2368" s="6">
        <v>2366</v>
      </c>
      <c r="B2368" s="6" t="str">
        <f>"508120230423094525139789"</f>
        <v>508120230423094525139789</v>
      </c>
      <c r="C2368" s="6" t="s">
        <v>12</v>
      </c>
      <c r="D2368" s="6" t="str">
        <f>"柳紫妮"</f>
        <v>柳紫妮</v>
      </c>
    </row>
    <row r="2369" spans="1:4" ht="30" customHeight="1">
      <c r="A2369" s="6">
        <v>2367</v>
      </c>
      <c r="B2369" s="6" t="str">
        <f>"508120230421133934138621"</f>
        <v>508120230421133934138621</v>
      </c>
      <c r="C2369" s="6" t="s">
        <v>12</v>
      </c>
      <c r="D2369" s="6" t="str">
        <f>"吴美婷"</f>
        <v>吴美婷</v>
      </c>
    </row>
    <row r="2370" spans="1:4" ht="30" customHeight="1">
      <c r="A2370" s="6">
        <v>2368</v>
      </c>
      <c r="B2370" s="6" t="str">
        <f>"508120230421114402138500"</f>
        <v>508120230421114402138500</v>
      </c>
      <c r="C2370" s="6" t="s">
        <v>12</v>
      </c>
      <c r="D2370" s="6" t="str">
        <f>"钟丽媛"</f>
        <v>钟丽媛</v>
      </c>
    </row>
    <row r="2371" spans="1:4" ht="30" customHeight="1">
      <c r="A2371" s="6">
        <v>2369</v>
      </c>
      <c r="B2371" s="6" t="str">
        <f>"508120230423142328139978"</f>
        <v>508120230423142328139978</v>
      </c>
      <c r="C2371" s="6" t="s">
        <v>12</v>
      </c>
      <c r="D2371" s="6" t="str">
        <f>"郑珍蓉"</f>
        <v>郑珍蓉</v>
      </c>
    </row>
    <row r="2372" spans="1:4" ht="30" customHeight="1">
      <c r="A2372" s="6">
        <v>2370</v>
      </c>
      <c r="B2372" s="6" t="str">
        <f>"508120230423110551139865"</f>
        <v>508120230423110551139865</v>
      </c>
      <c r="C2372" s="6" t="s">
        <v>12</v>
      </c>
      <c r="D2372" s="6" t="str">
        <f>"唐千桥"</f>
        <v>唐千桥</v>
      </c>
    </row>
    <row r="2373" spans="1:4" ht="30" customHeight="1">
      <c r="A2373" s="6">
        <v>2371</v>
      </c>
      <c r="B2373" s="6" t="str">
        <f>"508120230423151924140036"</f>
        <v>508120230423151924140036</v>
      </c>
      <c r="C2373" s="6" t="s">
        <v>12</v>
      </c>
      <c r="D2373" s="6" t="str">
        <f>"许秀莲"</f>
        <v>许秀莲</v>
      </c>
    </row>
    <row r="2374" spans="1:4" ht="30" customHeight="1">
      <c r="A2374" s="6">
        <v>2372</v>
      </c>
      <c r="B2374" s="6" t="str">
        <f>"508120230423151047140023"</f>
        <v>508120230423151047140023</v>
      </c>
      <c r="C2374" s="6" t="s">
        <v>12</v>
      </c>
      <c r="D2374" s="6" t="str">
        <f>"吉秋原"</f>
        <v>吉秋原</v>
      </c>
    </row>
    <row r="2375" spans="1:4" ht="30" customHeight="1">
      <c r="A2375" s="6">
        <v>2373</v>
      </c>
      <c r="B2375" s="6" t="str">
        <f>"508120230423115134139910"</f>
        <v>508120230423115134139910</v>
      </c>
      <c r="C2375" s="6" t="s">
        <v>12</v>
      </c>
      <c r="D2375" s="6" t="str">
        <f>"郑小苗"</f>
        <v>郑小苗</v>
      </c>
    </row>
    <row r="2376" spans="1:4" ht="30" customHeight="1">
      <c r="A2376" s="6">
        <v>2374</v>
      </c>
      <c r="B2376" s="6" t="str">
        <f>"508120230423121702139926"</f>
        <v>508120230423121702139926</v>
      </c>
      <c r="C2376" s="6" t="s">
        <v>12</v>
      </c>
      <c r="D2376" s="6" t="str">
        <f>"宁雪怡"</f>
        <v>宁雪怡</v>
      </c>
    </row>
    <row r="2377" spans="1:4" ht="30" customHeight="1">
      <c r="A2377" s="6">
        <v>2375</v>
      </c>
      <c r="B2377" s="6" t="str">
        <f>"508120230423151624140027"</f>
        <v>508120230423151624140027</v>
      </c>
      <c r="C2377" s="6" t="s">
        <v>12</v>
      </c>
      <c r="D2377" s="6" t="str">
        <f>"王淑莺"</f>
        <v>王淑莺</v>
      </c>
    </row>
    <row r="2378" spans="1:4" ht="30" customHeight="1">
      <c r="A2378" s="6">
        <v>2376</v>
      </c>
      <c r="B2378" s="6" t="str">
        <f>"508120230423151550140026"</f>
        <v>508120230423151550140026</v>
      </c>
      <c r="C2378" s="6" t="s">
        <v>12</v>
      </c>
      <c r="D2378" s="6" t="str">
        <f>"吴玉蕊"</f>
        <v>吴玉蕊</v>
      </c>
    </row>
    <row r="2379" spans="1:4" ht="30" customHeight="1">
      <c r="A2379" s="6">
        <v>2377</v>
      </c>
      <c r="B2379" s="6" t="str">
        <f>"508120230423150553140015"</f>
        <v>508120230423150553140015</v>
      </c>
      <c r="C2379" s="6" t="s">
        <v>12</v>
      </c>
      <c r="D2379" s="6" t="str">
        <f>"郑陈霞"</f>
        <v>郑陈霞</v>
      </c>
    </row>
    <row r="2380" spans="1:4" ht="30" customHeight="1">
      <c r="A2380" s="6">
        <v>2378</v>
      </c>
      <c r="B2380" s="6" t="str">
        <f>"508120230423153705140048"</f>
        <v>508120230423153705140048</v>
      </c>
      <c r="C2380" s="6" t="s">
        <v>12</v>
      </c>
      <c r="D2380" s="6" t="str">
        <f>"叶帆"</f>
        <v>叶帆</v>
      </c>
    </row>
    <row r="2381" spans="1:4" ht="30" customHeight="1">
      <c r="A2381" s="6">
        <v>2379</v>
      </c>
      <c r="B2381" s="6" t="str">
        <f>"508120230423111830139881"</f>
        <v>508120230423111830139881</v>
      </c>
      <c r="C2381" s="6" t="s">
        <v>12</v>
      </c>
      <c r="D2381" s="6" t="str">
        <f>"李柯梦"</f>
        <v>李柯梦</v>
      </c>
    </row>
    <row r="2382" spans="1:4" ht="30" customHeight="1">
      <c r="A2382" s="6">
        <v>2380</v>
      </c>
      <c r="B2382" s="6" t="str">
        <f>"508120230423113149139897"</f>
        <v>508120230423113149139897</v>
      </c>
      <c r="C2382" s="6" t="s">
        <v>12</v>
      </c>
      <c r="D2382" s="6" t="str">
        <f>"徐萍"</f>
        <v>徐萍</v>
      </c>
    </row>
    <row r="2383" spans="1:4" ht="30" customHeight="1">
      <c r="A2383" s="6">
        <v>2381</v>
      </c>
      <c r="B2383" s="6" t="str">
        <f>"508120230423154017140051"</f>
        <v>508120230423154017140051</v>
      </c>
      <c r="C2383" s="6" t="s">
        <v>12</v>
      </c>
      <c r="D2383" s="6" t="str">
        <f>"张园铃"</f>
        <v>张园铃</v>
      </c>
    </row>
    <row r="2384" spans="1:4" ht="30" customHeight="1">
      <c r="A2384" s="6">
        <v>2382</v>
      </c>
      <c r="B2384" s="6" t="str">
        <f>"508120230423152609140043"</f>
        <v>508120230423152609140043</v>
      </c>
      <c r="C2384" s="6" t="s">
        <v>12</v>
      </c>
      <c r="D2384" s="6" t="str">
        <f>"王乙帆"</f>
        <v>王乙帆</v>
      </c>
    </row>
    <row r="2385" spans="1:4" ht="30" customHeight="1">
      <c r="A2385" s="6">
        <v>2383</v>
      </c>
      <c r="B2385" s="6" t="str">
        <f>"508120230423154514140056"</f>
        <v>508120230423154514140056</v>
      </c>
      <c r="C2385" s="6" t="s">
        <v>12</v>
      </c>
      <c r="D2385" s="6" t="str">
        <f>"蔡蕊"</f>
        <v>蔡蕊</v>
      </c>
    </row>
    <row r="2386" spans="1:4" ht="30" customHeight="1">
      <c r="A2386" s="6">
        <v>2384</v>
      </c>
      <c r="B2386" s="6" t="str">
        <f>"508120230423155329140065"</f>
        <v>508120230423155329140065</v>
      </c>
      <c r="C2386" s="6" t="s">
        <v>12</v>
      </c>
      <c r="D2386" s="6" t="str">
        <f>"刘道桔"</f>
        <v>刘道桔</v>
      </c>
    </row>
    <row r="2387" spans="1:4" ht="30" customHeight="1">
      <c r="A2387" s="6">
        <v>2385</v>
      </c>
      <c r="B2387" s="6" t="str">
        <f>"508120230422125629139324"</f>
        <v>508120230422125629139324</v>
      </c>
      <c r="C2387" s="6" t="s">
        <v>12</v>
      </c>
      <c r="D2387" s="6" t="str">
        <f>"何昕"</f>
        <v>何昕</v>
      </c>
    </row>
    <row r="2388" spans="1:4" ht="30" customHeight="1">
      <c r="A2388" s="6">
        <v>2386</v>
      </c>
      <c r="B2388" s="6" t="str">
        <f>"508120230423153305140046"</f>
        <v>508120230423153305140046</v>
      </c>
      <c r="C2388" s="6" t="s">
        <v>12</v>
      </c>
      <c r="D2388" s="6" t="str">
        <f>"郑海玲"</f>
        <v>郑海玲</v>
      </c>
    </row>
    <row r="2389" spans="1:4" ht="30" customHeight="1">
      <c r="A2389" s="6">
        <v>2387</v>
      </c>
      <c r="B2389" s="6" t="str">
        <f>"508120230423162331140099"</f>
        <v>508120230423162331140099</v>
      </c>
      <c r="C2389" s="6" t="s">
        <v>12</v>
      </c>
      <c r="D2389" s="6" t="str">
        <f>"符永煌"</f>
        <v>符永煌</v>
      </c>
    </row>
    <row r="2390" spans="1:4" ht="30" customHeight="1">
      <c r="A2390" s="6">
        <v>2388</v>
      </c>
      <c r="B2390" s="6" t="str">
        <f>"508120230422192119139502"</f>
        <v>508120230422192119139502</v>
      </c>
      <c r="C2390" s="6" t="s">
        <v>12</v>
      </c>
      <c r="D2390" s="6" t="str">
        <f>"蔡本清"</f>
        <v>蔡本清</v>
      </c>
    </row>
    <row r="2391" spans="1:4" ht="30" customHeight="1">
      <c r="A2391" s="6">
        <v>2389</v>
      </c>
      <c r="B2391" s="6" t="str">
        <f>"508120230423154213140054"</f>
        <v>508120230423154213140054</v>
      </c>
      <c r="C2391" s="6" t="s">
        <v>12</v>
      </c>
      <c r="D2391" s="6" t="str">
        <f>"黄诗雨"</f>
        <v>黄诗雨</v>
      </c>
    </row>
    <row r="2392" spans="1:4" ht="30" customHeight="1">
      <c r="A2392" s="6">
        <v>2390</v>
      </c>
      <c r="B2392" s="6" t="str">
        <f>"508120230423161620140090"</f>
        <v>508120230423161620140090</v>
      </c>
      <c r="C2392" s="6" t="s">
        <v>12</v>
      </c>
      <c r="D2392" s="6" t="str">
        <f>"叶帆"</f>
        <v>叶帆</v>
      </c>
    </row>
    <row r="2393" spans="1:4" ht="30" customHeight="1">
      <c r="A2393" s="6">
        <v>2391</v>
      </c>
      <c r="B2393" s="6" t="str">
        <f>"508120230423163259140112"</f>
        <v>508120230423163259140112</v>
      </c>
      <c r="C2393" s="6" t="s">
        <v>12</v>
      </c>
      <c r="D2393" s="6" t="str">
        <f>"李丽坤"</f>
        <v>李丽坤</v>
      </c>
    </row>
    <row r="2394" spans="1:4" ht="30" customHeight="1">
      <c r="A2394" s="6">
        <v>2392</v>
      </c>
      <c r="B2394" s="6" t="str">
        <f>"508120230423154205140053"</f>
        <v>508120230423154205140053</v>
      </c>
      <c r="C2394" s="6" t="s">
        <v>12</v>
      </c>
      <c r="D2394" s="6" t="str">
        <f>"欧阳非"</f>
        <v>欧阳非</v>
      </c>
    </row>
    <row r="2395" spans="1:4" ht="30" customHeight="1">
      <c r="A2395" s="6">
        <v>2393</v>
      </c>
      <c r="B2395" s="6" t="str">
        <f>"508120230423144627139991"</f>
        <v>508120230423144627139991</v>
      </c>
      <c r="C2395" s="6" t="s">
        <v>12</v>
      </c>
      <c r="D2395" s="6" t="str">
        <f>"冯淑贤"</f>
        <v>冯淑贤</v>
      </c>
    </row>
    <row r="2396" spans="1:4" ht="30" customHeight="1">
      <c r="A2396" s="6">
        <v>2394</v>
      </c>
      <c r="B2396" s="6" t="str">
        <f>"508120230423162908140104"</f>
        <v>508120230423162908140104</v>
      </c>
      <c r="C2396" s="6" t="s">
        <v>12</v>
      </c>
      <c r="D2396" s="6" t="str">
        <f>"周南杏"</f>
        <v>周南杏</v>
      </c>
    </row>
    <row r="2397" spans="1:4" ht="30" customHeight="1">
      <c r="A2397" s="6">
        <v>2395</v>
      </c>
      <c r="B2397" s="6" t="str">
        <f>"508120230423165117140130"</f>
        <v>508120230423165117140130</v>
      </c>
      <c r="C2397" s="6" t="s">
        <v>12</v>
      </c>
      <c r="D2397" s="6" t="str">
        <f>"冯凯"</f>
        <v>冯凯</v>
      </c>
    </row>
    <row r="2398" spans="1:4" ht="30" customHeight="1">
      <c r="A2398" s="6">
        <v>2396</v>
      </c>
      <c r="B2398" s="6" t="str">
        <f>"508120230423165425140134"</f>
        <v>508120230423165425140134</v>
      </c>
      <c r="C2398" s="6" t="s">
        <v>12</v>
      </c>
      <c r="D2398" s="6" t="str">
        <f>"邓涵"</f>
        <v>邓涵</v>
      </c>
    </row>
    <row r="2399" spans="1:4" ht="30" customHeight="1">
      <c r="A2399" s="6">
        <v>2397</v>
      </c>
      <c r="B2399" s="6" t="str">
        <f>"508120230423150117140010"</f>
        <v>508120230423150117140010</v>
      </c>
      <c r="C2399" s="6" t="s">
        <v>12</v>
      </c>
      <c r="D2399" s="6" t="str">
        <f>"李波娟"</f>
        <v>李波娟</v>
      </c>
    </row>
    <row r="2400" spans="1:4" ht="30" customHeight="1">
      <c r="A2400" s="6">
        <v>2398</v>
      </c>
      <c r="B2400" s="6" t="str">
        <f>"508120230423165433140135"</f>
        <v>508120230423165433140135</v>
      </c>
      <c r="C2400" s="6" t="s">
        <v>12</v>
      </c>
      <c r="D2400" s="6" t="str">
        <f>"陈雪柔"</f>
        <v>陈雪柔</v>
      </c>
    </row>
    <row r="2401" spans="1:4" ht="30" customHeight="1">
      <c r="A2401" s="6">
        <v>2399</v>
      </c>
      <c r="B2401" s="6" t="str">
        <f>"508120230423170745140146"</f>
        <v>508120230423170745140146</v>
      </c>
      <c r="C2401" s="6" t="s">
        <v>12</v>
      </c>
      <c r="D2401" s="6" t="str">
        <f>"刘咪"</f>
        <v>刘咪</v>
      </c>
    </row>
    <row r="2402" spans="1:4" ht="30" customHeight="1">
      <c r="A2402" s="6">
        <v>2400</v>
      </c>
      <c r="B2402" s="6" t="str">
        <f>"508120230423173638140164"</f>
        <v>508120230423173638140164</v>
      </c>
      <c r="C2402" s="6" t="s">
        <v>12</v>
      </c>
      <c r="D2402" s="6" t="str">
        <f>"陈杰"</f>
        <v>陈杰</v>
      </c>
    </row>
    <row r="2403" spans="1:4" ht="30" customHeight="1">
      <c r="A2403" s="6">
        <v>2401</v>
      </c>
      <c r="B2403" s="6" t="str">
        <f>"508120230423172804140159"</f>
        <v>508120230423172804140159</v>
      </c>
      <c r="C2403" s="6" t="s">
        <v>12</v>
      </c>
      <c r="D2403" s="6" t="str">
        <f>"蔡嵘"</f>
        <v>蔡嵘</v>
      </c>
    </row>
    <row r="2404" spans="1:4" ht="30" customHeight="1">
      <c r="A2404" s="6">
        <v>2402</v>
      </c>
      <c r="B2404" s="6" t="str">
        <f>"508120230421102442138331"</f>
        <v>508120230421102442138331</v>
      </c>
      <c r="C2404" s="6" t="s">
        <v>12</v>
      </c>
      <c r="D2404" s="6" t="str">
        <f>"符冬梅"</f>
        <v>符冬梅</v>
      </c>
    </row>
    <row r="2405" spans="1:4" ht="30" customHeight="1">
      <c r="A2405" s="6">
        <v>2403</v>
      </c>
      <c r="B2405" s="6" t="str">
        <f>"508120230423151859140035"</f>
        <v>508120230423151859140035</v>
      </c>
      <c r="C2405" s="6" t="s">
        <v>12</v>
      </c>
      <c r="D2405" s="6" t="str">
        <f>"曹碧心"</f>
        <v>曹碧心</v>
      </c>
    </row>
    <row r="2406" spans="1:4" ht="30" customHeight="1">
      <c r="A2406" s="6">
        <v>2404</v>
      </c>
      <c r="B2406" s="6" t="str">
        <f>"508120230423180520140174"</f>
        <v>508120230423180520140174</v>
      </c>
      <c r="C2406" s="6" t="s">
        <v>12</v>
      </c>
      <c r="D2406" s="6" t="str">
        <f>"黄琼娇"</f>
        <v>黄琼娇</v>
      </c>
    </row>
    <row r="2407" spans="1:4" ht="30" customHeight="1">
      <c r="A2407" s="6">
        <v>2405</v>
      </c>
      <c r="B2407" s="6" t="str">
        <f>"508120230423151730140029"</f>
        <v>508120230423151730140029</v>
      </c>
      <c r="C2407" s="6" t="s">
        <v>12</v>
      </c>
      <c r="D2407" s="6" t="str">
        <f>"吴蕊"</f>
        <v>吴蕊</v>
      </c>
    </row>
    <row r="2408" spans="1:4" ht="30" customHeight="1">
      <c r="A2408" s="6">
        <v>2406</v>
      </c>
      <c r="B2408" s="6" t="str">
        <f>"508120230421232738139130"</f>
        <v>508120230421232738139130</v>
      </c>
      <c r="C2408" s="6" t="s">
        <v>12</v>
      </c>
      <c r="D2408" s="6" t="str">
        <f>"符华艳"</f>
        <v>符华艳</v>
      </c>
    </row>
    <row r="2409" spans="1:4" ht="30" customHeight="1">
      <c r="A2409" s="6">
        <v>2407</v>
      </c>
      <c r="B2409" s="6" t="str">
        <f>"508120230421100101138274"</f>
        <v>508120230421100101138274</v>
      </c>
      <c r="C2409" s="6" t="s">
        <v>12</v>
      </c>
      <c r="D2409" s="6" t="str">
        <f>"冯怀月"</f>
        <v>冯怀月</v>
      </c>
    </row>
    <row r="2410" spans="1:4" ht="30" customHeight="1">
      <c r="A2410" s="6">
        <v>2408</v>
      </c>
      <c r="B2410" s="6" t="str">
        <f>"508120230423154515140057"</f>
        <v>508120230423154515140057</v>
      </c>
      <c r="C2410" s="6" t="s">
        <v>12</v>
      </c>
      <c r="D2410" s="6" t="str">
        <f>"周发锐"</f>
        <v>周发锐</v>
      </c>
    </row>
    <row r="2411" spans="1:4" ht="30" customHeight="1">
      <c r="A2411" s="6">
        <v>2409</v>
      </c>
      <c r="B2411" s="6" t="str">
        <f>"508120230422085150139174"</f>
        <v>508120230422085150139174</v>
      </c>
      <c r="C2411" s="6" t="s">
        <v>12</v>
      </c>
      <c r="D2411" s="6" t="str">
        <f>"姜霁芸"</f>
        <v>姜霁芸</v>
      </c>
    </row>
    <row r="2412" spans="1:4" ht="30" customHeight="1">
      <c r="A2412" s="6">
        <v>2410</v>
      </c>
      <c r="B2412" s="6" t="str">
        <f>"508120230421164526138868"</f>
        <v>508120230421164526138868</v>
      </c>
      <c r="C2412" s="6" t="s">
        <v>12</v>
      </c>
      <c r="D2412" s="6" t="str">
        <f>"吴秋颜"</f>
        <v>吴秋颜</v>
      </c>
    </row>
    <row r="2413" spans="1:4" ht="30" customHeight="1">
      <c r="A2413" s="6">
        <v>2411</v>
      </c>
      <c r="B2413" s="6" t="str">
        <f>"508120230421132614138611"</f>
        <v>508120230421132614138611</v>
      </c>
      <c r="C2413" s="6" t="s">
        <v>12</v>
      </c>
      <c r="D2413" s="6" t="str">
        <f>"林春蕊"</f>
        <v>林春蕊</v>
      </c>
    </row>
    <row r="2414" spans="1:4" ht="30" customHeight="1">
      <c r="A2414" s="6">
        <v>2412</v>
      </c>
      <c r="B2414" s="6" t="str">
        <f>"508120230423191355140219"</f>
        <v>508120230423191355140219</v>
      </c>
      <c r="C2414" s="6" t="s">
        <v>12</v>
      </c>
      <c r="D2414" s="6" t="str">
        <f>"许进霞"</f>
        <v>许进霞</v>
      </c>
    </row>
    <row r="2415" spans="1:4" ht="30" customHeight="1">
      <c r="A2415" s="6">
        <v>2413</v>
      </c>
      <c r="B2415" s="6" t="str">
        <f>"508120230423192030140221"</f>
        <v>508120230423192030140221</v>
      </c>
      <c r="C2415" s="6" t="s">
        <v>12</v>
      </c>
      <c r="D2415" s="6" t="str">
        <f>"谢惠婷"</f>
        <v>谢惠婷</v>
      </c>
    </row>
    <row r="2416" spans="1:4" ht="30" customHeight="1">
      <c r="A2416" s="6">
        <v>2414</v>
      </c>
      <c r="B2416" s="6" t="str">
        <f>"508120230422214920139600"</f>
        <v>508120230422214920139600</v>
      </c>
      <c r="C2416" s="6" t="s">
        <v>12</v>
      </c>
      <c r="D2416" s="6" t="str">
        <f>"张艺馨"</f>
        <v>张艺馨</v>
      </c>
    </row>
    <row r="2417" spans="1:4" ht="30" customHeight="1">
      <c r="A2417" s="6">
        <v>2415</v>
      </c>
      <c r="B2417" s="6" t="str">
        <f>"508120230422163833139411"</f>
        <v>508120230422163833139411</v>
      </c>
      <c r="C2417" s="6" t="s">
        <v>12</v>
      </c>
      <c r="D2417" s="6" t="str">
        <f>"陈莹"</f>
        <v>陈莹</v>
      </c>
    </row>
    <row r="2418" spans="1:4" ht="30" customHeight="1">
      <c r="A2418" s="6">
        <v>2416</v>
      </c>
      <c r="B2418" s="6" t="str">
        <f>"508120230423172821140160"</f>
        <v>508120230423172821140160</v>
      </c>
      <c r="C2418" s="6" t="s">
        <v>12</v>
      </c>
      <c r="D2418" s="6" t="str">
        <f>"杨志灵"</f>
        <v>杨志灵</v>
      </c>
    </row>
    <row r="2419" spans="1:4" ht="30" customHeight="1">
      <c r="A2419" s="6">
        <v>2417</v>
      </c>
      <c r="B2419" s="6" t="str">
        <f>"508120230423200950140249"</f>
        <v>508120230423200950140249</v>
      </c>
      <c r="C2419" s="6" t="s">
        <v>12</v>
      </c>
      <c r="D2419" s="6" t="str">
        <f>"麦星亮"</f>
        <v>麦星亮</v>
      </c>
    </row>
    <row r="2420" spans="1:4" ht="30" customHeight="1">
      <c r="A2420" s="6">
        <v>2418</v>
      </c>
      <c r="B2420" s="6" t="str">
        <f>"508120230423162919140106"</f>
        <v>508120230423162919140106</v>
      </c>
      <c r="C2420" s="6" t="s">
        <v>12</v>
      </c>
      <c r="D2420" s="6" t="str">
        <f>"梁观仲"</f>
        <v>梁观仲</v>
      </c>
    </row>
    <row r="2421" spans="1:4" ht="30" customHeight="1">
      <c r="A2421" s="6">
        <v>2419</v>
      </c>
      <c r="B2421" s="6" t="str">
        <f>"508120230421124704138585"</f>
        <v>508120230421124704138585</v>
      </c>
      <c r="C2421" s="6" t="s">
        <v>12</v>
      </c>
      <c r="D2421" s="6" t="str">
        <f>"宋昕达"</f>
        <v>宋昕达</v>
      </c>
    </row>
    <row r="2422" spans="1:4" ht="30" customHeight="1">
      <c r="A2422" s="6">
        <v>2420</v>
      </c>
      <c r="B2422" s="6" t="str">
        <f>"508120230423103117139824"</f>
        <v>508120230423103117139824</v>
      </c>
      <c r="C2422" s="6" t="s">
        <v>12</v>
      </c>
      <c r="D2422" s="6" t="str">
        <f>"牛江涛"</f>
        <v>牛江涛</v>
      </c>
    </row>
    <row r="2423" spans="1:4" ht="30" customHeight="1">
      <c r="A2423" s="6">
        <v>2421</v>
      </c>
      <c r="B2423" s="6" t="str">
        <f>"508120230423200638140248"</f>
        <v>508120230423200638140248</v>
      </c>
      <c r="C2423" s="6" t="s">
        <v>12</v>
      </c>
      <c r="D2423" s="6" t="str">
        <f>"林殷艳"</f>
        <v>林殷艳</v>
      </c>
    </row>
    <row r="2424" spans="1:4" ht="30" customHeight="1">
      <c r="A2424" s="6">
        <v>2422</v>
      </c>
      <c r="B2424" s="6" t="str">
        <f>"508120230423201110140254"</f>
        <v>508120230423201110140254</v>
      </c>
      <c r="C2424" s="6" t="s">
        <v>12</v>
      </c>
      <c r="D2424" s="6" t="str">
        <f>"陈梓锋"</f>
        <v>陈梓锋</v>
      </c>
    </row>
    <row r="2425" spans="1:4" ht="30" customHeight="1">
      <c r="A2425" s="6">
        <v>2423</v>
      </c>
      <c r="B2425" s="6" t="str">
        <f>"508120230423105133139838"</f>
        <v>508120230423105133139838</v>
      </c>
      <c r="C2425" s="6" t="s">
        <v>12</v>
      </c>
      <c r="D2425" s="6" t="str">
        <f>"钟浩东"</f>
        <v>钟浩东</v>
      </c>
    </row>
    <row r="2426" spans="1:4" ht="30" customHeight="1">
      <c r="A2426" s="6">
        <v>2424</v>
      </c>
      <c r="B2426" s="6" t="str">
        <f>"508120230423201029140252"</f>
        <v>508120230423201029140252</v>
      </c>
      <c r="C2426" s="6" t="s">
        <v>12</v>
      </c>
      <c r="D2426" s="6" t="str">
        <f>"吴其莊"</f>
        <v>吴其莊</v>
      </c>
    </row>
    <row r="2427" spans="1:4" ht="30" customHeight="1">
      <c r="A2427" s="6">
        <v>2425</v>
      </c>
      <c r="B2427" s="6" t="str">
        <f>"508120230423194743140236"</f>
        <v>508120230423194743140236</v>
      </c>
      <c r="C2427" s="6" t="s">
        <v>12</v>
      </c>
      <c r="D2427" s="6" t="str">
        <f>"杜政纯"</f>
        <v>杜政纯</v>
      </c>
    </row>
    <row r="2428" spans="1:4" ht="30" customHeight="1">
      <c r="A2428" s="6">
        <v>2426</v>
      </c>
      <c r="B2428" s="6" t="str">
        <f>"508120230421174128138932"</f>
        <v>508120230421174128138932</v>
      </c>
      <c r="C2428" s="6" t="s">
        <v>12</v>
      </c>
      <c r="D2428" s="6" t="str">
        <f>"王惟超"</f>
        <v>王惟超</v>
      </c>
    </row>
    <row r="2429" spans="1:4" ht="30" customHeight="1">
      <c r="A2429" s="6">
        <v>2427</v>
      </c>
      <c r="B2429" s="6" t="str">
        <f>"508120230423164437140123"</f>
        <v>508120230423164437140123</v>
      </c>
      <c r="C2429" s="6" t="s">
        <v>12</v>
      </c>
      <c r="D2429" s="6" t="str">
        <f>"高元龙"</f>
        <v>高元龙</v>
      </c>
    </row>
    <row r="2430" spans="1:4" ht="30" customHeight="1">
      <c r="A2430" s="6">
        <v>2428</v>
      </c>
      <c r="B2430" s="6" t="str">
        <f>"508120230423202935140271"</f>
        <v>508120230423202935140271</v>
      </c>
      <c r="C2430" s="6" t="s">
        <v>12</v>
      </c>
      <c r="D2430" s="6" t="str">
        <f>"王丹丹"</f>
        <v>王丹丹</v>
      </c>
    </row>
    <row r="2431" spans="1:4" ht="30" customHeight="1">
      <c r="A2431" s="6">
        <v>2429</v>
      </c>
      <c r="B2431" s="6" t="str">
        <f>"508120230422224147139639"</f>
        <v>508120230422224147139639</v>
      </c>
      <c r="C2431" s="6" t="s">
        <v>12</v>
      </c>
      <c r="D2431" s="6" t="str">
        <f>"杨裕豪"</f>
        <v>杨裕豪</v>
      </c>
    </row>
    <row r="2432" spans="1:4" ht="30" customHeight="1">
      <c r="A2432" s="6">
        <v>2430</v>
      </c>
      <c r="B2432" s="6" t="str">
        <f>"508120230423211229140309"</f>
        <v>508120230423211229140309</v>
      </c>
      <c r="C2432" s="6" t="s">
        <v>12</v>
      </c>
      <c r="D2432" s="6" t="str">
        <f>"黄曦葶"</f>
        <v>黄曦葶</v>
      </c>
    </row>
    <row r="2433" spans="1:4" ht="30" customHeight="1">
      <c r="A2433" s="6">
        <v>2431</v>
      </c>
      <c r="B2433" s="6" t="str">
        <f>"508120230423203356140273"</f>
        <v>508120230423203356140273</v>
      </c>
      <c r="C2433" s="6" t="s">
        <v>12</v>
      </c>
      <c r="D2433" s="6" t="str">
        <f>"蔡少婷"</f>
        <v>蔡少婷</v>
      </c>
    </row>
    <row r="2434" spans="1:4" ht="30" customHeight="1">
      <c r="A2434" s="6">
        <v>2432</v>
      </c>
      <c r="B2434" s="6" t="str">
        <f>"508120230422085511139176"</f>
        <v>508120230422085511139176</v>
      </c>
      <c r="C2434" s="6" t="s">
        <v>12</v>
      </c>
      <c r="D2434" s="6" t="str">
        <f>"覃方园"</f>
        <v>覃方园</v>
      </c>
    </row>
    <row r="2435" spans="1:4" ht="30" customHeight="1">
      <c r="A2435" s="6">
        <v>2433</v>
      </c>
      <c r="B2435" s="6" t="str">
        <f>"508120230421152843138753"</f>
        <v>508120230421152843138753</v>
      </c>
      <c r="C2435" s="6" t="s">
        <v>12</v>
      </c>
      <c r="D2435" s="6" t="str">
        <f>"陈祉萤"</f>
        <v>陈祉萤</v>
      </c>
    </row>
    <row r="2436" spans="1:4" ht="30" customHeight="1">
      <c r="A2436" s="6">
        <v>2434</v>
      </c>
      <c r="B2436" s="6" t="str">
        <f>"508120230422213739139594"</f>
        <v>508120230422213739139594</v>
      </c>
      <c r="C2436" s="6" t="s">
        <v>12</v>
      </c>
      <c r="D2436" s="6" t="str">
        <f>"吴泊儒"</f>
        <v>吴泊儒</v>
      </c>
    </row>
    <row r="2437" spans="1:4" ht="30" customHeight="1">
      <c r="A2437" s="6">
        <v>2435</v>
      </c>
      <c r="B2437" s="6" t="str">
        <f>"508120230423202439140268"</f>
        <v>508120230423202439140268</v>
      </c>
      <c r="C2437" s="6" t="s">
        <v>12</v>
      </c>
      <c r="D2437" s="6" t="str">
        <f>"王思懿"</f>
        <v>王思懿</v>
      </c>
    </row>
    <row r="2438" spans="1:4" ht="30" customHeight="1">
      <c r="A2438" s="6">
        <v>2436</v>
      </c>
      <c r="B2438" s="6" t="str">
        <f>"508120230423211536140315"</f>
        <v>508120230423211536140315</v>
      </c>
      <c r="C2438" s="6" t="s">
        <v>12</v>
      </c>
      <c r="D2438" s="6" t="str">
        <f>"龙秋云"</f>
        <v>龙秋云</v>
      </c>
    </row>
    <row r="2439" spans="1:4" ht="30" customHeight="1">
      <c r="A2439" s="6">
        <v>2437</v>
      </c>
      <c r="B2439" s="6" t="str">
        <f>"508120230423203831140277"</f>
        <v>508120230423203831140277</v>
      </c>
      <c r="C2439" s="6" t="s">
        <v>12</v>
      </c>
      <c r="D2439" s="6" t="str">
        <f>"王帅丁"</f>
        <v>王帅丁</v>
      </c>
    </row>
    <row r="2440" spans="1:4" ht="30" customHeight="1">
      <c r="A2440" s="6">
        <v>2438</v>
      </c>
      <c r="B2440" s="6" t="str">
        <f>"508120230422214844139599"</f>
        <v>508120230422214844139599</v>
      </c>
      <c r="C2440" s="6" t="s">
        <v>12</v>
      </c>
      <c r="D2440" s="6" t="str">
        <f>"吴柔慧"</f>
        <v>吴柔慧</v>
      </c>
    </row>
    <row r="2441" spans="1:4" ht="30" customHeight="1">
      <c r="A2441" s="6">
        <v>2439</v>
      </c>
      <c r="B2441" s="6" t="str">
        <f>"508120230422202057139537"</f>
        <v>508120230422202057139537</v>
      </c>
      <c r="C2441" s="6" t="s">
        <v>12</v>
      </c>
      <c r="D2441" s="6" t="str">
        <f>"陈宝萍"</f>
        <v>陈宝萍</v>
      </c>
    </row>
    <row r="2442" spans="1:4" ht="30" customHeight="1">
      <c r="A2442" s="6">
        <v>2440</v>
      </c>
      <c r="B2442" s="6" t="str">
        <f>"508120230423213348140327"</f>
        <v>508120230423213348140327</v>
      </c>
      <c r="C2442" s="6" t="s">
        <v>12</v>
      </c>
      <c r="D2442" s="6" t="str">
        <f>"翁小武"</f>
        <v>翁小武</v>
      </c>
    </row>
    <row r="2443" spans="1:4" ht="30" customHeight="1">
      <c r="A2443" s="6">
        <v>2441</v>
      </c>
      <c r="B2443" s="6" t="str">
        <f>"508120230423211405140311"</f>
        <v>508120230423211405140311</v>
      </c>
      <c r="C2443" s="6" t="s">
        <v>12</v>
      </c>
      <c r="D2443" s="6" t="str">
        <f>"徐放"</f>
        <v>徐放</v>
      </c>
    </row>
    <row r="2444" spans="1:4" ht="30" customHeight="1">
      <c r="A2444" s="6">
        <v>2442</v>
      </c>
      <c r="B2444" s="6" t="str">
        <f>"508120230422222334139627"</f>
        <v>508120230422222334139627</v>
      </c>
      <c r="C2444" s="6" t="s">
        <v>12</v>
      </c>
      <c r="D2444" s="6" t="str">
        <f>"张雄飞"</f>
        <v>张雄飞</v>
      </c>
    </row>
    <row r="2445" spans="1:4" ht="30" customHeight="1">
      <c r="A2445" s="6">
        <v>2443</v>
      </c>
      <c r="B2445" s="6" t="str">
        <f>"508120230423215841140351"</f>
        <v>508120230423215841140351</v>
      </c>
      <c r="C2445" s="6" t="s">
        <v>12</v>
      </c>
      <c r="D2445" s="6" t="str">
        <f>"肖涵语"</f>
        <v>肖涵语</v>
      </c>
    </row>
    <row r="2446" spans="1:4" ht="30" customHeight="1">
      <c r="A2446" s="6">
        <v>2444</v>
      </c>
      <c r="B2446" s="6" t="str">
        <f>"508120230423221316140363"</f>
        <v>508120230423221316140363</v>
      </c>
      <c r="C2446" s="6" t="s">
        <v>12</v>
      </c>
      <c r="D2446" s="6" t="str">
        <f>"唐青源"</f>
        <v>唐青源</v>
      </c>
    </row>
    <row r="2447" spans="1:4" ht="30" customHeight="1">
      <c r="A2447" s="6">
        <v>2445</v>
      </c>
      <c r="B2447" s="6" t="str">
        <f>"508120230423215424140347"</f>
        <v>508120230423215424140347</v>
      </c>
      <c r="C2447" s="6" t="s">
        <v>12</v>
      </c>
      <c r="D2447" s="6" t="str">
        <f>"杨文君"</f>
        <v>杨文君</v>
      </c>
    </row>
    <row r="2448" spans="1:4" ht="30" customHeight="1">
      <c r="A2448" s="6">
        <v>2446</v>
      </c>
      <c r="B2448" s="6" t="str">
        <f>"508120230423213446140328"</f>
        <v>508120230423213446140328</v>
      </c>
      <c r="C2448" s="6" t="s">
        <v>12</v>
      </c>
      <c r="D2448" s="6" t="str">
        <f>"杨晓霞"</f>
        <v>杨晓霞</v>
      </c>
    </row>
    <row r="2449" spans="1:4" ht="30" customHeight="1">
      <c r="A2449" s="6">
        <v>2447</v>
      </c>
      <c r="B2449" s="6" t="str">
        <f>"508120230423220640140357"</f>
        <v>508120230423220640140357</v>
      </c>
      <c r="C2449" s="6" t="s">
        <v>12</v>
      </c>
      <c r="D2449" s="6" t="str">
        <f>"孙静怡"</f>
        <v>孙静怡</v>
      </c>
    </row>
    <row r="2450" spans="1:4" ht="30" customHeight="1">
      <c r="A2450" s="6">
        <v>2448</v>
      </c>
      <c r="B2450" s="6" t="str">
        <f>"508120230422154842139394"</f>
        <v>508120230422154842139394</v>
      </c>
      <c r="C2450" s="6" t="s">
        <v>12</v>
      </c>
      <c r="D2450" s="6" t="str">
        <f>"丁强辉"</f>
        <v>丁强辉</v>
      </c>
    </row>
    <row r="2451" spans="1:4" ht="30" customHeight="1">
      <c r="A2451" s="6">
        <v>2449</v>
      </c>
      <c r="B2451" s="6" t="str">
        <f>"508120230422155807139401"</f>
        <v>508120230422155807139401</v>
      </c>
      <c r="C2451" s="6" t="s">
        <v>12</v>
      </c>
      <c r="D2451" s="6" t="str">
        <f>"于民袖"</f>
        <v>于民袖</v>
      </c>
    </row>
    <row r="2452" spans="1:4" ht="30" customHeight="1">
      <c r="A2452" s="6">
        <v>2450</v>
      </c>
      <c r="B2452" s="6" t="str">
        <f>"508120230423150410140011"</f>
        <v>508120230423150410140011</v>
      </c>
      <c r="C2452" s="6" t="s">
        <v>12</v>
      </c>
      <c r="D2452" s="6" t="str">
        <f>"郭于婷"</f>
        <v>郭于婷</v>
      </c>
    </row>
    <row r="2453" spans="1:4" ht="30" customHeight="1">
      <c r="A2453" s="6">
        <v>2451</v>
      </c>
      <c r="B2453" s="6" t="str">
        <f>"508120230423220254140355"</f>
        <v>508120230423220254140355</v>
      </c>
      <c r="C2453" s="6" t="s">
        <v>12</v>
      </c>
      <c r="D2453" s="6" t="str">
        <f>"王慧"</f>
        <v>王慧</v>
      </c>
    </row>
    <row r="2454" spans="1:4" ht="30" customHeight="1">
      <c r="A2454" s="6">
        <v>2452</v>
      </c>
      <c r="B2454" s="6" t="str">
        <f>"508120230423221911140370"</f>
        <v>508120230423221911140370</v>
      </c>
      <c r="C2454" s="6" t="s">
        <v>12</v>
      </c>
      <c r="D2454" s="6" t="str">
        <f>"王柳丁"</f>
        <v>王柳丁</v>
      </c>
    </row>
    <row r="2455" spans="1:4" ht="30" customHeight="1">
      <c r="A2455" s="6">
        <v>2453</v>
      </c>
      <c r="B2455" s="6" t="str">
        <f>"508120230423221913140371"</f>
        <v>508120230423221913140371</v>
      </c>
      <c r="C2455" s="6" t="s">
        <v>12</v>
      </c>
      <c r="D2455" s="6" t="str">
        <f>"符史俊"</f>
        <v>符史俊</v>
      </c>
    </row>
    <row r="2456" spans="1:4" ht="30" customHeight="1">
      <c r="A2456" s="6">
        <v>2454</v>
      </c>
      <c r="B2456" s="6" t="str">
        <f>"508120230423002333139686"</f>
        <v>508120230423002333139686</v>
      </c>
      <c r="C2456" s="6" t="s">
        <v>12</v>
      </c>
      <c r="D2456" s="6" t="str">
        <f>"张幸"</f>
        <v>张幸</v>
      </c>
    </row>
    <row r="2457" spans="1:4" ht="30" customHeight="1">
      <c r="A2457" s="6">
        <v>2455</v>
      </c>
      <c r="B2457" s="6" t="str">
        <f>"508120230423202900140270"</f>
        <v>508120230423202900140270</v>
      </c>
      <c r="C2457" s="6" t="s">
        <v>12</v>
      </c>
      <c r="D2457" s="6" t="str">
        <f>"蔡玉霖"</f>
        <v>蔡玉霖</v>
      </c>
    </row>
    <row r="2458" spans="1:4" ht="30" customHeight="1">
      <c r="A2458" s="6">
        <v>2456</v>
      </c>
      <c r="B2458" s="6" t="str">
        <f>"508120230423224626140388"</f>
        <v>508120230423224626140388</v>
      </c>
      <c r="C2458" s="6" t="s">
        <v>12</v>
      </c>
      <c r="D2458" s="6" t="str">
        <f>"李桂娟"</f>
        <v>李桂娟</v>
      </c>
    </row>
    <row r="2459" spans="1:4" ht="30" customHeight="1">
      <c r="A2459" s="6">
        <v>2457</v>
      </c>
      <c r="B2459" s="6" t="str">
        <f>"508120230423215326140344"</f>
        <v>508120230423215326140344</v>
      </c>
      <c r="C2459" s="6" t="s">
        <v>12</v>
      </c>
      <c r="D2459" s="6" t="str">
        <f>"王春宇"</f>
        <v>王春宇</v>
      </c>
    </row>
    <row r="2460" spans="1:4" ht="30" customHeight="1">
      <c r="A2460" s="6">
        <v>2458</v>
      </c>
      <c r="B2460" s="6" t="str">
        <f>"508120230423145436140003"</f>
        <v>508120230423145436140003</v>
      </c>
      <c r="C2460" s="6" t="s">
        <v>12</v>
      </c>
      <c r="D2460" s="6" t="str">
        <f>"冯双"</f>
        <v>冯双</v>
      </c>
    </row>
    <row r="2461" spans="1:4" ht="30" customHeight="1">
      <c r="A2461" s="6">
        <v>2459</v>
      </c>
      <c r="B2461" s="6" t="str">
        <f>"508120230423223939140380"</f>
        <v>508120230423223939140380</v>
      </c>
      <c r="C2461" s="6" t="s">
        <v>12</v>
      </c>
      <c r="D2461" s="6" t="str">
        <f>"吴玲玲"</f>
        <v>吴玲玲</v>
      </c>
    </row>
    <row r="2462" spans="1:4" ht="30" customHeight="1">
      <c r="A2462" s="6">
        <v>2460</v>
      </c>
      <c r="B2462" s="6" t="str">
        <f>"508120230423225942140394"</f>
        <v>508120230423225942140394</v>
      </c>
      <c r="C2462" s="6" t="s">
        <v>12</v>
      </c>
      <c r="D2462" s="6" t="str">
        <f>"吴钟文"</f>
        <v>吴钟文</v>
      </c>
    </row>
    <row r="2463" spans="1:4" ht="30" customHeight="1">
      <c r="A2463" s="6">
        <v>2461</v>
      </c>
      <c r="B2463" s="6" t="str">
        <f>"508120230423231607140411"</f>
        <v>508120230423231607140411</v>
      </c>
      <c r="C2463" s="6" t="s">
        <v>12</v>
      </c>
      <c r="D2463" s="6" t="str">
        <f>"吴燕蔓"</f>
        <v>吴燕蔓</v>
      </c>
    </row>
    <row r="2464" spans="1:4" ht="30" customHeight="1">
      <c r="A2464" s="6">
        <v>2462</v>
      </c>
      <c r="B2464" s="6" t="str">
        <f>"508120230423230122140398"</f>
        <v>508120230423230122140398</v>
      </c>
      <c r="C2464" s="6" t="s">
        <v>12</v>
      </c>
      <c r="D2464" s="6" t="str">
        <f>"符春怡"</f>
        <v>符春怡</v>
      </c>
    </row>
    <row r="2465" spans="1:4" ht="30" customHeight="1">
      <c r="A2465" s="6">
        <v>2463</v>
      </c>
      <c r="B2465" s="6" t="str">
        <f>"508120230422203040139548"</f>
        <v>508120230422203040139548</v>
      </c>
      <c r="C2465" s="6" t="s">
        <v>12</v>
      </c>
      <c r="D2465" s="6" t="str">
        <f>"禤俊岑"</f>
        <v>禤俊岑</v>
      </c>
    </row>
    <row r="2466" spans="1:4" ht="30" customHeight="1">
      <c r="A2466" s="6">
        <v>2464</v>
      </c>
      <c r="B2466" s="6" t="str">
        <f>"508120230423230252140402"</f>
        <v>508120230423230252140402</v>
      </c>
      <c r="C2466" s="6" t="s">
        <v>12</v>
      </c>
      <c r="D2466" s="6" t="str">
        <f>"郑晓娟"</f>
        <v>郑晓娟</v>
      </c>
    </row>
    <row r="2467" spans="1:4" ht="30" customHeight="1">
      <c r="A2467" s="6">
        <v>2465</v>
      </c>
      <c r="B2467" s="6" t="str">
        <f>"508120230422115238139276"</f>
        <v>508120230422115238139276</v>
      </c>
      <c r="C2467" s="6" t="s">
        <v>12</v>
      </c>
      <c r="D2467" s="6" t="str">
        <f>"苏经斌"</f>
        <v>苏经斌</v>
      </c>
    </row>
    <row r="2468" spans="1:4" ht="30" customHeight="1">
      <c r="A2468" s="6">
        <v>2466</v>
      </c>
      <c r="B2468" s="6" t="str">
        <f>"508120230423231257140406"</f>
        <v>508120230423231257140406</v>
      </c>
      <c r="C2468" s="6" t="s">
        <v>12</v>
      </c>
      <c r="D2468" s="6" t="str">
        <f>"谢慧芬"</f>
        <v>谢慧芬</v>
      </c>
    </row>
    <row r="2469" spans="1:4" ht="30" customHeight="1">
      <c r="A2469" s="6">
        <v>2467</v>
      </c>
      <c r="B2469" s="6" t="str">
        <f>"508120230422213452139591"</f>
        <v>508120230422213452139591</v>
      </c>
      <c r="C2469" s="6" t="s">
        <v>12</v>
      </c>
      <c r="D2469" s="6" t="str">
        <f>"李佳洁"</f>
        <v>李佳洁</v>
      </c>
    </row>
    <row r="2470" spans="1:4" ht="30" customHeight="1">
      <c r="A2470" s="6">
        <v>2468</v>
      </c>
      <c r="B2470" s="6" t="str">
        <f>"508120230422013759139155"</f>
        <v>508120230422013759139155</v>
      </c>
      <c r="C2470" s="6" t="s">
        <v>12</v>
      </c>
      <c r="D2470" s="6" t="str">
        <f>"周茂林"</f>
        <v>周茂林</v>
      </c>
    </row>
    <row r="2471" spans="1:4" ht="30" customHeight="1">
      <c r="A2471" s="6">
        <v>2469</v>
      </c>
      <c r="B2471" s="6" t="str">
        <f>"508120230423125808139946"</f>
        <v>508120230423125808139946</v>
      </c>
      <c r="C2471" s="6" t="s">
        <v>12</v>
      </c>
      <c r="D2471" s="6" t="str">
        <f>"陈糠"</f>
        <v>陈糠</v>
      </c>
    </row>
    <row r="2472" spans="1:4" ht="30" customHeight="1">
      <c r="A2472" s="6">
        <v>2470</v>
      </c>
      <c r="B2472" s="6" t="str">
        <f>"508120230421090138138085"</f>
        <v>508120230421090138138085</v>
      </c>
      <c r="C2472" s="6" t="s">
        <v>12</v>
      </c>
      <c r="D2472" s="6" t="str">
        <f>"周其良"</f>
        <v>周其良</v>
      </c>
    </row>
    <row r="2473" spans="1:4" ht="30" customHeight="1">
      <c r="A2473" s="6">
        <v>2471</v>
      </c>
      <c r="B2473" s="6" t="str">
        <f>"508120230424085045140474"</f>
        <v>508120230424085045140474</v>
      </c>
      <c r="C2473" s="6" t="s">
        <v>12</v>
      </c>
      <c r="D2473" s="6" t="str">
        <f>"叶召琴"</f>
        <v>叶召琴</v>
      </c>
    </row>
    <row r="2474" spans="1:4" ht="30" customHeight="1">
      <c r="A2474" s="6">
        <v>2472</v>
      </c>
      <c r="B2474" s="6" t="str">
        <f>"508120230424082404140457"</f>
        <v>508120230424082404140457</v>
      </c>
      <c r="C2474" s="6" t="s">
        <v>12</v>
      </c>
      <c r="D2474" s="6" t="str">
        <f>"王琪"</f>
        <v>王琪</v>
      </c>
    </row>
    <row r="2475" spans="1:4" ht="30" customHeight="1">
      <c r="A2475" s="6">
        <v>2473</v>
      </c>
      <c r="B2475" s="6" t="str">
        <f>"508120230424084828140470"</f>
        <v>508120230424084828140470</v>
      </c>
      <c r="C2475" s="6" t="s">
        <v>12</v>
      </c>
      <c r="D2475" s="6" t="str">
        <f>"邢开岱"</f>
        <v>邢开岱</v>
      </c>
    </row>
    <row r="2476" spans="1:4" ht="30" customHeight="1">
      <c r="A2476" s="6">
        <v>2474</v>
      </c>
      <c r="B2476" s="6" t="str">
        <f>"508120230424082056140452"</f>
        <v>508120230424082056140452</v>
      </c>
      <c r="C2476" s="6" t="s">
        <v>12</v>
      </c>
      <c r="D2476" s="6" t="str">
        <f>"韩允欢"</f>
        <v>韩允欢</v>
      </c>
    </row>
    <row r="2477" spans="1:4" ht="30" customHeight="1">
      <c r="A2477" s="6">
        <v>2475</v>
      </c>
      <c r="B2477" s="6" t="str">
        <f>"508120230424090003140481"</f>
        <v>508120230424090003140481</v>
      </c>
      <c r="C2477" s="6" t="s">
        <v>12</v>
      </c>
      <c r="D2477" s="6" t="str">
        <f>"许小娜"</f>
        <v>许小娜</v>
      </c>
    </row>
    <row r="2478" spans="1:4" ht="30" customHeight="1">
      <c r="A2478" s="6">
        <v>2476</v>
      </c>
      <c r="B2478" s="6" t="str">
        <f>"508120230424090105140482"</f>
        <v>508120230424090105140482</v>
      </c>
      <c r="C2478" s="6" t="s">
        <v>12</v>
      </c>
      <c r="D2478" s="6" t="str">
        <f>"符宗宇"</f>
        <v>符宗宇</v>
      </c>
    </row>
    <row r="2479" spans="1:4" ht="30" customHeight="1">
      <c r="A2479" s="6">
        <v>2477</v>
      </c>
      <c r="B2479" s="6" t="str">
        <f>"508120230424093125140512"</f>
        <v>508120230424093125140512</v>
      </c>
      <c r="C2479" s="6" t="s">
        <v>12</v>
      </c>
      <c r="D2479" s="6" t="str">
        <f>"陈扬"</f>
        <v>陈扬</v>
      </c>
    </row>
    <row r="2480" spans="1:4" ht="30" customHeight="1">
      <c r="A2480" s="6">
        <v>2478</v>
      </c>
      <c r="B2480" s="6" t="str">
        <f>"508120230421091221138127"</f>
        <v>508120230421091221138127</v>
      </c>
      <c r="C2480" s="6" t="s">
        <v>12</v>
      </c>
      <c r="D2480" s="6" t="str">
        <f>"徐新皓"</f>
        <v>徐新皓</v>
      </c>
    </row>
    <row r="2481" spans="1:4" ht="30" customHeight="1">
      <c r="A2481" s="6">
        <v>2479</v>
      </c>
      <c r="B2481" s="6" t="str">
        <f>"508120230424093949140520"</f>
        <v>508120230424093949140520</v>
      </c>
      <c r="C2481" s="6" t="s">
        <v>12</v>
      </c>
      <c r="D2481" s="6" t="str">
        <f>"郑安彤"</f>
        <v>郑安彤</v>
      </c>
    </row>
    <row r="2482" spans="1:4" ht="30" customHeight="1">
      <c r="A2482" s="6">
        <v>2480</v>
      </c>
      <c r="B2482" s="6" t="str">
        <f>"508120230424091414140496"</f>
        <v>508120230424091414140496</v>
      </c>
      <c r="C2482" s="6" t="s">
        <v>12</v>
      </c>
      <c r="D2482" s="6" t="str">
        <f>"孙露露"</f>
        <v>孙露露</v>
      </c>
    </row>
    <row r="2483" spans="1:4" ht="30" customHeight="1">
      <c r="A2483" s="6">
        <v>2481</v>
      </c>
      <c r="B2483" s="6" t="str">
        <f>"508120230424085353140478"</f>
        <v>508120230424085353140478</v>
      </c>
      <c r="C2483" s="6" t="s">
        <v>12</v>
      </c>
      <c r="D2483" s="6" t="str">
        <f>"晏啸峰"</f>
        <v>晏啸峰</v>
      </c>
    </row>
    <row r="2484" spans="1:4" ht="30" customHeight="1">
      <c r="A2484" s="6">
        <v>2482</v>
      </c>
      <c r="B2484" s="6" t="str">
        <f>"508120230423181908140186"</f>
        <v>508120230423181908140186</v>
      </c>
      <c r="C2484" s="6" t="s">
        <v>12</v>
      </c>
      <c r="D2484" s="6" t="str">
        <f>"林丹丹"</f>
        <v>林丹丹</v>
      </c>
    </row>
    <row r="2485" spans="1:4" ht="30" customHeight="1">
      <c r="A2485" s="6">
        <v>2483</v>
      </c>
      <c r="B2485" s="6" t="str">
        <f>"508120230424093933140518"</f>
        <v>508120230424093933140518</v>
      </c>
      <c r="C2485" s="6" t="s">
        <v>12</v>
      </c>
      <c r="D2485" s="6" t="str">
        <f>"罗丛青"</f>
        <v>罗丛青</v>
      </c>
    </row>
    <row r="2486" spans="1:4" ht="30" customHeight="1">
      <c r="A2486" s="6">
        <v>2484</v>
      </c>
      <c r="B2486" s="6" t="str">
        <f>"508120230424095932140549"</f>
        <v>508120230424095932140549</v>
      </c>
      <c r="C2486" s="6" t="s">
        <v>12</v>
      </c>
      <c r="D2486" s="6" t="str">
        <f>"张江丽"</f>
        <v>张江丽</v>
      </c>
    </row>
    <row r="2487" spans="1:4" ht="30" customHeight="1">
      <c r="A2487" s="6">
        <v>2485</v>
      </c>
      <c r="B2487" s="6" t="str">
        <f>"508120230424100928140561"</f>
        <v>508120230424100928140561</v>
      </c>
      <c r="C2487" s="6" t="s">
        <v>12</v>
      </c>
      <c r="D2487" s="6" t="str">
        <f>"路璐"</f>
        <v>路璐</v>
      </c>
    </row>
    <row r="2488" spans="1:4" ht="30" customHeight="1">
      <c r="A2488" s="6">
        <v>2486</v>
      </c>
      <c r="B2488" s="6" t="str">
        <f>"508120230423091416139744"</f>
        <v>508120230423091416139744</v>
      </c>
      <c r="C2488" s="6" t="s">
        <v>12</v>
      </c>
      <c r="D2488" s="6" t="str">
        <f>"许丽曼"</f>
        <v>许丽曼</v>
      </c>
    </row>
    <row r="2489" spans="1:4" ht="30" customHeight="1">
      <c r="A2489" s="6">
        <v>2487</v>
      </c>
      <c r="B2489" s="6" t="str">
        <f>"508120230424084518140468"</f>
        <v>508120230424084518140468</v>
      </c>
      <c r="C2489" s="6" t="s">
        <v>12</v>
      </c>
      <c r="D2489" s="6" t="str">
        <f>"曾伊"</f>
        <v>曾伊</v>
      </c>
    </row>
    <row r="2490" spans="1:4" ht="30" customHeight="1">
      <c r="A2490" s="6">
        <v>2488</v>
      </c>
      <c r="B2490" s="6" t="str">
        <f>"508120230424103722140597"</f>
        <v>508120230424103722140597</v>
      </c>
      <c r="C2490" s="6" t="s">
        <v>12</v>
      </c>
      <c r="D2490" s="6" t="str">
        <f>"王靖怡"</f>
        <v>王靖怡</v>
      </c>
    </row>
    <row r="2491" spans="1:4" ht="30" customHeight="1">
      <c r="A2491" s="6">
        <v>2489</v>
      </c>
      <c r="B2491" s="6" t="str">
        <f>"508120230424100647140556"</f>
        <v>508120230424100647140556</v>
      </c>
      <c r="C2491" s="6" t="s">
        <v>12</v>
      </c>
      <c r="D2491" s="6" t="str">
        <f>"蔡盼盼"</f>
        <v>蔡盼盼</v>
      </c>
    </row>
    <row r="2492" spans="1:4" ht="30" customHeight="1">
      <c r="A2492" s="6">
        <v>2490</v>
      </c>
      <c r="B2492" s="6" t="str">
        <f>"508120230423165903140141"</f>
        <v>508120230423165903140141</v>
      </c>
      <c r="C2492" s="6" t="s">
        <v>12</v>
      </c>
      <c r="D2492" s="6" t="str">
        <f>"黄世权"</f>
        <v>黄世权</v>
      </c>
    </row>
    <row r="2493" spans="1:4" ht="30" customHeight="1">
      <c r="A2493" s="6">
        <v>2491</v>
      </c>
      <c r="B2493" s="6" t="str">
        <f>"508120230423114843139905"</f>
        <v>508120230423114843139905</v>
      </c>
      <c r="C2493" s="6" t="s">
        <v>12</v>
      </c>
      <c r="D2493" s="6" t="str">
        <f>"蔡本亮"</f>
        <v>蔡本亮</v>
      </c>
    </row>
    <row r="2494" spans="1:4" ht="30" customHeight="1">
      <c r="A2494" s="6">
        <v>2492</v>
      </c>
      <c r="B2494" s="6" t="str">
        <f>"508120230424104441140606"</f>
        <v>508120230424104441140606</v>
      </c>
      <c r="C2494" s="6" t="s">
        <v>12</v>
      </c>
      <c r="D2494" s="6" t="str">
        <f>"叶雪莲"</f>
        <v>叶雪莲</v>
      </c>
    </row>
    <row r="2495" spans="1:4" ht="30" customHeight="1">
      <c r="A2495" s="6">
        <v>2493</v>
      </c>
      <c r="B2495" s="6" t="str">
        <f>"508120230424103252140588"</f>
        <v>508120230424103252140588</v>
      </c>
      <c r="C2495" s="6" t="s">
        <v>12</v>
      </c>
      <c r="D2495" s="6" t="str">
        <f>"朱声泽"</f>
        <v>朱声泽</v>
      </c>
    </row>
    <row r="2496" spans="1:4" ht="30" customHeight="1">
      <c r="A2496" s="6">
        <v>2494</v>
      </c>
      <c r="B2496" s="6" t="str">
        <f>"508120230423124859139941"</f>
        <v>508120230423124859139941</v>
      </c>
      <c r="C2496" s="6" t="s">
        <v>12</v>
      </c>
      <c r="D2496" s="6" t="str">
        <f>"林娇丽"</f>
        <v>林娇丽</v>
      </c>
    </row>
    <row r="2497" spans="1:4" ht="30" customHeight="1">
      <c r="A2497" s="6">
        <v>2495</v>
      </c>
      <c r="B2497" s="6" t="str">
        <f>"508120230423202316140265"</f>
        <v>508120230423202316140265</v>
      </c>
      <c r="C2497" s="6" t="s">
        <v>12</v>
      </c>
      <c r="D2497" s="6" t="str">
        <f>"黄梓栎"</f>
        <v>黄梓栎</v>
      </c>
    </row>
    <row r="2498" spans="1:4" ht="30" customHeight="1">
      <c r="A2498" s="6">
        <v>2496</v>
      </c>
      <c r="B2498" s="6" t="str">
        <f>"508120230424105444140613"</f>
        <v>508120230424105444140613</v>
      </c>
      <c r="C2498" s="6" t="s">
        <v>12</v>
      </c>
      <c r="D2498" s="6" t="str">
        <f>"饶雪青"</f>
        <v>饶雪青</v>
      </c>
    </row>
    <row r="2499" spans="1:4" ht="30" customHeight="1">
      <c r="A2499" s="6">
        <v>2497</v>
      </c>
      <c r="B2499" s="6" t="str">
        <f>"508120230422170624139431"</f>
        <v>508120230422170624139431</v>
      </c>
      <c r="C2499" s="6" t="s">
        <v>12</v>
      </c>
      <c r="D2499" s="6" t="str">
        <f>"冯海林"</f>
        <v>冯海林</v>
      </c>
    </row>
    <row r="2500" spans="1:4" ht="30" customHeight="1">
      <c r="A2500" s="6">
        <v>2498</v>
      </c>
      <c r="B2500" s="6" t="str">
        <f>"508120230421165609138885"</f>
        <v>508120230421165609138885</v>
      </c>
      <c r="C2500" s="6" t="s">
        <v>12</v>
      </c>
      <c r="D2500" s="6" t="str">
        <f>"周玉燕"</f>
        <v>周玉燕</v>
      </c>
    </row>
    <row r="2501" spans="1:4" ht="30" customHeight="1">
      <c r="A2501" s="6">
        <v>2499</v>
      </c>
      <c r="B2501" s="6" t="str">
        <f>"508120230423075656139700"</f>
        <v>508120230423075656139700</v>
      </c>
      <c r="C2501" s="6" t="s">
        <v>12</v>
      </c>
      <c r="D2501" s="6" t="str">
        <f>"刘小雅"</f>
        <v>刘小雅</v>
      </c>
    </row>
    <row r="2502" spans="1:4" ht="30" customHeight="1">
      <c r="A2502" s="6">
        <v>2500</v>
      </c>
      <c r="B2502" s="6" t="str">
        <f>"508120230424120531140678"</f>
        <v>508120230424120531140678</v>
      </c>
      <c r="C2502" s="6" t="s">
        <v>12</v>
      </c>
      <c r="D2502" s="6" t="str">
        <f>"李贵珍"</f>
        <v>李贵珍</v>
      </c>
    </row>
    <row r="2503" spans="1:4" ht="30" customHeight="1">
      <c r="A2503" s="6">
        <v>2501</v>
      </c>
      <c r="B2503" s="6" t="str">
        <f>"508120230421093621138196"</f>
        <v>508120230421093621138196</v>
      </c>
      <c r="C2503" s="6" t="s">
        <v>12</v>
      </c>
      <c r="D2503" s="6" t="str">
        <f>"林皞"</f>
        <v>林皞</v>
      </c>
    </row>
    <row r="2504" spans="1:4" ht="30" customHeight="1">
      <c r="A2504" s="6">
        <v>2502</v>
      </c>
      <c r="B2504" s="6" t="str">
        <f>"508120230421114000138489"</f>
        <v>508120230421114000138489</v>
      </c>
      <c r="C2504" s="6" t="s">
        <v>12</v>
      </c>
      <c r="D2504" s="6" t="str">
        <f>"麦明珍"</f>
        <v>麦明珍</v>
      </c>
    </row>
    <row r="2505" spans="1:4" ht="30" customHeight="1">
      <c r="A2505" s="6">
        <v>2503</v>
      </c>
      <c r="B2505" s="6" t="str">
        <f>"508120230424130525140710"</f>
        <v>508120230424130525140710</v>
      </c>
      <c r="C2505" s="6" t="s">
        <v>12</v>
      </c>
      <c r="D2505" s="6" t="str">
        <f>"彭传倬"</f>
        <v>彭传倬</v>
      </c>
    </row>
    <row r="2506" spans="1:4" ht="30" customHeight="1">
      <c r="A2506" s="6">
        <v>2504</v>
      </c>
      <c r="B2506" s="6" t="str">
        <f>"508120230422231215139658"</f>
        <v>508120230422231215139658</v>
      </c>
      <c r="C2506" s="6" t="s">
        <v>12</v>
      </c>
      <c r="D2506" s="6" t="str">
        <f>"邢虹"</f>
        <v>邢虹</v>
      </c>
    </row>
    <row r="2507" spans="1:4" ht="30" customHeight="1">
      <c r="A2507" s="6">
        <v>2505</v>
      </c>
      <c r="B2507" s="6" t="str">
        <f>"508120230424124953140700"</f>
        <v>508120230424124953140700</v>
      </c>
      <c r="C2507" s="6" t="s">
        <v>12</v>
      </c>
      <c r="D2507" s="6" t="str">
        <f>"吴才选"</f>
        <v>吴才选</v>
      </c>
    </row>
    <row r="2508" spans="1:4" ht="30" customHeight="1">
      <c r="A2508" s="6">
        <v>2506</v>
      </c>
      <c r="B2508" s="6" t="str">
        <f>"508120230424133012140724"</f>
        <v>508120230424133012140724</v>
      </c>
      <c r="C2508" s="6" t="s">
        <v>12</v>
      </c>
      <c r="D2508" s="6" t="str">
        <f>"吴明月"</f>
        <v>吴明月</v>
      </c>
    </row>
    <row r="2509" spans="1:4" ht="30" customHeight="1">
      <c r="A2509" s="6">
        <v>2507</v>
      </c>
      <c r="B2509" s="6" t="str">
        <f>"508120230421141048138643"</f>
        <v>508120230421141048138643</v>
      </c>
      <c r="C2509" s="6" t="s">
        <v>12</v>
      </c>
      <c r="D2509" s="6" t="str">
        <f>"韩雅丽"</f>
        <v>韩雅丽</v>
      </c>
    </row>
    <row r="2510" spans="1:4" ht="30" customHeight="1">
      <c r="A2510" s="6">
        <v>2508</v>
      </c>
      <c r="B2510" s="6" t="str">
        <f>"508120230424120326140677"</f>
        <v>508120230424120326140677</v>
      </c>
      <c r="C2510" s="6" t="s">
        <v>12</v>
      </c>
      <c r="D2510" s="6" t="str">
        <f>"王丽"</f>
        <v>王丽</v>
      </c>
    </row>
    <row r="2511" spans="1:4" ht="30" customHeight="1">
      <c r="A2511" s="6">
        <v>2509</v>
      </c>
      <c r="B2511" s="6" t="str">
        <f>"508120230423171559140153"</f>
        <v>508120230423171559140153</v>
      </c>
      <c r="C2511" s="6" t="s">
        <v>12</v>
      </c>
      <c r="D2511" s="6" t="str">
        <f>"陈章叶"</f>
        <v>陈章叶</v>
      </c>
    </row>
    <row r="2512" spans="1:4" ht="30" customHeight="1">
      <c r="A2512" s="6">
        <v>2510</v>
      </c>
      <c r="B2512" s="6" t="str">
        <f>"508120230424112136140636"</f>
        <v>508120230424112136140636</v>
      </c>
      <c r="C2512" s="6" t="s">
        <v>12</v>
      </c>
      <c r="D2512" s="6" t="str">
        <f>"韩谢英"</f>
        <v>韩谢英</v>
      </c>
    </row>
    <row r="2513" spans="1:4" ht="30" customHeight="1">
      <c r="A2513" s="6">
        <v>2511</v>
      </c>
      <c r="B2513" s="6" t="str">
        <f>"508120230424132925140723"</f>
        <v>508120230424132925140723</v>
      </c>
      <c r="C2513" s="6" t="s">
        <v>12</v>
      </c>
      <c r="D2513" s="6" t="str">
        <f>"董凯臣"</f>
        <v>董凯臣</v>
      </c>
    </row>
    <row r="2514" spans="1:4" ht="30" customHeight="1">
      <c r="A2514" s="6">
        <v>2512</v>
      </c>
      <c r="B2514" s="6" t="str">
        <f>"508120230423170151140143"</f>
        <v>508120230423170151140143</v>
      </c>
      <c r="C2514" s="6" t="s">
        <v>12</v>
      </c>
      <c r="D2514" s="6" t="str">
        <f>"祁锐"</f>
        <v>祁锐</v>
      </c>
    </row>
    <row r="2515" spans="1:4" ht="30" customHeight="1">
      <c r="A2515" s="6">
        <v>2513</v>
      </c>
      <c r="B2515" s="6" t="str">
        <f>"508120230424110246140621"</f>
        <v>508120230424110246140621</v>
      </c>
      <c r="C2515" s="6" t="s">
        <v>12</v>
      </c>
      <c r="D2515" s="6" t="str">
        <f>"曾海娟"</f>
        <v>曾海娟</v>
      </c>
    </row>
    <row r="2516" spans="1:4" ht="30" customHeight="1">
      <c r="A2516" s="6">
        <v>2514</v>
      </c>
      <c r="B2516" s="6" t="str">
        <f>"508120230424132413140719"</f>
        <v>508120230424132413140719</v>
      </c>
      <c r="C2516" s="6" t="s">
        <v>12</v>
      </c>
      <c r="D2516" s="6" t="str">
        <f>"黎经璨"</f>
        <v>黎经璨</v>
      </c>
    </row>
    <row r="2517" spans="1:4" ht="30" customHeight="1">
      <c r="A2517" s="6">
        <v>2515</v>
      </c>
      <c r="B2517" s="6" t="str">
        <f>"508120230424104124140601"</f>
        <v>508120230424104124140601</v>
      </c>
      <c r="C2517" s="6" t="s">
        <v>12</v>
      </c>
      <c r="D2517" s="6" t="str">
        <f>"王妤涵"</f>
        <v>王妤涵</v>
      </c>
    </row>
    <row r="2518" spans="1:4" ht="30" customHeight="1">
      <c r="A2518" s="6">
        <v>2516</v>
      </c>
      <c r="B2518" s="6" t="str">
        <f>"508120230424143657140744"</f>
        <v>508120230424143657140744</v>
      </c>
      <c r="C2518" s="6" t="s">
        <v>12</v>
      </c>
      <c r="D2518" s="6" t="str">
        <f>"王妮"</f>
        <v>王妮</v>
      </c>
    </row>
    <row r="2519" spans="1:4" ht="30" customHeight="1">
      <c r="A2519" s="6">
        <v>2517</v>
      </c>
      <c r="B2519" s="6" t="str">
        <f>"508120230421090504138104"</f>
        <v>508120230421090504138104</v>
      </c>
      <c r="C2519" s="6" t="s">
        <v>12</v>
      </c>
      <c r="D2519" s="6" t="str">
        <f>"李文晶"</f>
        <v>李文晶</v>
      </c>
    </row>
    <row r="2520" spans="1:4" ht="30" customHeight="1">
      <c r="A2520" s="6">
        <v>2518</v>
      </c>
      <c r="B2520" s="6" t="str">
        <f>"508120230424132031140717"</f>
        <v>508120230424132031140717</v>
      </c>
      <c r="C2520" s="6" t="s">
        <v>12</v>
      </c>
      <c r="D2520" s="6" t="str">
        <f>"周颖"</f>
        <v>周颖</v>
      </c>
    </row>
    <row r="2521" spans="1:4" ht="30" customHeight="1">
      <c r="A2521" s="6">
        <v>2519</v>
      </c>
      <c r="B2521" s="6" t="str">
        <f>"508120230424150944140765"</f>
        <v>508120230424150944140765</v>
      </c>
      <c r="C2521" s="6" t="s">
        <v>12</v>
      </c>
      <c r="D2521" s="6" t="str">
        <f>"谢文"</f>
        <v>谢文</v>
      </c>
    </row>
    <row r="2522" spans="1:4" ht="30" customHeight="1">
      <c r="A2522" s="6">
        <v>2520</v>
      </c>
      <c r="B2522" s="6" t="str">
        <f>"508120230424152613140776"</f>
        <v>508120230424152613140776</v>
      </c>
      <c r="C2522" s="6" t="s">
        <v>12</v>
      </c>
      <c r="D2522" s="6" t="str">
        <f>"何彩云"</f>
        <v>何彩云</v>
      </c>
    </row>
    <row r="2523" spans="1:4" ht="30" customHeight="1">
      <c r="A2523" s="6">
        <v>2521</v>
      </c>
      <c r="B2523" s="6" t="str">
        <f>"508120230424104850140610"</f>
        <v>508120230424104850140610</v>
      </c>
      <c r="C2523" s="6" t="s">
        <v>12</v>
      </c>
      <c r="D2523" s="6" t="str">
        <f>"韦金飘"</f>
        <v>韦金飘</v>
      </c>
    </row>
    <row r="2524" spans="1:4" ht="30" customHeight="1">
      <c r="A2524" s="6">
        <v>2522</v>
      </c>
      <c r="B2524" s="6" t="str">
        <f>"508120230424155505140802"</f>
        <v>508120230424155505140802</v>
      </c>
      <c r="C2524" s="6" t="s">
        <v>12</v>
      </c>
      <c r="D2524" s="6" t="str">
        <f>"单小芬"</f>
        <v>单小芬</v>
      </c>
    </row>
    <row r="2525" spans="1:4" ht="30" customHeight="1">
      <c r="A2525" s="6">
        <v>2523</v>
      </c>
      <c r="B2525" s="6" t="str">
        <f>"508120230424153628140784"</f>
        <v>508120230424153628140784</v>
      </c>
      <c r="C2525" s="6" t="s">
        <v>12</v>
      </c>
      <c r="D2525" s="6" t="str">
        <f>"梁兆艳"</f>
        <v>梁兆艳</v>
      </c>
    </row>
    <row r="2526" spans="1:4" ht="30" customHeight="1">
      <c r="A2526" s="6">
        <v>2524</v>
      </c>
      <c r="B2526" s="6" t="str">
        <f>"508120230424155747140804"</f>
        <v>508120230424155747140804</v>
      </c>
      <c r="C2526" s="6" t="s">
        <v>12</v>
      </c>
      <c r="D2526" s="6" t="str">
        <f>"冯洁莹"</f>
        <v>冯洁莹</v>
      </c>
    </row>
    <row r="2527" spans="1:4" ht="30" customHeight="1">
      <c r="A2527" s="6">
        <v>2525</v>
      </c>
      <c r="B2527" s="6" t="str">
        <f>"508120230424155215140800"</f>
        <v>508120230424155215140800</v>
      </c>
      <c r="C2527" s="6" t="s">
        <v>12</v>
      </c>
      <c r="D2527" s="6" t="str">
        <f>"林克彬"</f>
        <v>林克彬</v>
      </c>
    </row>
    <row r="2528" spans="1:4" ht="30" customHeight="1">
      <c r="A2528" s="6">
        <v>2526</v>
      </c>
      <c r="B2528" s="6" t="str">
        <f>"508120230424152528140775"</f>
        <v>508120230424152528140775</v>
      </c>
      <c r="C2528" s="6" t="s">
        <v>12</v>
      </c>
      <c r="D2528" s="6" t="str">
        <f>"郑建妮"</f>
        <v>郑建妮</v>
      </c>
    </row>
    <row r="2529" spans="1:4" ht="30" customHeight="1">
      <c r="A2529" s="6">
        <v>2527</v>
      </c>
      <c r="B2529" s="6" t="str">
        <f>"508120230423151430140025"</f>
        <v>508120230423151430140025</v>
      </c>
      <c r="C2529" s="6" t="s">
        <v>12</v>
      </c>
      <c r="D2529" s="6" t="str">
        <f>"陈妍妍"</f>
        <v>陈妍妍</v>
      </c>
    </row>
    <row r="2530" spans="1:4" ht="30" customHeight="1">
      <c r="A2530" s="6">
        <v>2528</v>
      </c>
      <c r="B2530" s="6" t="str">
        <f>"508120230424165312140854"</f>
        <v>508120230424165312140854</v>
      </c>
      <c r="C2530" s="6" t="s">
        <v>12</v>
      </c>
      <c r="D2530" s="6" t="str">
        <f>"陈曼斯"</f>
        <v>陈曼斯</v>
      </c>
    </row>
    <row r="2531" spans="1:4" ht="30" customHeight="1">
      <c r="A2531" s="6">
        <v>2529</v>
      </c>
      <c r="B2531" s="6" t="str">
        <f>"508120230424170937140866"</f>
        <v>508120230424170937140866</v>
      </c>
      <c r="C2531" s="6" t="s">
        <v>12</v>
      </c>
      <c r="D2531" s="6" t="str">
        <f>"唐萍"</f>
        <v>唐萍</v>
      </c>
    </row>
    <row r="2532" spans="1:4" ht="30" customHeight="1">
      <c r="A2532" s="6">
        <v>2530</v>
      </c>
      <c r="B2532" s="6" t="str">
        <f>"508120230424114013140654"</f>
        <v>508120230424114013140654</v>
      </c>
      <c r="C2532" s="6" t="s">
        <v>12</v>
      </c>
      <c r="D2532" s="6" t="str">
        <f>"郑晓敏"</f>
        <v>郑晓敏</v>
      </c>
    </row>
    <row r="2533" spans="1:4" ht="30" customHeight="1">
      <c r="A2533" s="6">
        <v>2531</v>
      </c>
      <c r="B2533" s="6" t="str">
        <f>"508120230424172942140881"</f>
        <v>508120230424172942140881</v>
      </c>
      <c r="C2533" s="6" t="s">
        <v>12</v>
      </c>
      <c r="D2533" s="6" t="str">
        <f>"谭悦"</f>
        <v>谭悦</v>
      </c>
    </row>
    <row r="2534" spans="1:4" ht="30" customHeight="1">
      <c r="A2534" s="6">
        <v>2532</v>
      </c>
      <c r="B2534" s="6" t="str">
        <f>"508120230424173654140886"</f>
        <v>508120230424173654140886</v>
      </c>
      <c r="C2534" s="6" t="s">
        <v>12</v>
      </c>
      <c r="D2534" s="6" t="str">
        <f>"陈江润"</f>
        <v>陈江润</v>
      </c>
    </row>
    <row r="2535" spans="1:4" ht="30" customHeight="1">
      <c r="A2535" s="6">
        <v>2533</v>
      </c>
      <c r="B2535" s="6" t="str">
        <f>"508120230424161322140821"</f>
        <v>508120230424161322140821</v>
      </c>
      <c r="C2535" s="6" t="s">
        <v>12</v>
      </c>
      <c r="D2535" s="6" t="str">
        <f>"曾维成"</f>
        <v>曾维成</v>
      </c>
    </row>
    <row r="2536" spans="1:4" ht="30" customHeight="1">
      <c r="A2536" s="6">
        <v>2534</v>
      </c>
      <c r="B2536" s="6" t="str">
        <f>"508120230424173700140888"</f>
        <v>508120230424173700140888</v>
      </c>
      <c r="C2536" s="6" t="s">
        <v>12</v>
      </c>
      <c r="D2536" s="6" t="str">
        <f>"王业龙"</f>
        <v>王业龙</v>
      </c>
    </row>
    <row r="2537" spans="1:4" ht="30" customHeight="1">
      <c r="A2537" s="6">
        <v>2535</v>
      </c>
      <c r="B2537" s="6" t="str">
        <f>"508120230424180923140904"</f>
        <v>508120230424180923140904</v>
      </c>
      <c r="C2537" s="6" t="s">
        <v>12</v>
      </c>
      <c r="D2537" s="6" t="str">
        <f>"钟小碧"</f>
        <v>钟小碧</v>
      </c>
    </row>
    <row r="2538" spans="1:4" ht="30" customHeight="1">
      <c r="A2538" s="6">
        <v>2536</v>
      </c>
      <c r="B2538" s="6" t="str">
        <f>"508120230424173102140883"</f>
        <v>508120230424173102140883</v>
      </c>
      <c r="C2538" s="6" t="s">
        <v>12</v>
      </c>
      <c r="D2538" s="6" t="str">
        <f>"莫璐榕"</f>
        <v>莫璐榕</v>
      </c>
    </row>
    <row r="2539" spans="1:4" ht="30" customHeight="1">
      <c r="A2539" s="6">
        <v>2537</v>
      </c>
      <c r="B2539" s="6" t="str">
        <f>"508120230424183808140922"</f>
        <v>508120230424183808140922</v>
      </c>
      <c r="C2539" s="6" t="s">
        <v>12</v>
      </c>
      <c r="D2539" s="6" t="str">
        <f>"翁良乙"</f>
        <v>翁良乙</v>
      </c>
    </row>
    <row r="2540" spans="1:4" ht="30" customHeight="1">
      <c r="A2540" s="6">
        <v>2538</v>
      </c>
      <c r="B2540" s="6" t="str">
        <f>"508120230424182529140915"</f>
        <v>508120230424182529140915</v>
      </c>
      <c r="C2540" s="6" t="s">
        <v>12</v>
      </c>
      <c r="D2540" s="6" t="str">
        <f>"周乐涯"</f>
        <v>周乐涯</v>
      </c>
    </row>
    <row r="2541" spans="1:4" ht="30" customHeight="1">
      <c r="A2541" s="6">
        <v>2539</v>
      </c>
      <c r="B2541" s="6" t="str">
        <f>"508120230424190014140937"</f>
        <v>508120230424190014140937</v>
      </c>
      <c r="C2541" s="6" t="s">
        <v>12</v>
      </c>
      <c r="D2541" s="6" t="str">
        <f>"刘昌琴"</f>
        <v>刘昌琴</v>
      </c>
    </row>
    <row r="2542" spans="1:4" ht="30" customHeight="1">
      <c r="A2542" s="6">
        <v>2540</v>
      </c>
      <c r="B2542" s="6" t="str">
        <f>"508120230424164627140848"</f>
        <v>508120230424164627140848</v>
      </c>
      <c r="C2542" s="6" t="s">
        <v>12</v>
      </c>
      <c r="D2542" s="6" t="str">
        <f>"黄雅娟"</f>
        <v>黄雅娟</v>
      </c>
    </row>
    <row r="2543" spans="1:4" ht="30" customHeight="1">
      <c r="A2543" s="6">
        <v>2541</v>
      </c>
      <c r="B2543" s="6" t="str">
        <f>"508120230423231432140409"</f>
        <v>508120230423231432140409</v>
      </c>
      <c r="C2543" s="6" t="s">
        <v>12</v>
      </c>
      <c r="D2543" s="6" t="str">
        <f>"李彦霏"</f>
        <v>李彦霏</v>
      </c>
    </row>
    <row r="2544" spans="1:4" ht="30" customHeight="1">
      <c r="A2544" s="6">
        <v>2542</v>
      </c>
      <c r="B2544" s="6" t="str">
        <f>"508120230424185606140935"</f>
        <v>508120230424185606140935</v>
      </c>
      <c r="C2544" s="6" t="s">
        <v>12</v>
      </c>
      <c r="D2544" s="6" t="str">
        <f>"郑晶晶"</f>
        <v>郑晶晶</v>
      </c>
    </row>
    <row r="2545" spans="1:4" ht="30" customHeight="1">
      <c r="A2545" s="6">
        <v>2543</v>
      </c>
      <c r="B2545" s="6" t="str">
        <f>"508120230423214918140340"</f>
        <v>508120230423214918140340</v>
      </c>
      <c r="C2545" s="6" t="s">
        <v>12</v>
      </c>
      <c r="D2545" s="6" t="str">
        <f>"黄韵灵"</f>
        <v>黄韵灵</v>
      </c>
    </row>
    <row r="2546" spans="1:4" ht="30" customHeight="1">
      <c r="A2546" s="6">
        <v>2544</v>
      </c>
      <c r="B2546" s="6" t="str">
        <f>"508120230423204919140286"</f>
        <v>508120230423204919140286</v>
      </c>
      <c r="C2546" s="6" t="s">
        <v>12</v>
      </c>
      <c r="D2546" s="6" t="str">
        <f>"何宣仪"</f>
        <v>何宣仪</v>
      </c>
    </row>
    <row r="2547" spans="1:4" ht="30" customHeight="1">
      <c r="A2547" s="6">
        <v>2545</v>
      </c>
      <c r="B2547" s="6" t="str">
        <f>"508120230424100937140562"</f>
        <v>508120230424100937140562</v>
      </c>
      <c r="C2547" s="6" t="s">
        <v>12</v>
      </c>
      <c r="D2547" s="6" t="str">
        <f>"杜春红"</f>
        <v>杜春红</v>
      </c>
    </row>
    <row r="2548" spans="1:4" ht="30" customHeight="1">
      <c r="A2548" s="6">
        <v>2546</v>
      </c>
      <c r="B2548" s="6" t="str">
        <f>"508120230424202637140989"</f>
        <v>508120230424202637140989</v>
      </c>
      <c r="C2548" s="6" t="s">
        <v>12</v>
      </c>
      <c r="D2548" s="6" t="str">
        <f>"陈姿妙"</f>
        <v>陈姿妙</v>
      </c>
    </row>
    <row r="2549" spans="1:4" ht="30" customHeight="1">
      <c r="A2549" s="6">
        <v>2547</v>
      </c>
      <c r="B2549" s="6" t="str">
        <f>"508120230424204549141000"</f>
        <v>508120230424204549141000</v>
      </c>
      <c r="C2549" s="6" t="s">
        <v>12</v>
      </c>
      <c r="D2549" s="6" t="str">
        <f>"刘彤彤"</f>
        <v>刘彤彤</v>
      </c>
    </row>
    <row r="2550" spans="1:4" ht="30" customHeight="1">
      <c r="A2550" s="6">
        <v>2548</v>
      </c>
      <c r="B2550" s="6" t="str">
        <f>"508120230423210034140294"</f>
        <v>508120230423210034140294</v>
      </c>
      <c r="C2550" s="6" t="s">
        <v>12</v>
      </c>
      <c r="D2550" s="6" t="str">
        <f>"羊萍"</f>
        <v>羊萍</v>
      </c>
    </row>
    <row r="2551" spans="1:4" ht="30" customHeight="1">
      <c r="A2551" s="6">
        <v>2549</v>
      </c>
      <c r="B2551" s="6" t="str">
        <f>"508120230424163418140840"</f>
        <v>508120230424163418140840</v>
      </c>
      <c r="C2551" s="6" t="s">
        <v>12</v>
      </c>
      <c r="D2551" s="6" t="str">
        <f>"万宇威"</f>
        <v>万宇威</v>
      </c>
    </row>
    <row r="2552" spans="1:4" ht="30" customHeight="1">
      <c r="A2552" s="6">
        <v>2550</v>
      </c>
      <c r="B2552" s="6" t="str">
        <f>"508120230421141449138652"</f>
        <v>508120230421141449138652</v>
      </c>
      <c r="C2552" s="6" t="s">
        <v>12</v>
      </c>
      <c r="D2552" s="6" t="str">
        <f>"陈春姑"</f>
        <v>陈春姑</v>
      </c>
    </row>
    <row r="2553" spans="1:4" ht="30" customHeight="1">
      <c r="A2553" s="6">
        <v>2551</v>
      </c>
      <c r="B2553" s="6" t="str">
        <f>"508120230423204825140285"</f>
        <v>508120230423204825140285</v>
      </c>
      <c r="C2553" s="6" t="s">
        <v>12</v>
      </c>
      <c r="D2553" s="6" t="str">
        <f>"王小梅"</f>
        <v>王小梅</v>
      </c>
    </row>
    <row r="2554" spans="1:4" ht="30" customHeight="1">
      <c r="A2554" s="6">
        <v>2552</v>
      </c>
      <c r="B2554" s="6" t="str">
        <f>"508120230424202211140985"</f>
        <v>508120230424202211140985</v>
      </c>
      <c r="C2554" s="6" t="s">
        <v>12</v>
      </c>
      <c r="D2554" s="6" t="str">
        <f>"林海玉"</f>
        <v>林海玉</v>
      </c>
    </row>
    <row r="2555" spans="1:4" ht="30" customHeight="1">
      <c r="A2555" s="6">
        <v>2553</v>
      </c>
      <c r="B2555" s="6" t="str">
        <f>"508120230421101735138308"</f>
        <v>508120230421101735138308</v>
      </c>
      <c r="C2555" s="6" t="s">
        <v>12</v>
      </c>
      <c r="D2555" s="6" t="str">
        <f>"何敏"</f>
        <v>何敏</v>
      </c>
    </row>
    <row r="2556" spans="1:4" ht="30" customHeight="1">
      <c r="A2556" s="6">
        <v>2554</v>
      </c>
      <c r="B2556" s="6" t="str">
        <f>"508120230424193413140953"</f>
        <v>508120230424193413140953</v>
      </c>
      <c r="C2556" s="6" t="s">
        <v>12</v>
      </c>
      <c r="D2556" s="6" t="str">
        <f>"符琦雅"</f>
        <v>符琦雅</v>
      </c>
    </row>
    <row r="2557" spans="1:4" ht="30" customHeight="1">
      <c r="A2557" s="6">
        <v>2555</v>
      </c>
      <c r="B2557" s="6" t="str">
        <f>"508120230421162513138845"</f>
        <v>508120230421162513138845</v>
      </c>
      <c r="C2557" s="6" t="s">
        <v>12</v>
      </c>
      <c r="D2557" s="6" t="str">
        <f>"冼翠云"</f>
        <v>冼翠云</v>
      </c>
    </row>
    <row r="2558" spans="1:4" ht="30" customHeight="1">
      <c r="A2558" s="6">
        <v>2556</v>
      </c>
      <c r="B2558" s="6" t="str">
        <f>"508120230424210821141018"</f>
        <v>508120230424210821141018</v>
      </c>
      <c r="C2558" s="6" t="s">
        <v>12</v>
      </c>
      <c r="D2558" s="6" t="str">
        <f>"凌月"</f>
        <v>凌月</v>
      </c>
    </row>
    <row r="2559" spans="1:4" ht="30" customHeight="1">
      <c r="A2559" s="6">
        <v>2557</v>
      </c>
      <c r="B2559" s="6" t="str">
        <f>"508120230424205453141010"</f>
        <v>508120230424205453141010</v>
      </c>
      <c r="C2559" s="6" t="s">
        <v>12</v>
      </c>
      <c r="D2559" s="6" t="str">
        <f>"黄小娟"</f>
        <v>黄小娟</v>
      </c>
    </row>
    <row r="2560" spans="1:4" ht="30" customHeight="1">
      <c r="A2560" s="6">
        <v>2558</v>
      </c>
      <c r="B2560" s="6" t="str">
        <f>"508120230423105419139844"</f>
        <v>508120230423105419139844</v>
      </c>
      <c r="C2560" s="6" t="s">
        <v>12</v>
      </c>
      <c r="D2560" s="6" t="str">
        <f>"林泽宁"</f>
        <v>林泽宁</v>
      </c>
    </row>
    <row r="2561" spans="1:4" ht="30" customHeight="1">
      <c r="A2561" s="6">
        <v>2559</v>
      </c>
      <c r="B2561" s="6" t="str">
        <f>"508120230424172748140879"</f>
        <v>508120230424172748140879</v>
      </c>
      <c r="C2561" s="6" t="s">
        <v>12</v>
      </c>
      <c r="D2561" s="6" t="str">
        <f>"杨彩诗"</f>
        <v>杨彩诗</v>
      </c>
    </row>
    <row r="2562" spans="1:4" ht="30" customHeight="1">
      <c r="A2562" s="6">
        <v>2560</v>
      </c>
      <c r="B2562" s="6" t="str">
        <f>"508120230424211919141023"</f>
        <v>508120230424211919141023</v>
      </c>
      <c r="C2562" s="6" t="s">
        <v>12</v>
      </c>
      <c r="D2562" s="6" t="str">
        <f>"黄晓蕊"</f>
        <v>黄晓蕊</v>
      </c>
    </row>
    <row r="2563" spans="1:4" ht="30" customHeight="1">
      <c r="A2563" s="6">
        <v>2561</v>
      </c>
      <c r="B2563" s="6" t="str">
        <f>"508120230423203111140272"</f>
        <v>508120230423203111140272</v>
      </c>
      <c r="C2563" s="6" t="s">
        <v>12</v>
      </c>
      <c r="D2563" s="6" t="str">
        <f>"赵智美"</f>
        <v>赵智美</v>
      </c>
    </row>
    <row r="2564" spans="1:4" ht="30" customHeight="1">
      <c r="A2564" s="6">
        <v>2562</v>
      </c>
      <c r="B2564" s="6" t="str">
        <f>"508120230424214058141035"</f>
        <v>508120230424214058141035</v>
      </c>
      <c r="C2564" s="6" t="s">
        <v>12</v>
      </c>
      <c r="D2564" s="6" t="str">
        <f>"邓献萍"</f>
        <v>邓献萍</v>
      </c>
    </row>
    <row r="2565" spans="1:4" ht="30" customHeight="1">
      <c r="A2565" s="6">
        <v>2563</v>
      </c>
      <c r="B2565" s="6" t="str">
        <f>"508120230423184950140202"</f>
        <v>508120230423184950140202</v>
      </c>
      <c r="C2565" s="6" t="s">
        <v>12</v>
      </c>
      <c r="D2565" s="6" t="str">
        <f>"林师仪"</f>
        <v>林师仪</v>
      </c>
    </row>
    <row r="2566" spans="1:4" ht="30" customHeight="1">
      <c r="A2566" s="6">
        <v>2564</v>
      </c>
      <c r="B2566" s="6" t="str">
        <f>"508120230424220546141057"</f>
        <v>508120230424220546141057</v>
      </c>
      <c r="C2566" s="6" t="s">
        <v>12</v>
      </c>
      <c r="D2566" s="6" t="str">
        <f>"盛皓然"</f>
        <v>盛皓然</v>
      </c>
    </row>
    <row r="2567" spans="1:4" ht="30" customHeight="1">
      <c r="A2567" s="6">
        <v>2565</v>
      </c>
      <c r="B2567" s="6" t="str">
        <f>"508120230421114521138506"</f>
        <v>508120230421114521138506</v>
      </c>
      <c r="C2567" s="6" t="s">
        <v>12</v>
      </c>
      <c r="D2567" s="6" t="str">
        <f>"李华卉"</f>
        <v>李华卉</v>
      </c>
    </row>
    <row r="2568" spans="1:4" ht="30" customHeight="1">
      <c r="A2568" s="6">
        <v>2566</v>
      </c>
      <c r="B2568" s="6" t="str">
        <f>"508120230424221831141069"</f>
        <v>508120230424221831141069</v>
      </c>
      <c r="C2568" s="6" t="s">
        <v>12</v>
      </c>
      <c r="D2568" s="6" t="str">
        <f>"丁金芳"</f>
        <v>丁金芳</v>
      </c>
    </row>
    <row r="2569" spans="1:4" ht="30" customHeight="1">
      <c r="A2569" s="6">
        <v>2567</v>
      </c>
      <c r="B2569" s="6" t="str">
        <f>"508120230424222042141070"</f>
        <v>508120230424222042141070</v>
      </c>
      <c r="C2569" s="6" t="s">
        <v>12</v>
      </c>
      <c r="D2569" s="6" t="str">
        <f>"高振皇"</f>
        <v>高振皇</v>
      </c>
    </row>
    <row r="2570" spans="1:4" ht="30" customHeight="1">
      <c r="A2570" s="6">
        <v>2568</v>
      </c>
      <c r="B2570" s="6" t="str">
        <f>"508120230424220933141061"</f>
        <v>508120230424220933141061</v>
      </c>
      <c r="C2570" s="6" t="s">
        <v>12</v>
      </c>
      <c r="D2570" s="6" t="str">
        <f>"江丽倩"</f>
        <v>江丽倩</v>
      </c>
    </row>
    <row r="2571" spans="1:4" ht="30" customHeight="1">
      <c r="A2571" s="6">
        <v>2569</v>
      </c>
      <c r="B2571" s="6" t="str">
        <f>"508120230422172919139446"</f>
        <v>508120230422172919139446</v>
      </c>
      <c r="C2571" s="6" t="s">
        <v>12</v>
      </c>
      <c r="D2571" s="6" t="str">
        <f>"何慧娴"</f>
        <v>何慧娴</v>
      </c>
    </row>
    <row r="2572" spans="1:4" ht="30" customHeight="1">
      <c r="A2572" s="6">
        <v>2570</v>
      </c>
      <c r="B2572" s="6" t="str">
        <f>"508120230424223621141083"</f>
        <v>508120230424223621141083</v>
      </c>
      <c r="C2572" s="6" t="s">
        <v>12</v>
      </c>
      <c r="D2572" s="6" t="str">
        <f>"孙瑞文"</f>
        <v>孙瑞文</v>
      </c>
    </row>
    <row r="2573" spans="1:4" ht="30" customHeight="1">
      <c r="A2573" s="6">
        <v>2571</v>
      </c>
      <c r="B2573" s="6" t="str">
        <f>"508120230424220059141052"</f>
        <v>508120230424220059141052</v>
      </c>
      <c r="C2573" s="6" t="s">
        <v>12</v>
      </c>
      <c r="D2573" s="6" t="str">
        <f>"唐雅"</f>
        <v>唐雅</v>
      </c>
    </row>
    <row r="2574" spans="1:4" ht="30" customHeight="1">
      <c r="A2574" s="6">
        <v>2572</v>
      </c>
      <c r="B2574" s="6" t="str">
        <f>"508120230424224726141091"</f>
        <v>508120230424224726141091</v>
      </c>
      <c r="C2574" s="6" t="s">
        <v>12</v>
      </c>
      <c r="D2574" s="6" t="str">
        <f>"黄雪玲"</f>
        <v>黄雪玲</v>
      </c>
    </row>
    <row r="2575" spans="1:4" ht="30" customHeight="1">
      <c r="A2575" s="6">
        <v>2573</v>
      </c>
      <c r="B2575" s="6" t="str">
        <f>"508120230424221337141065"</f>
        <v>508120230424221337141065</v>
      </c>
      <c r="C2575" s="6" t="s">
        <v>12</v>
      </c>
      <c r="D2575" s="6" t="str">
        <f>"夏耀武"</f>
        <v>夏耀武</v>
      </c>
    </row>
    <row r="2576" spans="1:4" ht="30" customHeight="1">
      <c r="A2576" s="6">
        <v>2574</v>
      </c>
      <c r="B2576" s="6" t="str">
        <f>"508120230423224112140383"</f>
        <v>508120230423224112140383</v>
      </c>
      <c r="C2576" s="6" t="s">
        <v>12</v>
      </c>
      <c r="D2576" s="6" t="str">
        <f>"黎洁"</f>
        <v>黎洁</v>
      </c>
    </row>
    <row r="2577" spans="1:4" ht="30" customHeight="1">
      <c r="A2577" s="6">
        <v>2575</v>
      </c>
      <c r="B2577" s="6" t="str">
        <f>"508120230424225153141095"</f>
        <v>508120230424225153141095</v>
      </c>
      <c r="C2577" s="6" t="s">
        <v>12</v>
      </c>
      <c r="D2577" s="6" t="str">
        <f>"陈彩彩"</f>
        <v>陈彩彩</v>
      </c>
    </row>
    <row r="2578" spans="1:4" ht="30" customHeight="1">
      <c r="A2578" s="6">
        <v>2576</v>
      </c>
      <c r="B2578" s="6" t="str">
        <f>"508120230422132537139338"</f>
        <v>508120230422132537139338</v>
      </c>
      <c r="C2578" s="6" t="s">
        <v>12</v>
      </c>
      <c r="D2578" s="6" t="str">
        <f>"谢小妹"</f>
        <v>谢小妹</v>
      </c>
    </row>
    <row r="2579" spans="1:4" ht="30" customHeight="1">
      <c r="A2579" s="6">
        <v>2577</v>
      </c>
      <c r="B2579" s="6" t="str">
        <f>"508120230424230648141104"</f>
        <v>508120230424230648141104</v>
      </c>
      <c r="C2579" s="6" t="s">
        <v>12</v>
      </c>
      <c r="D2579" s="6" t="str">
        <f>"朱家祥"</f>
        <v>朱家祥</v>
      </c>
    </row>
    <row r="2580" spans="1:4" ht="30" customHeight="1">
      <c r="A2580" s="6">
        <v>2578</v>
      </c>
      <c r="B2580" s="6" t="str">
        <f>"508120230424230047141099"</f>
        <v>508120230424230047141099</v>
      </c>
      <c r="C2580" s="6" t="s">
        <v>12</v>
      </c>
      <c r="D2580" s="6" t="str">
        <f>"曾小丽"</f>
        <v>曾小丽</v>
      </c>
    </row>
    <row r="2581" spans="1:4" ht="30" customHeight="1">
      <c r="A2581" s="6">
        <v>2579</v>
      </c>
      <c r="B2581" s="6" t="str">
        <f>"508120230424225131141093"</f>
        <v>508120230424225131141093</v>
      </c>
      <c r="C2581" s="6" t="s">
        <v>12</v>
      </c>
      <c r="D2581" s="6" t="str">
        <f>"林上月"</f>
        <v>林上月</v>
      </c>
    </row>
    <row r="2582" spans="1:4" ht="30" customHeight="1">
      <c r="A2582" s="6">
        <v>2580</v>
      </c>
      <c r="B2582" s="6" t="str">
        <f>"508120230424224521141089"</f>
        <v>508120230424224521141089</v>
      </c>
      <c r="C2582" s="6" t="s">
        <v>12</v>
      </c>
      <c r="D2582" s="6" t="str">
        <f>"王艺澄"</f>
        <v>王艺澄</v>
      </c>
    </row>
    <row r="2583" spans="1:4" ht="30" customHeight="1">
      <c r="A2583" s="6">
        <v>2581</v>
      </c>
      <c r="B2583" s="6" t="str">
        <f>"508120230423202133140262"</f>
        <v>508120230423202133140262</v>
      </c>
      <c r="C2583" s="6" t="s">
        <v>12</v>
      </c>
      <c r="D2583" s="6" t="str">
        <f>"吴海婷"</f>
        <v>吴海婷</v>
      </c>
    </row>
    <row r="2584" spans="1:4" ht="30" customHeight="1">
      <c r="A2584" s="6">
        <v>2582</v>
      </c>
      <c r="B2584" s="6" t="str">
        <f>"508120230424231134141106"</f>
        <v>508120230424231134141106</v>
      </c>
      <c r="C2584" s="6" t="s">
        <v>12</v>
      </c>
      <c r="D2584" s="6" t="str">
        <f>"曾洁"</f>
        <v>曾洁</v>
      </c>
    </row>
    <row r="2585" spans="1:4" ht="30" customHeight="1">
      <c r="A2585" s="6">
        <v>2583</v>
      </c>
      <c r="B2585" s="6" t="str">
        <f>"508120230423172218140157"</f>
        <v>508120230423172218140157</v>
      </c>
      <c r="C2585" s="6" t="s">
        <v>12</v>
      </c>
      <c r="D2585" s="6" t="str">
        <f>"郑在恒"</f>
        <v>郑在恒</v>
      </c>
    </row>
    <row r="2586" spans="1:4" ht="30" customHeight="1">
      <c r="A2586" s="6">
        <v>2584</v>
      </c>
      <c r="B2586" s="6" t="str">
        <f>"508120230424230018141098"</f>
        <v>508120230424230018141098</v>
      </c>
      <c r="C2586" s="6" t="s">
        <v>12</v>
      </c>
      <c r="D2586" s="6" t="str">
        <f>"林偲"</f>
        <v>林偲</v>
      </c>
    </row>
    <row r="2587" spans="1:4" ht="30" customHeight="1">
      <c r="A2587" s="6">
        <v>2585</v>
      </c>
      <c r="B2587" s="6" t="str">
        <f>"508120230423205325140290"</f>
        <v>508120230423205325140290</v>
      </c>
      <c r="C2587" s="6" t="s">
        <v>12</v>
      </c>
      <c r="D2587" s="6" t="str">
        <f>"唐晶晶"</f>
        <v>唐晶晶</v>
      </c>
    </row>
    <row r="2588" spans="1:4" ht="30" customHeight="1">
      <c r="A2588" s="6">
        <v>2586</v>
      </c>
      <c r="B2588" s="6" t="str">
        <f>"508120230424231804141110"</f>
        <v>508120230424231804141110</v>
      </c>
      <c r="C2588" s="6" t="s">
        <v>12</v>
      </c>
      <c r="D2588" s="6" t="str">
        <f>"林琳琅"</f>
        <v>林琳琅</v>
      </c>
    </row>
    <row r="2589" spans="1:4" ht="30" customHeight="1">
      <c r="A2589" s="6">
        <v>2587</v>
      </c>
      <c r="B2589" s="6" t="str">
        <f>"508120230423231330140408"</f>
        <v>508120230423231330140408</v>
      </c>
      <c r="C2589" s="6" t="s">
        <v>12</v>
      </c>
      <c r="D2589" s="6" t="str">
        <f>"吴莹敏"</f>
        <v>吴莹敏</v>
      </c>
    </row>
    <row r="2590" spans="1:4" ht="30" customHeight="1">
      <c r="A2590" s="6">
        <v>2588</v>
      </c>
      <c r="B2590" s="6" t="str">
        <f>"508120230422220321139611"</f>
        <v>508120230422220321139611</v>
      </c>
      <c r="C2590" s="6" t="s">
        <v>12</v>
      </c>
      <c r="D2590" s="6" t="str">
        <f>"陈明慧"</f>
        <v>陈明慧</v>
      </c>
    </row>
    <row r="2591" spans="1:4" ht="30" customHeight="1">
      <c r="A2591" s="6">
        <v>2589</v>
      </c>
      <c r="B2591" s="6" t="str">
        <f>"508120230425001113141124"</f>
        <v>508120230425001113141124</v>
      </c>
      <c r="C2591" s="6" t="s">
        <v>12</v>
      </c>
      <c r="D2591" s="6" t="str">
        <f>"吴钦雄"</f>
        <v>吴钦雄</v>
      </c>
    </row>
    <row r="2592" spans="1:4" ht="30" customHeight="1">
      <c r="A2592" s="6">
        <v>2590</v>
      </c>
      <c r="B2592" s="6" t="str">
        <f>"508120230425003750141129"</f>
        <v>508120230425003750141129</v>
      </c>
      <c r="C2592" s="6" t="s">
        <v>12</v>
      </c>
      <c r="D2592" s="6" t="str">
        <f>"容芬"</f>
        <v>容芬</v>
      </c>
    </row>
    <row r="2593" spans="1:4" ht="30" customHeight="1">
      <c r="A2593" s="6">
        <v>2591</v>
      </c>
      <c r="B2593" s="6" t="str">
        <f>"508120230423232504140415"</f>
        <v>508120230423232504140415</v>
      </c>
      <c r="C2593" s="6" t="s">
        <v>12</v>
      </c>
      <c r="D2593" s="6" t="str">
        <f>"林青心"</f>
        <v>林青心</v>
      </c>
    </row>
    <row r="2594" spans="1:4" ht="30" customHeight="1">
      <c r="A2594" s="6">
        <v>2592</v>
      </c>
      <c r="B2594" s="6" t="str">
        <f>"508120230421125047138589"</f>
        <v>508120230421125047138589</v>
      </c>
      <c r="C2594" s="6" t="s">
        <v>12</v>
      </c>
      <c r="D2594" s="6" t="str">
        <f>"李晨阳"</f>
        <v>李晨阳</v>
      </c>
    </row>
    <row r="2595" spans="1:4" ht="30" customHeight="1">
      <c r="A2595" s="6">
        <v>2593</v>
      </c>
      <c r="B2595" s="6" t="str">
        <f>"508120230425080029141144"</f>
        <v>508120230425080029141144</v>
      </c>
      <c r="C2595" s="6" t="s">
        <v>12</v>
      </c>
      <c r="D2595" s="6" t="str">
        <f>"周若娜"</f>
        <v>周若娜</v>
      </c>
    </row>
    <row r="2596" spans="1:4" ht="30" customHeight="1">
      <c r="A2596" s="6">
        <v>2594</v>
      </c>
      <c r="B2596" s="6" t="str">
        <f>"508120230425083858141155"</f>
        <v>508120230425083858141155</v>
      </c>
      <c r="C2596" s="6" t="s">
        <v>12</v>
      </c>
      <c r="D2596" s="6" t="str">
        <f>"吴玄星"</f>
        <v>吴玄星</v>
      </c>
    </row>
    <row r="2597" spans="1:4" ht="30" customHeight="1">
      <c r="A2597" s="6">
        <v>2595</v>
      </c>
      <c r="B2597" s="6" t="str">
        <f>"508120230424150218140757"</f>
        <v>508120230424150218140757</v>
      </c>
      <c r="C2597" s="6" t="s">
        <v>12</v>
      </c>
      <c r="D2597" s="6" t="str">
        <f>"吉莹莹"</f>
        <v>吉莹莹</v>
      </c>
    </row>
    <row r="2598" spans="1:4" ht="30" customHeight="1">
      <c r="A2598" s="6">
        <v>2596</v>
      </c>
      <c r="B2598" s="6" t="str">
        <f>"508120230424205531141011"</f>
        <v>508120230424205531141011</v>
      </c>
      <c r="C2598" s="6" t="s">
        <v>12</v>
      </c>
      <c r="D2598" s="6" t="str">
        <f>"王俊锴"</f>
        <v>王俊锴</v>
      </c>
    </row>
    <row r="2599" spans="1:4" ht="30" customHeight="1">
      <c r="A2599" s="6">
        <v>2597</v>
      </c>
      <c r="B2599" s="6" t="str">
        <f>"508120230424114750140663"</f>
        <v>508120230424114750140663</v>
      </c>
      <c r="C2599" s="6" t="s">
        <v>12</v>
      </c>
      <c r="D2599" s="6" t="str">
        <f>"罗鹏"</f>
        <v>罗鹏</v>
      </c>
    </row>
    <row r="2600" spans="1:4" ht="30" customHeight="1">
      <c r="A2600" s="6">
        <v>2598</v>
      </c>
      <c r="B2600" s="6" t="str">
        <f>"508120230423101059139810"</f>
        <v>508120230423101059139810</v>
      </c>
      <c r="C2600" s="6" t="s">
        <v>12</v>
      </c>
      <c r="D2600" s="6" t="str">
        <f>"陈雪薇"</f>
        <v>陈雪薇</v>
      </c>
    </row>
    <row r="2601" spans="1:4" ht="30" customHeight="1">
      <c r="A2601" s="6">
        <v>2599</v>
      </c>
      <c r="B2601" s="6" t="str">
        <f>"508120230425085749141164"</f>
        <v>508120230425085749141164</v>
      </c>
      <c r="C2601" s="6" t="s">
        <v>12</v>
      </c>
      <c r="D2601" s="6" t="str">
        <f>"朱贤玲"</f>
        <v>朱贤玲</v>
      </c>
    </row>
    <row r="2602" spans="1:4" ht="30" customHeight="1">
      <c r="A2602" s="6">
        <v>2600</v>
      </c>
      <c r="B2602" s="6" t="str">
        <f>"508120230424195933140965"</f>
        <v>508120230424195933140965</v>
      </c>
      <c r="C2602" s="6" t="s">
        <v>12</v>
      </c>
      <c r="D2602" s="6" t="str">
        <f>"苏永柳"</f>
        <v>苏永柳</v>
      </c>
    </row>
    <row r="2603" spans="1:4" ht="30" customHeight="1">
      <c r="A2603" s="6">
        <v>2601</v>
      </c>
      <c r="B2603" s="6" t="str">
        <f>"508120230424104305140602"</f>
        <v>508120230424104305140602</v>
      </c>
      <c r="C2603" s="6" t="s">
        <v>12</v>
      </c>
      <c r="D2603" s="6" t="str">
        <f>"曾嘉婧"</f>
        <v>曾嘉婧</v>
      </c>
    </row>
    <row r="2604" spans="1:4" ht="30" customHeight="1">
      <c r="A2604" s="6">
        <v>2602</v>
      </c>
      <c r="B2604" s="6" t="str">
        <f>"508120230425101732141207"</f>
        <v>508120230425101732141207</v>
      </c>
      <c r="C2604" s="6" t="s">
        <v>12</v>
      </c>
      <c r="D2604" s="6" t="str">
        <f>"符琬曼"</f>
        <v>符琬曼</v>
      </c>
    </row>
    <row r="2605" spans="1:4" ht="30" customHeight="1">
      <c r="A2605" s="6">
        <v>2603</v>
      </c>
      <c r="B2605" s="6" t="str">
        <f>"508120230425102250141213"</f>
        <v>508120230425102250141213</v>
      </c>
      <c r="C2605" s="6" t="s">
        <v>12</v>
      </c>
      <c r="D2605" s="6" t="str">
        <f>"曾珊珊"</f>
        <v>曾珊珊</v>
      </c>
    </row>
    <row r="2606" spans="1:4" ht="30" customHeight="1">
      <c r="A2606" s="6">
        <v>2604</v>
      </c>
      <c r="B2606" s="6" t="str">
        <f>"508120230425105659141247"</f>
        <v>508120230425105659141247</v>
      </c>
      <c r="C2606" s="6" t="s">
        <v>12</v>
      </c>
      <c r="D2606" s="6" t="str">
        <f>"吴雁"</f>
        <v>吴雁</v>
      </c>
    </row>
    <row r="2607" spans="1:4" ht="30" customHeight="1">
      <c r="A2607" s="6">
        <v>2605</v>
      </c>
      <c r="B2607" s="6" t="str">
        <f>"508120230425012841141134"</f>
        <v>508120230425012841141134</v>
      </c>
      <c r="C2607" s="6" t="s">
        <v>12</v>
      </c>
      <c r="D2607" s="6" t="str">
        <f>"郭韵聪"</f>
        <v>郭韵聪</v>
      </c>
    </row>
    <row r="2608" spans="1:4" ht="30" customHeight="1">
      <c r="A2608" s="6">
        <v>2606</v>
      </c>
      <c r="B2608" s="6" t="str">
        <f>"508120230425100111141200"</f>
        <v>508120230425100111141200</v>
      </c>
      <c r="C2608" s="6" t="s">
        <v>12</v>
      </c>
      <c r="D2608" s="6" t="str">
        <f>"刘畅"</f>
        <v>刘畅</v>
      </c>
    </row>
    <row r="2609" spans="1:4" ht="30" customHeight="1">
      <c r="A2609" s="6">
        <v>2607</v>
      </c>
      <c r="B2609" s="6" t="str">
        <f>"508120230425102123141209"</f>
        <v>508120230425102123141209</v>
      </c>
      <c r="C2609" s="6" t="s">
        <v>12</v>
      </c>
      <c r="D2609" s="6" t="str">
        <f>"陈文娜"</f>
        <v>陈文娜</v>
      </c>
    </row>
    <row r="2610" spans="1:4" ht="30" customHeight="1">
      <c r="A2610" s="6">
        <v>2608</v>
      </c>
      <c r="B2610" s="6" t="str">
        <f>"508120230421191740139007"</f>
        <v>508120230421191740139007</v>
      </c>
      <c r="C2610" s="6" t="s">
        <v>12</v>
      </c>
      <c r="D2610" s="6" t="str">
        <f>"林良缘"</f>
        <v>林良缘</v>
      </c>
    </row>
    <row r="2611" spans="1:4" ht="30" customHeight="1">
      <c r="A2611" s="6">
        <v>2609</v>
      </c>
      <c r="B2611" s="6" t="str">
        <f>"508120230425101251141205"</f>
        <v>508120230425101251141205</v>
      </c>
      <c r="C2611" s="6" t="s">
        <v>12</v>
      </c>
      <c r="D2611" s="6" t="str">
        <f>"吴武"</f>
        <v>吴武</v>
      </c>
    </row>
    <row r="2612" spans="1:4" ht="30" customHeight="1">
      <c r="A2612" s="6">
        <v>2610</v>
      </c>
      <c r="B2612" s="6" t="str">
        <f>"508120230423165059140129"</f>
        <v>508120230423165059140129</v>
      </c>
      <c r="C2612" s="6" t="s">
        <v>12</v>
      </c>
      <c r="D2612" s="6" t="str">
        <f>"黄金美"</f>
        <v>黄金美</v>
      </c>
    </row>
    <row r="2613" spans="1:4" ht="30" customHeight="1">
      <c r="A2613" s="6">
        <v>2611</v>
      </c>
      <c r="B2613" s="6" t="str">
        <f>"508120230425110319141252"</f>
        <v>508120230425110319141252</v>
      </c>
      <c r="C2613" s="6" t="s">
        <v>12</v>
      </c>
      <c r="D2613" s="6" t="str">
        <f>"陈虹"</f>
        <v>陈虹</v>
      </c>
    </row>
    <row r="2614" spans="1:4" ht="30" customHeight="1">
      <c r="A2614" s="6">
        <v>2612</v>
      </c>
      <c r="B2614" s="6" t="str">
        <f>"508120230425102344141214"</f>
        <v>508120230425102344141214</v>
      </c>
      <c r="C2614" s="6" t="s">
        <v>12</v>
      </c>
      <c r="D2614" s="6" t="str">
        <f>"黄秋燕"</f>
        <v>黄秋燕</v>
      </c>
    </row>
    <row r="2615" spans="1:4" ht="30" customHeight="1">
      <c r="A2615" s="6">
        <v>2613</v>
      </c>
      <c r="B2615" s="6" t="str">
        <f>"508120230424140657140735"</f>
        <v>508120230424140657140735</v>
      </c>
      <c r="C2615" s="6" t="s">
        <v>12</v>
      </c>
      <c r="D2615" s="6" t="str">
        <f>"祁庆"</f>
        <v>祁庆</v>
      </c>
    </row>
    <row r="2616" spans="1:4" ht="30" customHeight="1">
      <c r="A2616" s="6">
        <v>2614</v>
      </c>
      <c r="B2616" s="6" t="str">
        <f>"508120230425110110141249"</f>
        <v>508120230425110110141249</v>
      </c>
      <c r="C2616" s="6" t="s">
        <v>12</v>
      </c>
      <c r="D2616" s="6" t="str">
        <f>"谭丹丹"</f>
        <v>谭丹丹</v>
      </c>
    </row>
    <row r="2617" spans="1:4" ht="30" customHeight="1">
      <c r="A2617" s="6">
        <v>2615</v>
      </c>
      <c r="B2617" s="6" t="str">
        <f>"508120230425112828141277"</f>
        <v>508120230425112828141277</v>
      </c>
      <c r="C2617" s="6" t="s">
        <v>12</v>
      </c>
      <c r="D2617" s="6" t="str">
        <f>"蒙冠文"</f>
        <v>蒙冠文</v>
      </c>
    </row>
    <row r="2618" spans="1:4" ht="30" customHeight="1">
      <c r="A2618" s="6">
        <v>2616</v>
      </c>
      <c r="B2618" s="6" t="str">
        <f>"508120230425112528141273"</f>
        <v>508120230425112528141273</v>
      </c>
      <c r="C2618" s="6" t="s">
        <v>12</v>
      </c>
      <c r="D2618" s="6" t="str">
        <f>"李必莎"</f>
        <v>李必莎</v>
      </c>
    </row>
    <row r="2619" spans="1:4" ht="30" customHeight="1">
      <c r="A2619" s="6">
        <v>2617</v>
      </c>
      <c r="B2619" s="6" t="str">
        <f>"508120230425113056141279"</f>
        <v>508120230425113056141279</v>
      </c>
      <c r="C2619" s="6" t="s">
        <v>12</v>
      </c>
      <c r="D2619" s="6" t="str">
        <f>"林培培"</f>
        <v>林培培</v>
      </c>
    </row>
    <row r="2620" spans="1:4" ht="30" customHeight="1">
      <c r="A2620" s="6">
        <v>2618</v>
      </c>
      <c r="B2620" s="6" t="str">
        <f>"508120230423092610139760"</f>
        <v>508120230423092610139760</v>
      </c>
      <c r="C2620" s="6" t="s">
        <v>12</v>
      </c>
      <c r="D2620" s="6" t="str">
        <f>"邢维纲"</f>
        <v>邢维纲</v>
      </c>
    </row>
    <row r="2621" spans="1:4" ht="30" customHeight="1">
      <c r="A2621" s="6">
        <v>2619</v>
      </c>
      <c r="B2621" s="6" t="str">
        <f>"508120230425114037141289"</f>
        <v>508120230425114037141289</v>
      </c>
      <c r="C2621" s="6" t="s">
        <v>12</v>
      </c>
      <c r="D2621" s="6" t="str">
        <f>"劳晓杰"</f>
        <v>劳晓杰</v>
      </c>
    </row>
    <row r="2622" spans="1:4" ht="30" customHeight="1">
      <c r="A2622" s="6">
        <v>2620</v>
      </c>
      <c r="B2622" s="6" t="str">
        <f>"508120230425112756141276"</f>
        <v>508120230425112756141276</v>
      </c>
      <c r="C2622" s="6" t="s">
        <v>12</v>
      </c>
      <c r="D2622" s="6" t="str">
        <f>"王卉"</f>
        <v>王卉</v>
      </c>
    </row>
    <row r="2623" spans="1:4" ht="30" customHeight="1">
      <c r="A2623" s="6">
        <v>2621</v>
      </c>
      <c r="B2623" s="6" t="str">
        <f>"508120230423113606139900"</f>
        <v>508120230423113606139900</v>
      </c>
      <c r="C2623" s="6" t="s">
        <v>12</v>
      </c>
      <c r="D2623" s="6" t="str">
        <f>"钱敬"</f>
        <v>钱敬</v>
      </c>
    </row>
    <row r="2624" spans="1:4" ht="30" customHeight="1">
      <c r="A2624" s="6">
        <v>2622</v>
      </c>
      <c r="B2624" s="6" t="str">
        <f>"508120230425130540141321"</f>
        <v>508120230425130540141321</v>
      </c>
      <c r="C2624" s="6" t="s">
        <v>12</v>
      </c>
      <c r="D2624" s="6" t="str">
        <f>"何桂瑶"</f>
        <v>何桂瑶</v>
      </c>
    </row>
    <row r="2625" spans="1:4" ht="30" customHeight="1">
      <c r="A2625" s="6">
        <v>2623</v>
      </c>
      <c r="B2625" s="6" t="str">
        <f>"508120230425124249141317"</f>
        <v>508120230425124249141317</v>
      </c>
      <c r="C2625" s="6" t="s">
        <v>12</v>
      </c>
      <c r="D2625" s="6" t="str">
        <f>"李玉洁"</f>
        <v>李玉洁</v>
      </c>
    </row>
    <row r="2626" spans="1:4" ht="30" customHeight="1">
      <c r="A2626" s="6">
        <v>2624</v>
      </c>
      <c r="B2626" s="6" t="str">
        <f>"508120230425111002141258"</f>
        <v>508120230425111002141258</v>
      </c>
      <c r="C2626" s="6" t="s">
        <v>12</v>
      </c>
      <c r="D2626" s="6" t="str">
        <f>"沈庆美"</f>
        <v>沈庆美</v>
      </c>
    </row>
    <row r="2627" spans="1:4" ht="30" customHeight="1">
      <c r="A2627" s="6">
        <v>2625</v>
      </c>
      <c r="B2627" s="6" t="str">
        <f>"508120230425124907141319"</f>
        <v>508120230425124907141319</v>
      </c>
      <c r="C2627" s="6" t="s">
        <v>12</v>
      </c>
      <c r="D2627" s="6" t="str">
        <f>"陈宁梅"</f>
        <v>陈宁梅</v>
      </c>
    </row>
    <row r="2628" spans="1:4" ht="30" customHeight="1">
      <c r="A2628" s="6">
        <v>2626</v>
      </c>
      <c r="B2628" s="6" t="str">
        <f>"508120230425140717141334"</f>
        <v>508120230425140717141334</v>
      </c>
      <c r="C2628" s="6" t="s">
        <v>12</v>
      </c>
      <c r="D2628" s="6" t="str">
        <f>"黄小换"</f>
        <v>黄小换</v>
      </c>
    </row>
    <row r="2629" spans="1:4" ht="30" customHeight="1">
      <c r="A2629" s="6">
        <v>2627</v>
      </c>
      <c r="B2629" s="6" t="str">
        <f>"508120230423095717139800"</f>
        <v>508120230423095717139800</v>
      </c>
      <c r="C2629" s="6" t="s">
        <v>12</v>
      </c>
      <c r="D2629" s="6" t="str">
        <f>"詹道龙"</f>
        <v>詹道龙</v>
      </c>
    </row>
    <row r="2630" spans="1:4" ht="30" customHeight="1">
      <c r="A2630" s="6">
        <v>2628</v>
      </c>
      <c r="B2630" s="6" t="str">
        <f>"508120230423141448139974"</f>
        <v>508120230423141448139974</v>
      </c>
      <c r="C2630" s="6" t="s">
        <v>12</v>
      </c>
      <c r="D2630" s="6" t="str">
        <f>"曾浩伦"</f>
        <v>曾浩伦</v>
      </c>
    </row>
    <row r="2631" spans="1:4" ht="30" customHeight="1">
      <c r="A2631" s="6">
        <v>2629</v>
      </c>
      <c r="B2631" s="6" t="str">
        <f>"508120230425144937141351"</f>
        <v>508120230425144937141351</v>
      </c>
      <c r="C2631" s="6" t="s">
        <v>12</v>
      </c>
      <c r="D2631" s="6" t="str">
        <f>"何小娜"</f>
        <v>何小娜</v>
      </c>
    </row>
    <row r="2632" spans="1:4" ht="30" customHeight="1">
      <c r="A2632" s="6">
        <v>2630</v>
      </c>
      <c r="B2632" s="6" t="str">
        <f>"508120230423090416139733"</f>
        <v>508120230423090416139733</v>
      </c>
      <c r="C2632" s="6" t="s">
        <v>12</v>
      </c>
      <c r="D2632" s="6" t="str">
        <f>"李丹蕾"</f>
        <v>李丹蕾</v>
      </c>
    </row>
    <row r="2633" spans="1:4" ht="30" customHeight="1">
      <c r="A2633" s="6">
        <v>2631</v>
      </c>
      <c r="B2633" s="6" t="str">
        <f>"508120230425144831141350"</f>
        <v>508120230425144831141350</v>
      </c>
      <c r="C2633" s="6" t="s">
        <v>12</v>
      </c>
      <c r="D2633" s="6" t="str">
        <f>"杨杏"</f>
        <v>杨杏</v>
      </c>
    </row>
    <row r="2634" spans="1:4" ht="30" customHeight="1">
      <c r="A2634" s="6">
        <v>2632</v>
      </c>
      <c r="B2634" s="6" t="str">
        <f>"508120230425143212141346"</f>
        <v>508120230425143212141346</v>
      </c>
      <c r="C2634" s="6" t="s">
        <v>12</v>
      </c>
      <c r="D2634" s="6" t="str">
        <f>"谢金丽"</f>
        <v>谢金丽</v>
      </c>
    </row>
    <row r="2635" spans="1:4" ht="30" customHeight="1">
      <c r="A2635" s="6">
        <v>2633</v>
      </c>
      <c r="B2635" s="6" t="str">
        <f>"508120230425140804141335"</f>
        <v>508120230425140804141335</v>
      </c>
      <c r="C2635" s="6" t="s">
        <v>12</v>
      </c>
      <c r="D2635" s="6" t="str">
        <f>"张其昀"</f>
        <v>张其昀</v>
      </c>
    </row>
    <row r="2636" spans="1:4" ht="30" customHeight="1">
      <c r="A2636" s="6">
        <v>2634</v>
      </c>
      <c r="B2636" s="6" t="str">
        <f>"508120230425150551141363"</f>
        <v>508120230425150551141363</v>
      </c>
      <c r="C2636" s="6" t="s">
        <v>12</v>
      </c>
      <c r="D2636" s="6" t="str">
        <f>"符永康"</f>
        <v>符永康</v>
      </c>
    </row>
    <row r="2637" spans="1:4" ht="30" customHeight="1">
      <c r="A2637" s="6">
        <v>2635</v>
      </c>
      <c r="B2637" s="6" t="str">
        <f>"508120230425144640141349"</f>
        <v>508120230425144640141349</v>
      </c>
      <c r="C2637" s="6" t="s">
        <v>12</v>
      </c>
      <c r="D2637" s="6" t="str">
        <f>"王姑"</f>
        <v>王姑</v>
      </c>
    </row>
    <row r="2638" spans="1:4" ht="30" customHeight="1">
      <c r="A2638" s="6">
        <v>2636</v>
      </c>
      <c r="B2638" s="6" t="str">
        <f>"508120230425111620141267"</f>
        <v>508120230425111620141267</v>
      </c>
      <c r="C2638" s="6" t="s">
        <v>12</v>
      </c>
      <c r="D2638" s="6" t="str">
        <f>"王可晶"</f>
        <v>王可晶</v>
      </c>
    </row>
    <row r="2639" spans="1:4" ht="30" customHeight="1">
      <c r="A2639" s="6">
        <v>2637</v>
      </c>
      <c r="B2639" s="6" t="str">
        <f>"508120230425151248141369"</f>
        <v>508120230425151248141369</v>
      </c>
      <c r="C2639" s="6" t="s">
        <v>12</v>
      </c>
      <c r="D2639" s="6" t="str">
        <f>"李美桃"</f>
        <v>李美桃</v>
      </c>
    </row>
    <row r="2640" spans="1:4" ht="30" customHeight="1">
      <c r="A2640" s="6">
        <v>2638</v>
      </c>
      <c r="B2640" s="6" t="str">
        <f>"508120230425152615141385"</f>
        <v>508120230425152615141385</v>
      </c>
      <c r="C2640" s="6" t="s">
        <v>12</v>
      </c>
      <c r="D2640" s="6" t="str">
        <f>"张浩"</f>
        <v>张浩</v>
      </c>
    </row>
    <row r="2641" spans="1:4" ht="30" customHeight="1">
      <c r="A2641" s="6">
        <v>2639</v>
      </c>
      <c r="B2641" s="6" t="str">
        <f>"508120230425151311141370"</f>
        <v>508120230425151311141370</v>
      </c>
      <c r="C2641" s="6" t="s">
        <v>12</v>
      </c>
      <c r="D2641" s="6" t="str">
        <f>"王丹"</f>
        <v>王丹</v>
      </c>
    </row>
    <row r="2642" spans="1:4" ht="30" customHeight="1">
      <c r="A2642" s="6">
        <v>2640</v>
      </c>
      <c r="B2642" s="6" t="str">
        <f>"508120230425154602141398"</f>
        <v>508120230425154602141398</v>
      </c>
      <c r="C2642" s="6" t="s">
        <v>12</v>
      </c>
      <c r="D2642" s="6" t="str">
        <f>"孙清元"</f>
        <v>孙清元</v>
      </c>
    </row>
    <row r="2643" spans="1:4" ht="30" customHeight="1">
      <c r="A2643" s="6">
        <v>2641</v>
      </c>
      <c r="B2643" s="6" t="str">
        <f>"508120230425152831141386"</f>
        <v>508120230425152831141386</v>
      </c>
      <c r="C2643" s="6" t="s">
        <v>12</v>
      </c>
      <c r="D2643" s="6" t="str">
        <f>"安康"</f>
        <v>安康</v>
      </c>
    </row>
    <row r="2644" spans="1:4" ht="30" customHeight="1">
      <c r="A2644" s="6">
        <v>2642</v>
      </c>
      <c r="B2644" s="6" t="str">
        <f>"508120230423081659139704"</f>
        <v>508120230423081659139704</v>
      </c>
      <c r="C2644" s="6" t="s">
        <v>12</v>
      </c>
      <c r="D2644" s="6" t="str">
        <f>"刘小娜"</f>
        <v>刘小娜</v>
      </c>
    </row>
    <row r="2645" spans="1:4" ht="30" customHeight="1">
      <c r="A2645" s="6">
        <v>2643</v>
      </c>
      <c r="B2645" s="6" t="str">
        <f>"508120230425151414141372"</f>
        <v>508120230425151414141372</v>
      </c>
      <c r="C2645" s="6" t="s">
        <v>12</v>
      </c>
      <c r="D2645" s="6" t="str">
        <f>"刘晓蕾"</f>
        <v>刘晓蕾</v>
      </c>
    </row>
    <row r="2646" spans="1:4" ht="30" customHeight="1">
      <c r="A2646" s="6">
        <v>2644</v>
      </c>
      <c r="B2646" s="6" t="str">
        <f>"508120230422171748139437"</f>
        <v>508120230422171748139437</v>
      </c>
      <c r="C2646" s="6" t="s">
        <v>12</v>
      </c>
      <c r="D2646" s="6" t="str">
        <f>"岑佳谕"</f>
        <v>岑佳谕</v>
      </c>
    </row>
    <row r="2647" spans="1:4" ht="30" customHeight="1">
      <c r="A2647" s="6">
        <v>2645</v>
      </c>
      <c r="B2647" s="6" t="str">
        <f>"508120230425160152141410"</f>
        <v>508120230425160152141410</v>
      </c>
      <c r="C2647" s="6" t="s">
        <v>12</v>
      </c>
      <c r="D2647" s="6" t="str">
        <f>"王娇雪"</f>
        <v>王娇雪</v>
      </c>
    </row>
    <row r="2648" spans="1:4" ht="30" customHeight="1">
      <c r="A2648" s="6">
        <v>2646</v>
      </c>
      <c r="B2648" s="6" t="str">
        <f>"508120230425160049141409"</f>
        <v>508120230425160049141409</v>
      </c>
      <c r="C2648" s="6" t="s">
        <v>12</v>
      </c>
      <c r="D2648" s="6" t="str">
        <f>"蒙丽艳"</f>
        <v>蒙丽艳</v>
      </c>
    </row>
    <row r="2649" spans="1:4" ht="30" customHeight="1">
      <c r="A2649" s="6">
        <v>2647</v>
      </c>
      <c r="B2649" s="6" t="str">
        <f>"508120230425152940141388"</f>
        <v>508120230425152940141388</v>
      </c>
      <c r="C2649" s="6" t="s">
        <v>12</v>
      </c>
      <c r="D2649" s="6" t="str">
        <f>"符玉娟"</f>
        <v>符玉娟</v>
      </c>
    </row>
    <row r="2650" spans="1:4" ht="30" customHeight="1">
      <c r="A2650" s="6">
        <v>2648</v>
      </c>
      <c r="B2650" s="6" t="str">
        <f>"508120230425160358141411"</f>
        <v>508120230425160358141411</v>
      </c>
      <c r="C2650" s="6" t="s">
        <v>12</v>
      </c>
      <c r="D2650" s="6" t="str">
        <f>"王振微"</f>
        <v>王振微</v>
      </c>
    </row>
    <row r="2651" spans="1:4" ht="30" customHeight="1">
      <c r="A2651" s="6">
        <v>2649</v>
      </c>
      <c r="B2651" s="6" t="str">
        <f>"508120230422172652139444"</f>
        <v>508120230422172652139444</v>
      </c>
      <c r="C2651" s="6" t="s">
        <v>12</v>
      </c>
      <c r="D2651" s="6" t="str">
        <f>"黎美烨"</f>
        <v>黎美烨</v>
      </c>
    </row>
    <row r="2652" spans="1:4" ht="30" customHeight="1">
      <c r="A2652" s="6">
        <v>2650</v>
      </c>
      <c r="B2652" s="6" t="str">
        <f>"508120230425162702141431"</f>
        <v>508120230425162702141431</v>
      </c>
      <c r="C2652" s="6" t="s">
        <v>12</v>
      </c>
      <c r="D2652" s="6" t="str">
        <f>"王槐林"</f>
        <v>王槐林</v>
      </c>
    </row>
    <row r="2653" spans="1:4" ht="30" customHeight="1">
      <c r="A2653" s="6">
        <v>2651</v>
      </c>
      <c r="B2653" s="6" t="str">
        <f>"508120230425164318141443"</f>
        <v>508120230425164318141443</v>
      </c>
      <c r="C2653" s="6" t="s">
        <v>12</v>
      </c>
      <c r="D2653" s="6" t="str">
        <f>"符显富"</f>
        <v>符显富</v>
      </c>
    </row>
    <row r="2654" spans="1:4" ht="30" customHeight="1">
      <c r="A2654" s="6">
        <v>2652</v>
      </c>
      <c r="B2654" s="6" t="str">
        <f>"508120230425163045141435"</f>
        <v>508120230425163045141435</v>
      </c>
      <c r="C2654" s="6" t="s">
        <v>12</v>
      </c>
      <c r="D2654" s="6" t="str">
        <f>"黄尧"</f>
        <v>黄尧</v>
      </c>
    </row>
    <row r="2655" spans="1:4" ht="30" customHeight="1">
      <c r="A2655" s="6">
        <v>2653</v>
      </c>
      <c r="B2655" s="6" t="str">
        <f>"508120230425155434141405"</f>
        <v>508120230425155434141405</v>
      </c>
      <c r="C2655" s="6" t="s">
        <v>12</v>
      </c>
      <c r="D2655" s="6" t="str">
        <f>"符慧娴"</f>
        <v>符慧娴</v>
      </c>
    </row>
    <row r="2656" spans="1:4" ht="30" customHeight="1">
      <c r="A2656" s="6">
        <v>2654</v>
      </c>
      <c r="B2656" s="6" t="str">
        <f>"508120230424201237140977"</f>
        <v>508120230424201237140977</v>
      </c>
      <c r="C2656" s="6" t="s">
        <v>12</v>
      </c>
      <c r="D2656" s="6" t="str">
        <f>"陈芬"</f>
        <v>陈芬</v>
      </c>
    </row>
    <row r="2657" spans="1:4" ht="30" customHeight="1">
      <c r="A2657" s="6">
        <v>2655</v>
      </c>
      <c r="B2657" s="6" t="str">
        <f>"508120230425165244141451"</f>
        <v>508120230425165244141451</v>
      </c>
      <c r="C2657" s="6" t="s">
        <v>12</v>
      </c>
      <c r="D2657" s="6" t="str">
        <f>"吴强"</f>
        <v>吴强</v>
      </c>
    </row>
    <row r="2658" spans="1:4" ht="30" customHeight="1">
      <c r="A2658" s="6">
        <v>2656</v>
      </c>
      <c r="B2658" s="6" t="str">
        <f>"508120230425165522141453"</f>
        <v>508120230425165522141453</v>
      </c>
      <c r="C2658" s="6" t="s">
        <v>12</v>
      </c>
      <c r="D2658" s="6" t="str">
        <f>"王雅"</f>
        <v>王雅</v>
      </c>
    </row>
    <row r="2659" spans="1:4" ht="30" customHeight="1">
      <c r="A2659" s="6">
        <v>2657</v>
      </c>
      <c r="B2659" s="6" t="str">
        <f>"508120230425172045141468"</f>
        <v>508120230425172045141468</v>
      </c>
      <c r="C2659" s="6" t="s">
        <v>12</v>
      </c>
      <c r="D2659" s="6" t="str">
        <f>"叶可熠"</f>
        <v>叶可熠</v>
      </c>
    </row>
    <row r="2660" spans="1:4" ht="30" customHeight="1">
      <c r="A2660" s="6">
        <v>2658</v>
      </c>
      <c r="B2660" s="6" t="str">
        <f>"508120230425165254141452"</f>
        <v>508120230425165254141452</v>
      </c>
      <c r="C2660" s="6" t="s">
        <v>12</v>
      </c>
      <c r="D2660" s="6" t="str">
        <f>"周李扬"</f>
        <v>周李扬</v>
      </c>
    </row>
    <row r="2661" spans="1:4" ht="30" customHeight="1">
      <c r="A2661" s="6">
        <v>2659</v>
      </c>
      <c r="B2661" s="6" t="str">
        <f>"508120230424143412140742"</f>
        <v>508120230424143412140742</v>
      </c>
      <c r="C2661" s="6" t="s">
        <v>12</v>
      </c>
      <c r="D2661" s="6" t="str">
        <f>"符火威"</f>
        <v>符火威</v>
      </c>
    </row>
    <row r="2662" spans="1:4" ht="30" customHeight="1">
      <c r="A2662" s="6">
        <v>2660</v>
      </c>
      <c r="B2662" s="6" t="str">
        <f>"508120230425173503141477"</f>
        <v>508120230425173503141477</v>
      </c>
      <c r="C2662" s="6" t="s">
        <v>12</v>
      </c>
      <c r="D2662" s="6" t="str">
        <f>"李正娴"</f>
        <v>李正娴</v>
      </c>
    </row>
    <row r="2663" spans="1:4" ht="30" customHeight="1">
      <c r="A2663" s="6">
        <v>2661</v>
      </c>
      <c r="B2663" s="6" t="str">
        <f>"508120230425174311141480"</f>
        <v>508120230425174311141480</v>
      </c>
      <c r="C2663" s="6" t="s">
        <v>12</v>
      </c>
      <c r="D2663" s="6" t="str">
        <f>"曾石桃"</f>
        <v>曾石桃</v>
      </c>
    </row>
    <row r="2664" spans="1:4" ht="30" customHeight="1">
      <c r="A2664" s="6">
        <v>2662</v>
      </c>
      <c r="B2664" s="6" t="str">
        <f>"508120230423235351140424"</f>
        <v>508120230423235351140424</v>
      </c>
      <c r="C2664" s="6" t="s">
        <v>12</v>
      </c>
      <c r="D2664" s="6" t="str">
        <f>"王茜"</f>
        <v>王茜</v>
      </c>
    </row>
    <row r="2665" spans="1:4" ht="30" customHeight="1">
      <c r="A2665" s="6">
        <v>2663</v>
      </c>
      <c r="B2665" s="6" t="str">
        <f>"508120230424012517140438"</f>
        <v>508120230424012517140438</v>
      </c>
      <c r="C2665" s="6" t="s">
        <v>12</v>
      </c>
      <c r="D2665" s="6" t="str">
        <f>"钟有鑫"</f>
        <v>钟有鑫</v>
      </c>
    </row>
    <row r="2666" spans="1:4" ht="30" customHeight="1">
      <c r="A2666" s="6">
        <v>2664</v>
      </c>
      <c r="B2666" s="6" t="str">
        <f>"508120230425174415141481"</f>
        <v>508120230425174415141481</v>
      </c>
      <c r="C2666" s="6" t="s">
        <v>12</v>
      </c>
      <c r="D2666" s="6" t="str">
        <f>"陈孟弟"</f>
        <v>陈孟弟</v>
      </c>
    </row>
    <row r="2667" spans="1:4" ht="30" customHeight="1">
      <c r="A2667" s="6">
        <v>2665</v>
      </c>
      <c r="B2667" s="6" t="str">
        <f>"508120230425180642141495"</f>
        <v>508120230425180642141495</v>
      </c>
      <c r="C2667" s="6" t="s">
        <v>12</v>
      </c>
      <c r="D2667" s="6" t="str">
        <f>"王小玲"</f>
        <v>王小玲</v>
      </c>
    </row>
    <row r="2668" spans="1:4" ht="30" customHeight="1">
      <c r="A2668" s="6">
        <v>2666</v>
      </c>
      <c r="B2668" s="6" t="str">
        <f>"508120230425183713141511"</f>
        <v>508120230425183713141511</v>
      </c>
      <c r="C2668" s="6" t="s">
        <v>12</v>
      </c>
      <c r="D2668" s="6" t="str">
        <f>"李花"</f>
        <v>李花</v>
      </c>
    </row>
    <row r="2669" spans="1:4" ht="30" customHeight="1">
      <c r="A2669" s="6">
        <v>2667</v>
      </c>
      <c r="B2669" s="6" t="str">
        <f>"508120230425174725141483"</f>
        <v>508120230425174725141483</v>
      </c>
      <c r="C2669" s="6" t="s">
        <v>12</v>
      </c>
      <c r="D2669" s="6" t="str">
        <f>"吕先桃"</f>
        <v>吕先桃</v>
      </c>
    </row>
    <row r="2670" spans="1:4" ht="30" customHeight="1">
      <c r="A2670" s="6">
        <v>2668</v>
      </c>
      <c r="B2670" s="6" t="str">
        <f>"508120230425153813141394"</f>
        <v>508120230425153813141394</v>
      </c>
      <c r="C2670" s="6" t="s">
        <v>12</v>
      </c>
      <c r="D2670" s="6" t="str">
        <f>"朱健姝"</f>
        <v>朱健姝</v>
      </c>
    </row>
    <row r="2671" spans="1:4" ht="30" customHeight="1">
      <c r="A2671" s="6">
        <v>2669</v>
      </c>
      <c r="B2671" s="6" t="str">
        <f>"508120230425111557141266"</f>
        <v>508120230425111557141266</v>
      </c>
      <c r="C2671" s="6" t="s">
        <v>12</v>
      </c>
      <c r="D2671" s="6" t="str">
        <f>"岑运泉"</f>
        <v>岑运泉</v>
      </c>
    </row>
    <row r="2672" spans="1:4" ht="30" customHeight="1">
      <c r="A2672" s="6">
        <v>2670</v>
      </c>
      <c r="B2672" s="6" t="str">
        <f>"508120230425181242141497"</f>
        <v>508120230425181242141497</v>
      </c>
      <c r="C2672" s="6" t="s">
        <v>12</v>
      </c>
      <c r="D2672" s="6" t="str">
        <f>"王燕丹"</f>
        <v>王燕丹</v>
      </c>
    </row>
    <row r="2673" spans="1:4" ht="30" customHeight="1">
      <c r="A2673" s="6">
        <v>2671</v>
      </c>
      <c r="B2673" s="6" t="str">
        <f>"508120230425183311141507"</f>
        <v>508120230425183311141507</v>
      </c>
      <c r="C2673" s="6" t="s">
        <v>12</v>
      </c>
      <c r="D2673" s="6" t="str">
        <f>"罗小钰"</f>
        <v>罗小钰</v>
      </c>
    </row>
    <row r="2674" spans="1:4" ht="30" customHeight="1">
      <c r="A2674" s="6">
        <v>2672</v>
      </c>
      <c r="B2674" s="6" t="str">
        <f>"508120230425183213141506"</f>
        <v>508120230425183213141506</v>
      </c>
      <c r="C2674" s="6" t="s">
        <v>12</v>
      </c>
      <c r="D2674" s="6" t="str">
        <f>"谭传任"</f>
        <v>谭传任</v>
      </c>
    </row>
    <row r="2675" spans="1:4" ht="30" customHeight="1">
      <c r="A2675" s="6">
        <v>2673</v>
      </c>
      <c r="B2675" s="6" t="str">
        <f>"508120230425181808141501"</f>
        <v>508120230425181808141501</v>
      </c>
      <c r="C2675" s="6" t="s">
        <v>12</v>
      </c>
      <c r="D2675" s="6" t="str">
        <f>"邱丽娟"</f>
        <v>邱丽娟</v>
      </c>
    </row>
    <row r="2676" spans="1:4" ht="30" customHeight="1">
      <c r="A2676" s="6">
        <v>2674</v>
      </c>
      <c r="B2676" s="6" t="str">
        <f>"508120230425185506141516"</f>
        <v>508120230425185506141516</v>
      </c>
      <c r="C2676" s="6" t="s">
        <v>12</v>
      </c>
      <c r="D2676" s="6" t="str">
        <f>"李小意"</f>
        <v>李小意</v>
      </c>
    </row>
    <row r="2677" spans="1:4" ht="30" customHeight="1">
      <c r="A2677" s="6">
        <v>2675</v>
      </c>
      <c r="B2677" s="6" t="str">
        <f>"508120230425142540141341"</f>
        <v>508120230425142540141341</v>
      </c>
      <c r="C2677" s="6" t="s">
        <v>12</v>
      </c>
      <c r="D2677" s="6" t="str">
        <f>"马蒙蒙"</f>
        <v>马蒙蒙</v>
      </c>
    </row>
    <row r="2678" spans="1:4" ht="30" customHeight="1">
      <c r="A2678" s="6">
        <v>2676</v>
      </c>
      <c r="B2678" s="6" t="str">
        <f>"508120230425181915141502"</f>
        <v>508120230425181915141502</v>
      </c>
      <c r="C2678" s="6" t="s">
        <v>12</v>
      </c>
      <c r="D2678" s="6" t="str">
        <f>"胡欣玉"</f>
        <v>胡欣玉</v>
      </c>
    </row>
    <row r="2679" spans="1:4" ht="30" customHeight="1">
      <c r="A2679" s="6">
        <v>2677</v>
      </c>
      <c r="B2679" s="6" t="str">
        <f>"508120230421131547138601"</f>
        <v>508120230421131547138601</v>
      </c>
      <c r="C2679" s="6" t="s">
        <v>12</v>
      </c>
      <c r="D2679" s="6" t="str">
        <f>"刘昊彰"</f>
        <v>刘昊彰</v>
      </c>
    </row>
    <row r="2680" spans="1:4" ht="30" customHeight="1">
      <c r="A2680" s="6">
        <v>2678</v>
      </c>
      <c r="B2680" s="6" t="str">
        <f>"508120230425103908141230"</f>
        <v>508120230425103908141230</v>
      </c>
      <c r="C2680" s="6" t="s">
        <v>12</v>
      </c>
      <c r="D2680" s="6" t="str">
        <f>"王振都"</f>
        <v>王振都</v>
      </c>
    </row>
    <row r="2681" spans="1:4" ht="30" customHeight="1">
      <c r="A2681" s="6">
        <v>2679</v>
      </c>
      <c r="B2681" s="6" t="str">
        <f>"508120230425191342141523"</f>
        <v>508120230425191342141523</v>
      </c>
      <c r="C2681" s="6" t="s">
        <v>12</v>
      </c>
      <c r="D2681" s="6" t="str">
        <f>"胡绍明"</f>
        <v>胡绍明</v>
      </c>
    </row>
    <row r="2682" spans="1:4" ht="30" customHeight="1">
      <c r="A2682" s="6">
        <v>2680</v>
      </c>
      <c r="B2682" s="6" t="str">
        <f>"508120230425192548141526"</f>
        <v>508120230425192548141526</v>
      </c>
      <c r="C2682" s="6" t="s">
        <v>12</v>
      </c>
      <c r="D2682" s="6" t="str">
        <f>"符启霞"</f>
        <v>符启霞</v>
      </c>
    </row>
    <row r="2683" spans="1:4" ht="30" customHeight="1">
      <c r="A2683" s="6">
        <v>2681</v>
      </c>
      <c r="B2683" s="6" t="str">
        <f>"508120230425151336141371"</f>
        <v>508120230425151336141371</v>
      </c>
      <c r="C2683" s="6" t="s">
        <v>12</v>
      </c>
      <c r="D2683" s="6" t="str">
        <f>"吴清涵"</f>
        <v>吴清涵</v>
      </c>
    </row>
    <row r="2684" spans="1:4" ht="30" customHeight="1">
      <c r="A2684" s="6">
        <v>2682</v>
      </c>
      <c r="B2684" s="6" t="str">
        <f>"508120230422131214139331"</f>
        <v>508120230422131214139331</v>
      </c>
      <c r="C2684" s="6" t="s">
        <v>12</v>
      </c>
      <c r="D2684" s="6" t="str">
        <f>"蒙常凤"</f>
        <v>蒙常凤</v>
      </c>
    </row>
    <row r="2685" spans="1:4" ht="30" customHeight="1">
      <c r="A2685" s="6">
        <v>2683</v>
      </c>
      <c r="B2685" s="6" t="str">
        <f>"508120230425200447141543"</f>
        <v>508120230425200447141543</v>
      </c>
      <c r="C2685" s="6" t="s">
        <v>12</v>
      </c>
      <c r="D2685" s="6" t="str">
        <f>"陈曦"</f>
        <v>陈曦</v>
      </c>
    </row>
    <row r="2686" spans="1:4" ht="30" customHeight="1">
      <c r="A2686" s="6">
        <v>2684</v>
      </c>
      <c r="B2686" s="6" t="str">
        <f>"508120230425195041141535"</f>
        <v>508120230425195041141535</v>
      </c>
      <c r="C2686" s="6" t="s">
        <v>12</v>
      </c>
      <c r="D2686" s="6" t="str">
        <f>"姚颖"</f>
        <v>姚颖</v>
      </c>
    </row>
    <row r="2687" spans="1:4" ht="30" customHeight="1">
      <c r="A2687" s="6">
        <v>2685</v>
      </c>
      <c r="B2687" s="6" t="str">
        <f>"508120230424234039141115"</f>
        <v>508120230424234039141115</v>
      </c>
      <c r="C2687" s="6" t="s">
        <v>12</v>
      </c>
      <c r="D2687" s="6" t="str">
        <f>"周永梅"</f>
        <v>周永梅</v>
      </c>
    </row>
    <row r="2688" spans="1:4" ht="30" customHeight="1">
      <c r="A2688" s="6">
        <v>2686</v>
      </c>
      <c r="B2688" s="6" t="str">
        <f>"508120230425170948141462"</f>
        <v>508120230425170948141462</v>
      </c>
      <c r="C2688" s="6" t="s">
        <v>12</v>
      </c>
      <c r="D2688" s="6" t="str">
        <f>"王新杰"</f>
        <v>王新杰</v>
      </c>
    </row>
    <row r="2689" spans="1:4" ht="30" customHeight="1">
      <c r="A2689" s="6">
        <v>2687</v>
      </c>
      <c r="B2689" s="6" t="str">
        <f>"508120230424220652141059"</f>
        <v>508120230424220652141059</v>
      </c>
      <c r="C2689" s="6" t="s">
        <v>12</v>
      </c>
      <c r="D2689" s="6" t="str">
        <f>"陈丽妃"</f>
        <v>陈丽妃</v>
      </c>
    </row>
    <row r="2690" spans="1:4" ht="30" customHeight="1">
      <c r="A2690" s="6">
        <v>2688</v>
      </c>
      <c r="B2690" s="6" t="str">
        <f>"508120230425093618141184"</f>
        <v>508120230425093618141184</v>
      </c>
      <c r="C2690" s="6" t="s">
        <v>12</v>
      </c>
      <c r="D2690" s="6" t="str">
        <f>"吉愉"</f>
        <v>吉愉</v>
      </c>
    </row>
    <row r="2691" spans="1:4" ht="30" customHeight="1">
      <c r="A2691" s="6">
        <v>2689</v>
      </c>
      <c r="B2691" s="6" t="str">
        <f>"508120230425154624141399"</f>
        <v>508120230425154624141399</v>
      </c>
      <c r="C2691" s="6" t="s">
        <v>12</v>
      </c>
      <c r="D2691" s="6" t="str">
        <f>"吴正春"</f>
        <v>吴正春</v>
      </c>
    </row>
    <row r="2692" spans="1:4" ht="30" customHeight="1">
      <c r="A2692" s="6">
        <v>2690</v>
      </c>
      <c r="B2692" s="6" t="str">
        <f>"508120230425201152141547"</f>
        <v>508120230425201152141547</v>
      </c>
      <c r="C2692" s="6" t="s">
        <v>12</v>
      </c>
      <c r="D2692" s="6" t="str">
        <f>"王身日"</f>
        <v>王身日</v>
      </c>
    </row>
    <row r="2693" spans="1:4" ht="30" customHeight="1">
      <c r="A2693" s="6">
        <v>2691</v>
      </c>
      <c r="B2693" s="6" t="str">
        <f>"508120230425195518141537"</f>
        <v>508120230425195518141537</v>
      </c>
      <c r="C2693" s="6" t="s">
        <v>12</v>
      </c>
      <c r="D2693" s="6" t="str">
        <f>"张琳"</f>
        <v>张琳</v>
      </c>
    </row>
    <row r="2694" spans="1:4" ht="30" customHeight="1">
      <c r="A2694" s="6">
        <v>2692</v>
      </c>
      <c r="B2694" s="6" t="str">
        <f>"508120230422110035139241"</f>
        <v>508120230422110035139241</v>
      </c>
      <c r="C2694" s="6" t="s">
        <v>12</v>
      </c>
      <c r="D2694" s="6" t="str">
        <f>"陈大锦"</f>
        <v>陈大锦</v>
      </c>
    </row>
    <row r="2695" spans="1:4" ht="30" customHeight="1">
      <c r="A2695" s="6">
        <v>2693</v>
      </c>
      <c r="B2695" s="6" t="str">
        <f>"508120230425132852141327"</f>
        <v>508120230425132852141327</v>
      </c>
      <c r="C2695" s="6" t="s">
        <v>12</v>
      </c>
      <c r="D2695" s="6" t="str">
        <f>"叶雪柔"</f>
        <v>叶雪柔</v>
      </c>
    </row>
    <row r="2696" spans="1:4" ht="30" customHeight="1">
      <c r="A2696" s="6">
        <v>2694</v>
      </c>
      <c r="B2696" s="6" t="str">
        <f>"508120230425110634141254"</f>
        <v>508120230425110634141254</v>
      </c>
      <c r="C2696" s="6" t="s">
        <v>12</v>
      </c>
      <c r="D2696" s="6" t="str">
        <f>"陈慧"</f>
        <v>陈慧</v>
      </c>
    </row>
    <row r="2697" spans="1:4" ht="30" customHeight="1">
      <c r="A2697" s="6">
        <v>2695</v>
      </c>
      <c r="B2697" s="6" t="str">
        <f>"508120230425204146141556"</f>
        <v>508120230425204146141556</v>
      </c>
      <c r="C2697" s="6" t="s">
        <v>12</v>
      </c>
      <c r="D2697" s="6" t="str">
        <f>"张衍璇"</f>
        <v>张衍璇</v>
      </c>
    </row>
    <row r="2698" spans="1:4" ht="30" customHeight="1">
      <c r="A2698" s="6">
        <v>2696</v>
      </c>
      <c r="B2698" s="6" t="str">
        <f>"508120230423105423139845"</f>
        <v>508120230423105423139845</v>
      </c>
      <c r="C2698" s="6" t="s">
        <v>12</v>
      </c>
      <c r="D2698" s="6" t="str">
        <f>"郑惠心"</f>
        <v>郑惠心</v>
      </c>
    </row>
    <row r="2699" spans="1:4" ht="30" customHeight="1">
      <c r="A2699" s="6">
        <v>2697</v>
      </c>
      <c r="B2699" s="6" t="str">
        <f>"508120230421161328138829"</f>
        <v>508120230421161328138829</v>
      </c>
      <c r="C2699" s="6" t="s">
        <v>12</v>
      </c>
      <c r="D2699" s="6" t="str">
        <f>"周金惠"</f>
        <v>周金惠</v>
      </c>
    </row>
    <row r="2700" spans="1:4" ht="30" customHeight="1">
      <c r="A2700" s="6">
        <v>2698</v>
      </c>
      <c r="B2700" s="6" t="str">
        <f>"508120230425210217141571"</f>
        <v>508120230425210217141571</v>
      </c>
      <c r="C2700" s="6" t="s">
        <v>12</v>
      </c>
      <c r="D2700" s="6" t="str">
        <f>"唐宏嘉"</f>
        <v>唐宏嘉</v>
      </c>
    </row>
    <row r="2701" spans="1:4" ht="30" customHeight="1">
      <c r="A2701" s="6">
        <v>2699</v>
      </c>
      <c r="B2701" s="6" t="str">
        <f>"508120230425090739141172"</f>
        <v>508120230425090739141172</v>
      </c>
      <c r="C2701" s="6" t="s">
        <v>12</v>
      </c>
      <c r="D2701" s="6" t="str">
        <f>"吴留连"</f>
        <v>吴留连</v>
      </c>
    </row>
    <row r="2702" spans="1:4" ht="30" customHeight="1">
      <c r="A2702" s="6">
        <v>2700</v>
      </c>
      <c r="B2702" s="6" t="str">
        <f>"508120230422195000139516"</f>
        <v>508120230422195000139516</v>
      </c>
      <c r="C2702" s="6" t="s">
        <v>12</v>
      </c>
      <c r="D2702" s="6" t="str">
        <f>"刘硕文"</f>
        <v>刘硕文</v>
      </c>
    </row>
    <row r="2703" spans="1:4" ht="30" customHeight="1">
      <c r="A2703" s="6">
        <v>2701</v>
      </c>
      <c r="B2703" s="6" t="str">
        <f>"508120230425212711141590"</f>
        <v>508120230425212711141590</v>
      </c>
      <c r="C2703" s="6" t="s">
        <v>12</v>
      </c>
      <c r="D2703" s="6" t="str">
        <f>"欧阳桢腊"</f>
        <v>欧阳桢腊</v>
      </c>
    </row>
    <row r="2704" spans="1:4" ht="30" customHeight="1">
      <c r="A2704" s="6">
        <v>2702</v>
      </c>
      <c r="B2704" s="6" t="str">
        <f>"508120230425213750141598"</f>
        <v>508120230425213750141598</v>
      </c>
      <c r="C2704" s="6" t="s">
        <v>12</v>
      </c>
      <c r="D2704" s="6" t="str">
        <f>"王顺妮"</f>
        <v>王顺妮</v>
      </c>
    </row>
    <row r="2705" spans="1:4" ht="30" customHeight="1">
      <c r="A2705" s="6">
        <v>2703</v>
      </c>
      <c r="B2705" s="6" t="str">
        <f>"508120230425214031141601"</f>
        <v>508120230425214031141601</v>
      </c>
      <c r="C2705" s="6" t="s">
        <v>12</v>
      </c>
      <c r="D2705" s="6" t="str">
        <f>"陈梦婷"</f>
        <v>陈梦婷</v>
      </c>
    </row>
    <row r="2706" spans="1:4" ht="30" customHeight="1">
      <c r="A2706" s="6">
        <v>2704</v>
      </c>
      <c r="B2706" s="6" t="str">
        <f>"508120230425210355141573"</f>
        <v>508120230425210355141573</v>
      </c>
      <c r="C2706" s="6" t="s">
        <v>12</v>
      </c>
      <c r="D2706" s="6" t="str">
        <f>"傅国翠"</f>
        <v>傅国翠</v>
      </c>
    </row>
    <row r="2707" spans="1:4" ht="30" customHeight="1">
      <c r="A2707" s="6">
        <v>2705</v>
      </c>
      <c r="B2707" s="6" t="str">
        <f>"508120230424163755140843"</f>
        <v>508120230424163755140843</v>
      </c>
      <c r="C2707" s="6" t="s">
        <v>12</v>
      </c>
      <c r="D2707" s="6" t="str">
        <f>"王葵霖"</f>
        <v>王葵霖</v>
      </c>
    </row>
    <row r="2708" spans="1:4" ht="30" customHeight="1">
      <c r="A2708" s="6">
        <v>2706</v>
      </c>
      <c r="B2708" s="6" t="str">
        <f>"508120230423194907140237"</f>
        <v>508120230423194907140237</v>
      </c>
      <c r="C2708" s="6" t="s">
        <v>12</v>
      </c>
      <c r="D2708" s="6" t="str">
        <f>"张霜"</f>
        <v>张霜</v>
      </c>
    </row>
    <row r="2709" spans="1:4" ht="30" customHeight="1">
      <c r="A2709" s="6">
        <v>2707</v>
      </c>
      <c r="B2709" s="6" t="str">
        <f>"508120230423164323140122"</f>
        <v>508120230423164323140122</v>
      </c>
      <c r="C2709" s="6" t="s">
        <v>12</v>
      </c>
      <c r="D2709" s="6" t="str">
        <f>"符永珍"</f>
        <v>符永珍</v>
      </c>
    </row>
    <row r="2710" spans="1:4" ht="30" customHeight="1">
      <c r="A2710" s="6">
        <v>2708</v>
      </c>
      <c r="B2710" s="6" t="str">
        <f>"508120230423095530139799"</f>
        <v>508120230423095530139799</v>
      </c>
      <c r="C2710" s="6" t="s">
        <v>12</v>
      </c>
      <c r="D2710" s="6" t="str">
        <f>"赵文凯"</f>
        <v>赵文凯</v>
      </c>
    </row>
    <row r="2711" spans="1:4" ht="30" customHeight="1">
      <c r="A2711" s="6">
        <v>2709</v>
      </c>
      <c r="B2711" s="6" t="str">
        <f>"508120230425215416141608"</f>
        <v>508120230425215416141608</v>
      </c>
      <c r="C2711" s="6" t="s">
        <v>12</v>
      </c>
      <c r="D2711" s="6" t="str">
        <f>"黄民园"</f>
        <v>黄民园</v>
      </c>
    </row>
    <row r="2712" spans="1:4" ht="30" customHeight="1">
      <c r="A2712" s="6">
        <v>2710</v>
      </c>
      <c r="B2712" s="6" t="str">
        <f>"508120230425220153141617"</f>
        <v>508120230425220153141617</v>
      </c>
      <c r="C2712" s="6" t="s">
        <v>12</v>
      </c>
      <c r="D2712" s="6" t="str">
        <f>"吴英健"</f>
        <v>吴英健</v>
      </c>
    </row>
    <row r="2713" spans="1:4" ht="30" customHeight="1">
      <c r="A2713" s="6">
        <v>2711</v>
      </c>
      <c r="B2713" s="6" t="str">
        <f>"508120230425213916141600"</f>
        <v>508120230425213916141600</v>
      </c>
      <c r="C2713" s="6" t="s">
        <v>12</v>
      </c>
      <c r="D2713" s="6" t="str">
        <f>"张馨文"</f>
        <v>张馨文</v>
      </c>
    </row>
    <row r="2714" spans="1:4" ht="30" customHeight="1">
      <c r="A2714" s="6">
        <v>2712</v>
      </c>
      <c r="B2714" s="6" t="str">
        <f>"508120230425221751141628"</f>
        <v>508120230425221751141628</v>
      </c>
      <c r="C2714" s="6" t="s">
        <v>12</v>
      </c>
      <c r="D2714" s="6" t="str">
        <f>"黄海静"</f>
        <v>黄海静</v>
      </c>
    </row>
    <row r="2715" spans="1:4" ht="30" customHeight="1">
      <c r="A2715" s="6">
        <v>2713</v>
      </c>
      <c r="B2715" s="6" t="str">
        <f>"508120230425222707141636"</f>
        <v>508120230425222707141636</v>
      </c>
      <c r="C2715" s="6" t="s">
        <v>12</v>
      </c>
      <c r="D2715" s="6" t="str">
        <f>"柯令君"</f>
        <v>柯令君</v>
      </c>
    </row>
    <row r="2716" spans="1:4" ht="30" customHeight="1">
      <c r="A2716" s="6">
        <v>2714</v>
      </c>
      <c r="B2716" s="6" t="str">
        <f>"508120230421110935138437"</f>
        <v>508120230421110935138437</v>
      </c>
      <c r="C2716" s="6" t="s">
        <v>12</v>
      </c>
      <c r="D2716" s="6" t="str">
        <f>"陈海娜"</f>
        <v>陈海娜</v>
      </c>
    </row>
    <row r="2717" spans="1:4" ht="30" customHeight="1">
      <c r="A2717" s="6">
        <v>2715</v>
      </c>
      <c r="B2717" s="6" t="str">
        <f>"508120230425215350141607"</f>
        <v>508120230425215350141607</v>
      </c>
      <c r="C2717" s="6" t="s">
        <v>12</v>
      </c>
      <c r="D2717" s="6" t="str">
        <f>"陈海燕"</f>
        <v>陈海燕</v>
      </c>
    </row>
    <row r="2718" spans="1:4" ht="30" customHeight="1">
      <c r="A2718" s="6">
        <v>2716</v>
      </c>
      <c r="B2718" s="6" t="str">
        <f>"508120230425224436141640"</f>
        <v>508120230425224436141640</v>
      </c>
      <c r="C2718" s="6" t="s">
        <v>12</v>
      </c>
      <c r="D2718" s="6" t="str">
        <f>"陈俞宏"</f>
        <v>陈俞宏</v>
      </c>
    </row>
    <row r="2719" spans="1:4" ht="30" customHeight="1">
      <c r="A2719" s="6">
        <v>2717</v>
      </c>
      <c r="B2719" s="6" t="str">
        <f>"508120230425230539141655"</f>
        <v>508120230425230539141655</v>
      </c>
      <c r="C2719" s="6" t="s">
        <v>12</v>
      </c>
      <c r="D2719" s="6" t="str">
        <f>"高心丽"</f>
        <v>高心丽</v>
      </c>
    </row>
    <row r="2720" spans="1:4" ht="30" customHeight="1">
      <c r="A2720" s="6">
        <v>2718</v>
      </c>
      <c r="B2720" s="6" t="str">
        <f>"508120230425230308141652"</f>
        <v>508120230425230308141652</v>
      </c>
      <c r="C2720" s="6" t="s">
        <v>12</v>
      </c>
      <c r="D2720" s="6" t="str">
        <f>"王燕"</f>
        <v>王燕</v>
      </c>
    </row>
    <row r="2721" spans="1:4" ht="30" customHeight="1">
      <c r="A2721" s="6">
        <v>2719</v>
      </c>
      <c r="B2721" s="6" t="str">
        <f>"508120230425232207141660"</f>
        <v>508120230425232207141660</v>
      </c>
      <c r="C2721" s="6" t="s">
        <v>12</v>
      </c>
      <c r="D2721" s="6" t="str">
        <f>"黄淇"</f>
        <v>黄淇</v>
      </c>
    </row>
    <row r="2722" spans="1:4" ht="30" customHeight="1">
      <c r="A2722" s="6">
        <v>2720</v>
      </c>
      <c r="B2722" s="6" t="str">
        <f>"508120230422114100139269"</f>
        <v>508120230422114100139269</v>
      </c>
      <c r="C2722" s="6" t="s">
        <v>12</v>
      </c>
      <c r="D2722" s="6" t="str">
        <f>"黄冬英"</f>
        <v>黄冬英</v>
      </c>
    </row>
    <row r="2723" spans="1:4" ht="30" customHeight="1">
      <c r="A2723" s="6">
        <v>2721</v>
      </c>
      <c r="B2723" s="6" t="str">
        <f>"508120230421142215138655"</f>
        <v>508120230421142215138655</v>
      </c>
      <c r="C2723" s="6" t="s">
        <v>12</v>
      </c>
      <c r="D2723" s="6" t="str">
        <f>"郭泽蝶"</f>
        <v>郭泽蝶</v>
      </c>
    </row>
    <row r="2724" spans="1:4" ht="30" customHeight="1">
      <c r="A2724" s="6">
        <v>2722</v>
      </c>
      <c r="B2724" s="6" t="str">
        <f>"508120230425232031141659"</f>
        <v>508120230425232031141659</v>
      </c>
      <c r="C2724" s="6" t="s">
        <v>12</v>
      </c>
      <c r="D2724" s="6" t="str">
        <f>"邢文瑜"</f>
        <v>邢文瑜</v>
      </c>
    </row>
    <row r="2725" spans="1:4" ht="30" customHeight="1">
      <c r="A2725" s="6">
        <v>2723</v>
      </c>
      <c r="B2725" s="6" t="str">
        <f>"508120230423234228140422"</f>
        <v>508120230423234228140422</v>
      </c>
      <c r="C2725" s="6" t="s">
        <v>12</v>
      </c>
      <c r="D2725" s="6" t="str">
        <f>"符玉涛"</f>
        <v>符玉涛</v>
      </c>
    </row>
    <row r="2726" spans="1:4" ht="30" customHeight="1">
      <c r="A2726" s="6">
        <v>2724</v>
      </c>
      <c r="B2726" s="6" t="str">
        <f>"508120230425233455141665"</f>
        <v>508120230425233455141665</v>
      </c>
      <c r="C2726" s="6" t="s">
        <v>12</v>
      </c>
      <c r="D2726" s="6" t="str">
        <f>"黄启荟"</f>
        <v>黄启荟</v>
      </c>
    </row>
    <row r="2727" spans="1:4" ht="30" customHeight="1">
      <c r="A2727" s="6">
        <v>2725</v>
      </c>
      <c r="B2727" s="6" t="str">
        <f>"508120230425234440141670"</f>
        <v>508120230425234440141670</v>
      </c>
      <c r="C2727" s="6" t="s">
        <v>12</v>
      </c>
      <c r="D2727" s="6" t="str">
        <f>"陈晶晶"</f>
        <v>陈晶晶</v>
      </c>
    </row>
    <row r="2728" spans="1:4" ht="30" customHeight="1">
      <c r="A2728" s="6">
        <v>2726</v>
      </c>
      <c r="B2728" s="6" t="str">
        <f>"508120230425234845141673"</f>
        <v>508120230425234845141673</v>
      </c>
      <c r="C2728" s="6" t="s">
        <v>12</v>
      </c>
      <c r="D2728" s="6" t="str">
        <f>"严涛"</f>
        <v>严涛</v>
      </c>
    </row>
    <row r="2729" spans="1:4" ht="30" customHeight="1">
      <c r="A2729" s="6">
        <v>2727</v>
      </c>
      <c r="B2729" s="6" t="str">
        <f>"508120230424184355140928"</f>
        <v>508120230424184355140928</v>
      </c>
      <c r="C2729" s="6" t="s">
        <v>12</v>
      </c>
      <c r="D2729" s="6" t="str">
        <f>"刘迪"</f>
        <v>刘迪</v>
      </c>
    </row>
    <row r="2730" spans="1:4" ht="30" customHeight="1">
      <c r="A2730" s="6">
        <v>2728</v>
      </c>
      <c r="B2730" s="6" t="str">
        <f>"508120230425150147141359"</f>
        <v>508120230425150147141359</v>
      </c>
      <c r="C2730" s="6" t="s">
        <v>12</v>
      </c>
      <c r="D2730" s="6" t="str">
        <f>"周琳"</f>
        <v>周琳</v>
      </c>
    </row>
    <row r="2731" spans="1:4" ht="30" customHeight="1">
      <c r="A2731" s="6">
        <v>2729</v>
      </c>
      <c r="B2731" s="6" t="str">
        <f>"508120230422212516139588"</f>
        <v>508120230422212516139588</v>
      </c>
      <c r="C2731" s="6" t="s">
        <v>12</v>
      </c>
      <c r="D2731" s="6" t="str">
        <f>"叶润泽"</f>
        <v>叶润泽</v>
      </c>
    </row>
    <row r="2732" spans="1:4" ht="30" customHeight="1">
      <c r="A2732" s="6">
        <v>2730</v>
      </c>
      <c r="B2732" s="6" t="str">
        <f>"508120230426000132141675"</f>
        <v>508120230426000132141675</v>
      </c>
      <c r="C2732" s="6" t="s">
        <v>12</v>
      </c>
      <c r="D2732" s="6" t="str">
        <f>"羊琼"</f>
        <v>羊琼</v>
      </c>
    </row>
    <row r="2733" spans="1:4" ht="30" customHeight="1">
      <c r="A2733" s="6">
        <v>2731</v>
      </c>
      <c r="B2733" s="6" t="str">
        <f>"508120230426003259141683"</f>
        <v>508120230426003259141683</v>
      </c>
      <c r="C2733" s="6" t="s">
        <v>12</v>
      </c>
      <c r="D2733" s="6" t="str">
        <f>"韩妮燕"</f>
        <v>韩妮燕</v>
      </c>
    </row>
    <row r="2734" spans="1:4" ht="30" customHeight="1">
      <c r="A2734" s="6">
        <v>2732</v>
      </c>
      <c r="B2734" s="6" t="str">
        <f>"508120230426005054141688"</f>
        <v>508120230426005054141688</v>
      </c>
      <c r="C2734" s="6" t="s">
        <v>12</v>
      </c>
      <c r="D2734" s="6" t="str">
        <f>"陈雯欣"</f>
        <v>陈雯欣</v>
      </c>
    </row>
    <row r="2735" spans="1:4" ht="30" customHeight="1">
      <c r="A2735" s="6">
        <v>2733</v>
      </c>
      <c r="B2735" s="6" t="str">
        <f>"508120230425163938141439"</f>
        <v>508120230425163938141439</v>
      </c>
      <c r="C2735" s="6" t="s">
        <v>12</v>
      </c>
      <c r="D2735" s="6" t="str">
        <f>"李辉全"</f>
        <v>李辉全</v>
      </c>
    </row>
    <row r="2736" spans="1:4" ht="30" customHeight="1">
      <c r="A2736" s="6">
        <v>2734</v>
      </c>
      <c r="B2736" s="6" t="str">
        <f>"508120230423021610139694"</f>
        <v>508120230423021610139694</v>
      </c>
      <c r="C2736" s="6" t="s">
        <v>12</v>
      </c>
      <c r="D2736" s="6" t="str">
        <f>"陈惠菊"</f>
        <v>陈惠菊</v>
      </c>
    </row>
    <row r="2737" spans="1:4" ht="30" customHeight="1">
      <c r="A2737" s="6">
        <v>2735</v>
      </c>
      <c r="B2737" s="6" t="str">
        <f>"508120230421105633138408"</f>
        <v>508120230421105633138408</v>
      </c>
      <c r="C2737" s="6" t="s">
        <v>12</v>
      </c>
      <c r="D2737" s="6" t="str">
        <f>"许芳"</f>
        <v>许芳</v>
      </c>
    </row>
    <row r="2738" spans="1:4" ht="30" customHeight="1">
      <c r="A2738" s="6">
        <v>2736</v>
      </c>
      <c r="B2738" s="6" t="str">
        <f>"508120230424120630140679"</f>
        <v>508120230424120630140679</v>
      </c>
      <c r="C2738" s="6" t="s">
        <v>12</v>
      </c>
      <c r="D2738" s="6" t="str">
        <f>"施昌良"</f>
        <v>施昌良</v>
      </c>
    </row>
    <row r="2739" spans="1:4" ht="30" customHeight="1">
      <c r="A2739" s="6">
        <v>2737</v>
      </c>
      <c r="B2739" s="6" t="str">
        <f>"508120230426074524141701"</f>
        <v>508120230426074524141701</v>
      </c>
      <c r="C2739" s="6" t="s">
        <v>12</v>
      </c>
      <c r="D2739" s="6" t="str">
        <f>"陈莹"</f>
        <v>陈莹</v>
      </c>
    </row>
    <row r="2740" spans="1:4" ht="30" customHeight="1">
      <c r="A2740" s="6">
        <v>2738</v>
      </c>
      <c r="B2740" s="6" t="str">
        <f>"508120230424223513141081"</f>
        <v>508120230424223513141081</v>
      </c>
      <c r="C2740" s="6" t="s">
        <v>12</v>
      </c>
      <c r="D2740" s="6" t="str">
        <f>"李天凤"</f>
        <v>李天凤</v>
      </c>
    </row>
    <row r="2741" spans="1:4" ht="30" customHeight="1">
      <c r="A2741" s="6">
        <v>2739</v>
      </c>
      <c r="B2741" s="6" t="str">
        <f>"508120230425142038141340"</f>
        <v>508120230425142038141340</v>
      </c>
      <c r="C2741" s="6" t="s">
        <v>12</v>
      </c>
      <c r="D2741" s="6" t="str">
        <f>"韦雪佳"</f>
        <v>韦雪佳</v>
      </c>
    </row>
    <row r="2742" spans="1:4" ht="30" customHeight="1">
      <c r="A2742" s="6">
        <v>2740</v>
      </c>
      <c r="B2742" s="6" t="str">
        <f>"508120230425202212141551"</f>
        <v>508120230425202212141551</v>
      </c>
      <c r="C2742" s="6" t="s">
        <v>12</v>
      </c>
      <c r="D2742" s="6" t="str">
        <f>"袁森威"</f>
        <v>袁森威</v>
      </c>
    </row>
    <row r="2743" spans="1:4" ht="30" customHeight="1">
      <c r="A2743" s="6">
        <v>2741</v>
      </c>
      <c r="B2743" s="6" t="str">
        <f>"508120230425105438141243"</f>
        <v>508120230425105438141243</v>
      </c>
      <c r="C2743" s="6" t="s">
        <v>12</v>
      </c>
      <c r="D2743" s="6" t="str">
        <f>"邢谷帆"</f>
        <v>邢谷帆</v>
      </c>
    </row>
    <row r="2744" spans="1:4" ht="30" customHeight="1">
      <c r="A2744" s="6">
        <v>2742</v>
      </c>
      <c r="B2744" s="6" t="str">
        <f>"508120230425192100141525"</f>
        <v>508120230425192100141525</v>
      </c>
      <c r="C2744" s="6" t="s">
        <v>12</v>
      </c>
      <c r="D2744" s="6" t="str">
        <f>"钟教娜"</f>
        <v>钟教娜</v>
      </c>
    </row>
    <row r="2745" spans="1:4" ht="30" customHeight="1">
      <c r="A2745" s="6">
        <v>2743</v>
      </c>
      <c r="B2745" s="6" t="str">
        <f>"508120230426091733141729"</f>
        <v>508120230426091733141729</v>
      </c>
      <c r="C2745" s="6" t="s">
        <v>12</v>
      </c>
      <c r="D2745" s="6" t="str">
        <f>"唐于琏"</f>
        <v>唐于琏</v>
      </c>
    </row>
    <row r="2746" spans="1:4" ht="30" customHeight="1">
      <c r="A2746" s="6">
        <v>2744</v>
      </c>
      <c r="B2746" s="6" t="str">
        <f>"508120230426090524141724"</f>
        <v>508120230426090524141724</v>
      </c>
      <c r="C2746" s="6" t="s">
        <v>12</v>
      </c>
      <c r="D2746" s="6" t="str">
        <f>"羊贵花"</f>
        <v>羊贵花</v>
      </c>
    </row>
    <row r="2747" spans="1:4" ht="30" customHeight="1">
      <c r="A2747" s="6">
        <v>2745</v>
      </c>
      <c r="B2747" s="6" t="str">
        <f>"508120230426092324141734"</f>
        <v>508120230426092324141734</v>
      </c>
      <c r="C2747" s="6" t="s">
        <v>12</v>
      </c>
      <c r="D2747" s="6" t="str">
        <f>"王小金"</f>
        <v>王小金</v>
      </c>
    </row>
    <row r="2748" spans="1:4" ht="30" customHeight="1">
      <c r="A2748" s="6">
        <v>2746</v>
      </c>
      <c r="B2748" s="6" t="str">
        <f>"508120230425213629141596"</f>
        <v>508120230425213629141596</v>
      </c>
      <c r="C2748" s="6" t="s">
        <v>12</v>
      </c>
      <c r="D2748" s="6" t="str">
        <f>"梁乙沁"</f>
        <v>梁乙沁</v>
      </c>
    </row>
    <row r="2749" spans="1:4" ht="30" customHeight="1">
      <c r="A2749" s="6">
        <v>2747</v>
      </c>
      <c r="B2749" s="6" t="str">
        <f>"508120230426095421141746"</f>
        <v>508120230426095421141746</v>
      </c>
      <c r="C2749" s="6" t="s">
        <v>12</v>
      </c>
      <c r="D2749" s="6" t="str">
        <f>"王子棋"</f>
        <v>王子棋</v>
      </c>
    </row>
    <row r="2750" spans="1:4" ht="30" customHeight="1">
      <c r="A2750" s="6">
        <v>2748</v>
      </c>
      <c r="B2750" s="6" t="str">
        <f>"508120230426101621141766"</f>
        <v>508120230426101621141766</v>
      </c>
      <c r="C2750" s="6" t="s">
        <v>12</v>
      </c>
      <c r="D2750" s="6" t="str">
        <f>"马静"</f>
        <v>马静</v>
      </c>
    </row>
    <row r="2751" spans="1:4" ht="30" customHeight="1">
      <c r="A2751" s="6">
        <v>2749</v>
      </c>
      <c r="B2751" s="6" t="str">
        <f>"508120230423093040139766"</f>
        <v>508120230423093040139766</v>
      </c>
      <c r="C2751" s="6" t="s">
        <v>12</v>
      </c>
      <c r="D2751" s="6" t="str">
        <f>"曾海云"</f>
        <v>曾海云</v>
      </c>
    </row>
    <row r="2752" spans="1:4" ht="30" customHeight="1">
      <c r="A2752" s="6">
        <v>2750</v>
      </c>
      <c r="B2752" s="6" t="str">
        <f>"508120230424094139140523"</f>
        <v>508120230424094139140523</v>
      </c>
      <c r="C2752" s="6" t="s">
        <v>12</v>
      </c>
      <c r="D2752" s="6" t="str">
        <f>"黄向丽"</f>
        <v>黄向丽</v>
      </c>
    </row>
    <row r="2753" spans="1:4" ht="30" customHeight="1">
      <c r="A2753" s="6">
        <v>2751</v>
      </c>
      <c r="B2753" s="6" t="str">
        <f>"508120230424092208140503"</f>
        <v>508120230424092208140503</v>
      </c>
      <c r="C2753" s="6" t="s">
        <v>12</v>
      </c>
      <c r="D2753" s="6" t="str">
        <f>"王世闳"</f>
        <v>王世闳</v>
      </c>
    </row>
    <row r="2754" spans="1:4" ht="30" customHeight="1">
      <c r="A2754" s="6">
        <v>2752</v>
      </c>
      <c r="B2754" s="6" t="str">
        <f>"508120230426110327141796"</f>
        <v>508120230426110327141796</v>
      </c>
      <c r="C2754" s="6" t="s">
        <v>12</v>
      </c>
      <c r="D2754" s="6" t="str">
        <f>"莫小婷"</f>
        <v>莫小婷</v>
      </c>
    </row>
    <row r="2755" spans="1:4" ht="30" customHeight="1">
      <c r="A2755" s="6">
        <v>2753</v>
      </c>
      <c r="B2755" s="6" t="str">
        <f>"508120230426103201141781"</f>
        <v>508120230426103201141781</v>
      </c>
      <c r="C2755" s="6" t="s">
        <v>12</v>
      </c>
      <c r="D2755" s="6" t="str">
        <f>"王思颖"</f>
        <v>王思颖</v>
      </c>
    </row>
    <row r="2756" spans="1:4" ht="30" customHeight="1">
      <c r="A2756" s="6">
        <v>2754</v>
      </c>
      <c r="B2756" s="6" t="str">
        <f>"508120230426105816141792"</f>
        <v>508120230426105816141792</v>
      </c>
      <c r="C2756" s="6" t="s">
        <v>12</v>
      </c>
      <c r="D2756" s="6" t="str">
        <f>"谢君"</f>
        <v>谢君</v>
      </c>
    </row>
    <row r="2757" spans="1:4" ht="30" customHeight="1">
      <c r="A2757" s="6">
        <v>2755</v>
      </c>
      <c r="B2757" s="6" t="str">
        <f>"508120230426105526141791"</f>
        <v>508120230426105526141791</v>
      </c>
      <c r="C2757" s="6" t="s">
        <v>12</v>
      </c>
      <c r="D2757" s="6" t="str">
        <f>"陈婷"</f>
        <v>陈婷</v>
      </c>
    </row>
    <row r="2758" spans="1:4" ht="30" customHeight="1">
      <c r="A2758" s="6">
        <v>2756</v>
      </c>
      <c r="B2758" s="6" t="str">
        <f>"508120230426104422141787"</f>
        <v>508120230426104422141787</v>
      </c>
      <c r="C2758" s="6" t="s">
        <v>12</v>
      </c>
      <c r="D2758" s="6" t="str">
        <f>"陈妍婷"</f>
        <v>陈妍婷</v>
      </c>
    </row>
    <row r="2759" spans="1:4" ht="30" customHeight="1">
      <c r="A2759" s="6">
        <v>2757</v>
      </c>
      <c r="B2759" s="6" t="str">
        <f>"508120230426112458141810"</f>
        <v>508120230426112458141810</v>
      </c>
      <c r="C2759" s="6" t="s">
        <v>12</v>
      </c>
      <c r="D2759" s="6" t="str">
        <f>"甘一涵"</f>
        <v>甘一涵</v>
      </c>
    </row>
    <row r="2760" spans="1:4" ht="30" customHeight="1">
      <c r="A2760" s="6">
        <v>2758</v>
      </c>
      <c r="B2760" s="6" t="str">
        <f>"508120230425235923141674"</f>
        <v>508120230425235923141674</v>
      </c>
      <c r="C2760" s="6" t="s">
        <v>12</v>
      </c>
      <c r="D2760" s="6" t="str">
        <f>"王莹"</f>
        <v>王莹</v>
      </c>
    </row>
    <row r="2761" spans="1:4" ht="30" customHeight="1">
      <c r="A2761" s="6">
        <v>2759</v>
      </c>
      <c r="B2761" s="6" t="str">
        <f>"508120230421103441138359"</f>
        <v>508120230421103441138359</v>
      </c>
      <c r="C2761" s="6" t="s">
        <v>12</v>
      </c>
      <c r="D2761" s="6" t="str">
        <f>"王元利"</f>
        <v>王元利</v>
      </c>
    </row>
    <row r="2762" spans="1:4" ht="30" customHeight="1">
      <c r="A2762" s="6">
        <v>2760</v>
      </c>
      <c r="B2762" s="6" t="str">
        <f>"508120230422102659139222"</f>
        <v>508120230422102659139222</v>
      </c>
      <c r="C2762" s="6" t="s">
        <v>12</v>
      </c>
      <c r="D2762" s="6" t="str">
        <f>"朱允发"</f>
        <v>朱允发</v>
      </c>
    </row>
    <row r="2763" spans="1:4" ht="30" customHeight="1">
      <c r="A2763" s="6">
        <v>2761</v>
      </c>
      <c r="B2763" s="6" t="str">
        <f>"508120230423223156140375"</f>
        <v>508120230423223156140375</v>
      </c>
      <c r="C2763" s="6" t="s">
        <v>12</v>
      </c>
      <c r="D2763" s="6" t="str">
        <f>"陶璇"</f>
        <v>陶璇</v>
      </c>
    </row>
    <row r="2764" spans="1:4" ht="30" customHeight="1">
      <c r="A2764" s="6">
        <v>2762</v>
      </c>
      <c r="B2764" s="6" t="str">
        <f>"508120230425120529141303"</f>
        <v>508120230425120529141303</v>
      </c>
      <c r="C2764" s="6" t="s">
        <v>12</v>
      </c>
      <c r="D2764" s="6" t="str">
        <f>"陈垂妹"</f>
        <v>陈垂妹</v>
      </c>
    </row>
    <row r="2765" spans="1:4" ht="30" customHeight="1">
      <c r="A2765" s="6">
        <v>2763</v>
      </c>
      <c r="B2765" s="6" t="str">
        <f>"508120230426104111141785"</f>
        <v>508120230426104111141785</v>
      </c>
      <c r="C2765" s="6" t="s">
        <v>12</v>
      </c>
      <c r="D2765" s="6" t="str">
        <f>"边高洁"</f>
        <v>边高洁</v>
      </c>
    </row>
    <row r="2766" spans="1:4" ht="30" customHeight="1">
      <c r="A2766" s="6">
        <v>2764</v>
      </c>
      <c r="B2766" s="6" t="str">
        <f>"508120230426120600141836"</f>
        <v>508120230426120600141836</v>
      </c>
      <c r="C2766" s="6" t="s">
        <v>12</v>
      </c>
      <c r="D2766" s="6" t="str">
        <f>"陈龙"</f>
        <v>陈龙</v>
      </c>
    </row>
    <row r="2767" spans="1:4" ht="30" customHeight="1">
      <c r="A2767" s="6">
        <v>2765</v>
      </c>
      <c r="B2767" s="6" t="str">
        <f>"508120230424092301140504"</f>
        <v>508120230424092301140504</v>
      </c>
      <c r="C2767" s="6" t="s">
        <v>12</v>
      </c>
      <c r="D2767" s="6" t="str">
        <f>"王乔"</f>
        <v>王乔</v>
      </c>
    </row>
    <row r="2768" spans="1:4" ht="30" customHeight="1">
      <c r="A2768" s="6">
        <v>2766</v>
      </c>
      <c r="B2768" s="6" t="str">
        <f>"508120230425135701141332"</f>
        <v>508120230425135701141332</v>
      </c>
      <c r="C2768" s="6" t="s">
        <v>12</v>
      </c>
      <c r="D2768" s="6" t="str">
        <f>"王雅"</f>
        <v>王雅</v>
      </c>
    </row>
    <row r="2769" spans="1:4" ht="30" customHeight="1">
      <c r="A2769" s="6">
        <v>2767</v>
      </c>
      <c r="B2769" s="6" t="str">
        <f>"508120230425103101141220"</f>
        <v>508120230425103101141220</v>
      </c>
      <c r="C2769" s="6" t="s">
        <v>12</v>
      </c>
      <c r="D2769" s="6" t="str">
        <f>"范恋恋"</f>
        <v>范恋恋</v>
      </c>
    </row>
    <row r="2770" spans="1:4" ht="30" customHeight="1">
      <c r="A2770" s="6">
        <v>2768</v>
      </c>
      <c r="B2770" s="6" t="str">
        <f>"508120230424123256140686"</f>
        <v>508120230424123256140686</v>
      </c>
      <c r="C2770" s="6" t="s">
        <v>12</v>
      </c>
      <c r="D2770" s="6" t="str">
        <f>"吴有亮"</f>
        <v>吴有亮</v>
      </c>
    </row>
    <row r="2771" spans="1:4" ht="30" customHeight="1">
      <c r="A2771" s="6">
        <v>2769</v>
      </c>
      <c r="B2771" s="6" t="str">
        <f>"508120230426133207141872"</f>
        <v>508120230426133207141872</v>
      </c>
      <c r="C2771" s="6" t="s">
        <v>12</v>
      </c>
      <c r="D2771" s="6" t="str">
        <f>"张莹莹"</f>
        <v>张莹莹</v>
      </c>
    </row>
    <row r="2772" spans="1:4" ht="30" customHeight="1">
      <c r="A2772" s="6">
        <v>2770</v>
      </c>
      <c r="B2772" s="6" t="str">
        <f>"508120230426134029141875"</f>
        <v>508120230426134029141875</v>
      </c>
      <c r="C2772" s="6" t="s">
        <v>12</v>
      </c>
      <c r="D2772" s="6" t="str">
        <f>"李瑶瑶"</f>
        <v>李瑶瑶</v>
      </c>
    </row>
    <row r="2773" spans="1:4" ht="30" customHeight="1">
      <c r="A2773" s="6">
        <v>2771</v>
      </c>
      <c r="B2773" s="6" t="str">
        <f>"508120230426084239141712"</f>
        <v>508120230426084239141712</v>
      </c>
      <c r="C2773" s="6" t="s">
        <v>12</v>
      </c>
      <c r="D2773" s="6" t="str">
        <f>"冯学哲"</f>
        <v>冯学哲</v>
      </c>
    </row>
    <row r="2774" spans="1:4" ht="30" customHeight="1">
      <c r="A2774" s="6">
        <v>2772</v>
      </c>
      <c r="B2774" s="6" t="str">
        <f>"508120230426133308141873"</f>
        <v>508120230426133308141873</v>
      </c>
      <c r="C2774" s="6" t="s">
        <v>12</v>
      </c>
      <c r="D2774" s="6" t="str">
        <f>"周淑雅"</f>
        <v>周淑雅</v>
      </c>
    </row>
    <row r="2775" spans="1:4" ht="30" customHeight="1">
      <c r="A2775" s="6">
        <v>2773</v>
      </c>
      <c r="B2775" s="6" t="str">
        <f>"508120230421143140138664"</f>
        <v>508120230421143140138664</v>
      </c>
      <c r="C2775" s="6" t="s">
        <v>12</v>
      </c>
      <c r="D2775" s="6" t="str">
        <f>"林沁妍"</f>
        <v>林沁妍</v>
      </c>
    </row>
    <row r="2776" spans="1:4" ht="30" customHeight="1">
      <c r="A2776" s="6">
        <v>2774</v>
      </c>
      <c r="B2776" s="6" t="str">
        <f>"508120230426091501141727"</f>
        <v>508120230426091501141727</v>
      </c>
      <c r="C2776" s="6" t="s">
        <v>12</v>
      </c>
      <c r="D2776" s="6" t="str">
        <f>"郑淑萍"</f>
        <v>郑淑萍</v>
      </c>
    </row>
    <row r="2777" spans="1:4" ht="30" customHeight="1">
      <c r="A2777" s="6">
        <v>2775</v>
      </c>
      <c r="B2777" s="6" t="str">
        <f>"508120230426145817141909"</f>
        <v>508120230426145817141909</v>
      </c>
      <c r="C2777" s="6" t="s">
        <v>12</v>
      </c>
      <c r="D2777" s="6" t="str">
        <f>"李美佳"</f>
        <v>李美佳</v>
      </c>
    </row>
    <row r="2778" spans="1:4" ht="30" customHeight="1">
      <c r="A2778" s="6">
        <v>2776</v>
      </c>
      <c r="B2778" s="6" t="str">
        <f>"508120230426094747141744"</f>
        <v>508120230426094747141744</v>
      </c>
      <c r="C2778" s="6" t="s">
        <v>12</v>
      </c>
      <c r="D2778" s="6" t="str">
        <f>"朱文睿"</f>
        <v>朱文睿</v>
      </c>
    </row>
    <row r="2779" spans="1:4" ht="30" customHeight="1">
      <c r="A2779" s="6">
        <v>2777</v>
      </c>
      <c r="B2779" s="6" t="str">
        <f>"508120230425222649141634"</f>
        <v>508120230425222649141634</v>
      </c>
      <c r="C2779" s="6" t="s">
        <v>12</v>
      </c>
      <c r="D2779" s="6" t="str">
        <f>"傅慧敏"</f>
        <v>傅慧敏</v>
      </c>
    </row>
    <row r="2780" spans="1:4" ht="30" customHeight="1">
      <c r="A2780" s="6">
        <v>2778</v>
      </c>
      <c r="B2780" s="6" t="str">
        <f>"508120230426152137141927"</f>
        <v>508120230426152137141927</v>
      </c>
      <c r="C2780" s="6" t="s">
        <v>12</v>
      </c>
      <c r="D2780" s="6" t="str">
        <f>"杨艺荃"</f>
        <v>杨艺荃</v>
      </c>
    </row>
    <row r="2781" spans="1:4" ht="30" customHeight="1">
      <c r="A2781" s="6">
        <v>2779</v>
      </c>
      <c r="B2781" s="6" t="str">
        <f>"508120230426145551141905"</f>
        <v>508120230426145551141905</v>
      </c>
      <c r="C2781" s="6" t="s">
        <v>12</v>
      </c>
      <c r="D2781" s="6" t="str">
        <f>"吴应妮"</f>
        <v>吴应妮</v>
      </c>
    </row>
    <row r="2782" spans="1:4" ht="30" customHeight="1">
      <c r="A2782" s="6">
        <v>2780</v>
      </c>
      <c r="B2782" s="6" t="str">
        <f>"508120230426092133141732"</f>
        <v>508120230426092133141732</v>
      </c>
      <c r="C2782" s="6" t="s">
        <v>12</v>
      </c>
      <c r="D2782" s="6" t="str">
        <f>"苏跃辉"</f>
        <v>苏跃辉</v>
      </c>
    </row>
    <row r="2783" spans="1:4" ht="30" customHeight="1">
      <c r="A2783" s="6">
        <v>2781</v>
      </c>
      <c r="B2783" s="6" t="str">
        <f>"508120230424212947141028"</f>
        <v>508120230424212947141028</v>
      </c>
      <c r="C2783" s="6" t="s">
        <v>12</v>
      </c>
      <c r="D2783" s="6" t="str">
        <f>"李燕萍"</f>
        <v>李燕萍</v>
      </c>
    </row>
    <row r="2784" spans="1:4" ht="30" customHeight="1">
      <c r="A2784" s="6">
        <v>2782</v>
      </c>
      <c r="B2784" s="6" t="str">
        <f>"508120230426152852141932"</f>
        <v>508120230426152852141932</v>
      </c>
      <c r="C2784" s="6" t="s">
        <v>12</v>
      </c>
      <c r="D2784" s="6" t="str">
        <f>"王彦卿"</f>
        <v>王彦卿</v>
      </c>
    </row>
    <row r="2785" spans="1:4" ht="30" customHeight="1">
      <c r="A2785" s="6">
        <v>2783</v>
      </c>
      <c r="B2785" s="6" t="str">
        <f>"508120230426145629141906"</f>
        <v>508120230426145629141906</v>
      </c>
      <c r="C2785" s="6" t="s">
        <v>12</v>
      </c>
      <c r="D2785" s="6" t="str">
        <f>"张媛媛"</f>
        <v>张媛媛</v>
      </c>
    </row>
    <row r="2786" spans="1:4" ht="30" customHeight="1">
      <c r="A2786" s="6">
        <v>2784</v>
      </c>
      <c r="B2786" s="6" t="str">
        <f>"508120230426153526141937"</f>
        <v>508120230426153526141937</v>
      </c>
      <c r="C2786" s="6" t="s">
        <v>12</v>
      </c>
      <c r="D2786" s="6" t="str">
        <f>"包俊丽"</f>
        <v>包俊丽</v>
      </c>
    </row>
    <row r="2787" spans="1:4" ht="30" customHeight="1">
      <c r="A2787" s="6">
        <v>2785</v>
      </c>
      <c r="B2787" s="6" t="str">
        <f>"508120230424094438140528"</f>
        <v>508120230424094438140528</v>
      </c>
      <c r="C2787" s="6" t="s">
        <v>12</v>
      </c>
      <c r="D2787" s="6" t="str">
        <f>"陈琳"</f>
        <v>陈琳</v>
      </c>
    </row>
    <row r="2788" spans="1:4" ht="30" customHeight="1">
      <c r="A2788" s="6">
        <v>2786</v>
      </c>
      <c r="B2788" s="6" t="str">
        <f>"508120230426153316141934"</f>
        <v>508120230426153316141934</v>
      </c>
      <c r="C2788" s="6" t="s">
        <v>12</v>
      </c>
      <c r="D2788" s="6" t="str">
        <f>"黎经芸"</f>
        <v>黎经芸</v>
      </c>
    </row>
    <row r="2789" spans="1:4" ht="30" customHeight="1">
      <c r="A2789" s="6">
        <v>2787</v>
      </c>
      <c r="B2789" s="6" t="str">
        <f>"508120230426155946141964"</f>
        <v>508120230426155946141964</v>
      </c>
      <c r="C2789" s="6" t="s">
        <v>12</v>
      </c>
      <c r="D2789" s="6" t="str">
        <f>"王钰"</f>
        <v>王钰</v>
      </c>
    </row>
    <row r="2790" spans="1:4" ht="30" customHeight="1">
      <c r="A2790" s="6">
        <v>2788</v>
      </c>
      <c r="B2790" s="6" t="str">
        <f>"508120230426155217141954"</f>
        <v>508120230426155217141954</v>
      </c>
      <c r="C2790" s="6" t="s">
        <v>12</v>
      </c>
      <c r="D2790" s="6" t="str">
        <f>"赵居文"</f>
        <v>赵居文</v>
      </c>
    </row>
    <row r="2791" spans="1:4" ht="30" customHeight="1">
      <c r="A2791" s="6">
        <v>2789</v>
      </c>
      <c r="B2791" s="6" t="str">
        <f>"508120230426112948141814"</f>
        <v>508120230426112948141814</v>
      </c>
      <c r="C2791" s="6" t="s">
        <v>12</v>
      </c>
      <c r="D2791" s="6" t="str">
        <f>"卞勤霞"</f>
        <v>卞勤霞</v>
      </c>
    </row>
    <row r="2792" spans="1:4" ht="30" customHeight="1">
      <c r="A2792" s="6">
        <v>2790</v>
      </c>
      <c r="B2792" s="6" t="str">
        <f>"508120230424112445140641"</f>
        <v>508120230424112445140641</v>
      </c>
      <c r="C2792" s="6" t="s">
        <v>12</v>
      </c>
      <c r="D2792" s="6" t="str">
        <f>"周仁宽"</f>
        <v>周仁宽</v>
      </c>
    </row>
    <row r="2793" spans="1:4" ht="30" customHeight="1">
      <c r="A2793" s="6">
        <v>2791</v>
      </c>
      <c r="B2793" s="6" t="str">
        <f>"508120230426160730141968"</f>
        <v>508120230426160730141968</v>
      </c>
      <c r="C2793" s="6" t="s">
        <v>12</v>
      </c>
      <c r="D2793" s="6" t="str">
        <f>"张馨月"</f>
        <v>张馨月</v>
      </c>
    </row>
    <row r="2794" spans="1:4" ht="30" customHeight="1">
      <c r="A2794" s="6">
        <v>2792</v>
      </c>
      <c r="B2794" s="6" t="str">
        <f>"508120230426161713141978"</f>
        <v>508120230426161713141978</v>
      </c>
      <c r="C2794" s="6" t="s">
        <v>12</v>
      </c>
      <c r="D2794" s="6" t="str">
        <f>"蔡美惠"</f>
        <v>蔡美惠</v>
      </c>
    </row>
    <row r="2795" spans="1:4" ht="30" customHeight="1">
      <c r="A2795" s="6">
        <v>2793</v>
      </c>
      <c r="B2795" s="6" t="str">
        <f>"508120230426164528141999"</f>
        <v>508120230426164528141999</v>
      </c>
      <c r="C2795" s="6" t="s">
        <v>12</v>
      </c>
      <c r="D2795" s="6" t="str">
        <f>"黎肇前"</f>
        <v>黎肇前</v>
      </c>
    </row>
    <row r="2796" spans="1:4" ht="30" customHeight="1">
      <c r="A2796" s="6">
        <v>2794</v>
      </c>
      <c r="B2796" s="6" t="str">
        <f>"508120230426163938141994"</f>
        <v>508120230426163938141994</v>
      </c>
      <c r="C2796" s="6" t="s">
        <v>12</v>
      </c>
      <c r="D2796" s="6" t="str">
        <f>"林芸倩"</f>
        <v>林芸倩</v>
      </c>
    </row>
    <row r="2797" spans="1:4" ht="30" customHeight="1">
      <c r="A2797" s="6">
        <v>2795</v>
      </c>
      <c r="B2797" s="6" t="str">
        <f>"508120230423094054139784"</f>
        <v>508120230423094054139784</v>
      </c>
      <c r="C2797" s="6" t="s">
        <v>12</v>
      </c>
      <c r="D2797" s="6" t="str">
        <f>"王雪晴"</f>
        <v>王雪晴</v>
      </c>
    </row>
    <row r="2798" spans="1:4" ht="30" customHeight="1">
      <c r="A2798" s="6">
        <v>2796</v>
      </c>
      <c r="B2798" s="6" t="str">
        <f>"508120230426170155142019"</f>
        <v>508120230426170155142019</v>
      </c>
      <c r="C2798" s="6" t="s">
        <v>12</v>
      </c>
      <c r="D2798" s="6" t="str">
        <f>"符有诗"</f>
        <v>符有诗</v>
      </c>
    </row>
    <row r="2799" spans="1:4" ht="30" customHeight="1">
      <c r="A2799" s="6">
        <v>2797</v>
      </c>
      <c r="B2799" s="6" t="str">
        <f>"508120230426165228142009"</f>
        <v>508120230426165228142009</v>
      </c>
      <c r="C2799" s="6" t="s">
        <v>12</v>
      </c>
      <c r="D2799" s="6" t="str">
        <f>"庄怡"</f>
        <v>庄怡</v>
      </c>
    </row>
    <row r="2800" spans="1:4" ht="30" customHeight="1">
      <c r="A2800" s="6">
        <v>2798</v>
      </c>
      <c r="B2800" s="6" t="str">
        <f>"508120230422222404139628"</f>
        <v>508120230422222404139628</v>
      </c>
      <c r="C2800" s="6" t="s">
        <v>12</v>
      </c>
      <c r="D2800" s="6" t="str">
        <f>"陈美娇"</f>
        <v>陈美娇</v>
      </c>
    </row>
    <row r="2801" spans="1:4" ht="30" customHeight="1">
      <c r="A2801" s="6">
        <v>2799</v>
      </c>
      <c r="B2801" s="6" t="str">
        <f>"508120230426165355142012"</f>
        <v>508120230426165355142012</v>
      </c>
      <c r="C2801" s="6" t="s">
        <v>12</v>
      </c>
      <c r="D2801" s="6" t="str">
        <f>"梁杨柳"</f>
        <v>梁杨柳</v>
      </c>
    </row>
    <row r="2802" spans="1:4" ht="30" customHeight="1">
      <c r="A2802" s="6">
        <v>2800</v>
      </c>
      <c r="B2802" s="6" t="str">
        <f>"508120230426164659142001"</f>
        <v>508120230426164659142001</v>
      </c>
      <c r="C2802" s="6" t="s">
        <v>12</v>
      </c>
      <c r="D2802" s="6" t="str">
        <f>"张山霖"</f>
        <v>张山霖</v>
      </c>
    </row>
    <row r="2803" spans="1:4" ht="30" customHeight="1">
      <c r="A2803" s="6">
        <v>2801</v>
      </c>
      <c r="B2803" s="6" t="str">
        <f>"508120230426170600142023"</f>
        <v>508120230426170600142023</v>
      </c>
      <c r="C2803" s="6" t="s">
        <v>12</v>
      </c>
      <c r="D2803" s="6" t="str">
        <f>"刘欣如"</f>
        <v>刘欣如</v>
      </c>
    </row>
    <row r="2804" spans="1:4" ht="30" customHeight="1">
      <c r="A2804" s="6">
        <v>2802</v>
      </c>
      <c r="B2804" s="6" t="str">
        <f>"508120230426171220142032"</f>
        <v>508120230426171220142032</v>
      </c>
      <c r="C2804" s="6" t="s">
        <v>12</v>
      </c>
      <c r="D2804" s="6" t="str">
        <f>"洪祥宁"</f>
        <v>洪祥宁</v>
      </c>
    </row>
    <row r="2805" spans="1:4" ht="30" customHeight="1">
      <c r="A2805" s="6">
        <v>2803</v>
      </c>
      <c r="B2805" s="6" t="str">
        <f>"508120230425181756141500"</f>
        <v>508120230425181756141500</v>
      </c>
      <c r="C2805" s="6" t="s">
        <v>12</v>
      </c>
      <c r="D2805" s="6" t="str">
        <f>"陈云皓"</f>
        <v>陈云皓</v>
      </c>
    </row>
    <row r="2806" spans="1:4" ht="30" customHeight="1">
      <c r="A2806" s="6">
        <v>2804</v>
      </c>
      <c r="B2806" s="6" t="str">
        <f>"508120230426181304142068"</f>
        <v>508120230426181304142068</v>
      </c>
      <c r="C2806" s="6" t="s">
        <v>12</v>
      </c>
      <c r="D2806" s="6" t="str">
        <f>"田均"</f>
        <v>田均</v>
      </c>
    </row>
    <row r="2807" spans="1:4" ht="30" customHeight="1">
      <c r="A2807" s="6">
        <v>2805</v>
      </c>
      <c r="B2807" s="6" t="str">
        <f>"508120230426181605142073"</f>
        <v>508120230426181605142073</v>
      </c>
      <c r="C2807" s="6" t="s">
        <v>12</v>
      </c>
      <c r="D2807" s="6" t="str">
        <f>"周珊"</f>
        <v>周珊</v>
      </c>
    </row>
    <row r="2808" spans="1:4" ht="30" customHeight="1">
      <c r="A2808" s="6">
        <v>2806</v>
      </c>
      <c r="B2808" s="6" t="str">
        <f>"508120230426181501142071"</f>
        <v>508120230426181501142071</v>
      </c>
      <c r="C2808" s="6" t="s">
        <v>12</v>
      </c>
      <c r="D2808" s="6" t="str">
        <f>"邓耶"</f>
        <v>邓耶</v>
      </c>
    </row>
    <row r="2809" spans="1:4" ht="30" customHeight="1">
      <c r="A2809" s="6">
        <v>2807</v>
      </c>
      <c r="B2809" s="6" t="str">
        <f>"508120230426181354142070"</f>
        <v>508120230426181354142070</v>
      </c>
      <c r="C2809" s="6" t="s">
        <v>12</v>
      </c>
      <c r="D2809" s="6" t="str">
        <f>"吴春妮"</f>
        <v>吴春妮</v>
      </c>
    </row>
    <row r="2810" spans="1:4" ht="30" customHeight="1">
      <c r="A2810" s="6">
        <v>2808</v>
      </c>
      <c r="B2810" s="6" t="str">
        <f>"508120230426182729142079"</f>
        <v>508120230426182729142079</v>
      </c>
      <c r="C2810" s="6" t="s">
        <v>12</v>
      </c>
      <c r="D2810" s="6" t="str">
        <f>"蔡波"</f>
        <v>蔡波</v>
      </c>
    </row>
    <row r="2811" spans="1:4" ht="30" customHeight="1">
      <c r="A2811" s="6">
        <v>2809</v>
      </c>
      <c r="B2811" s="6" t="str">
        <f>"508120230423210152140298"</f>
        <v>508120230423210152140298</v>
      </c>
      <c r="C2811" s="6" t="s">
        <v>12</v>
      </c>
      <c r="D2811" s="6" t="str">
        <f>"陈飞"</f>
        <v>陈飞</v>
      </c>
    </row>
    <row r="2812" spans="1:4" ht="30" customHeight="1">
      <c r="A2812" s="6">
        <v>2810</v>
      </c>
      <c r="B2812" s="6" t="str">
        <f>"508120230426142655141891"</f>
        <v>508120230426142655141891</v>
      </c>
      <c r="C2812" s="6" t="s">
        <v>12</v>
      </c>
      <c r="D2812" s="6" t="str">
        <f>"陈紫妍"</f>
        <v>陈紫妍</v>
      </c>
    </row>
    <row r="2813" spans="1:4" ht="30" customHeight="1">
      <c r="A2813" s="6">
        <v>2811</v>
      </c>
      <c r="B2813" s="6" t="str">
        <f>"508120230426161144141973"</f>
        <v>508120230426161144141973</v>
      </c>
      <c r="C2813" s="6" t="s">
        <v>12</v>
      </c>
      <c r="D2813" s="6" t="str">
        <f>"林荣坤"</f>
        <v>林荣坤</v>
      </c>
    </row>
    <row r="2814" spans="1:4" ht="30" customHeight="1">
      <c r="A2814" s="6">
        <v>2812</v>
      </c>
      <c r="B2814" s="6" t="str">
        <f>"508120230426183123142086"</f>
        <v>508120230426183123142086</v>
      </c>
      <c r="C2814" s="6" t="s">
        <v>12</v>
      </c>
      <c r="D2814" s="6" t="str">
        <f>"卓文娜"</f>
        <v>卓文娜</v>
      </c>
    </row>
    <row r="2815" spans="1:4" ht="30" customHeight="1">
      <c r="A2815" s="6">
        <v>2813</v>
      </c>
      <c r="B2815" s="6" t="str">
        <f>"508120230426181820142075"</f>
        <v>508120230426181820142075</v>
      </c>
      <c r="C2815" s="6" t="s">
        <v>12</v>
      </c>
      <c r="D2815" s="6" t="str">
        <f>"陈春霞"</f>
        <v>陈春霞</v>
      </c>
    </row>
    <row r="2816" spans="1:4" ht="30" customHeight="1">
      <c r="A2816" s="6">
        <v>2814</v>
      </c>
      <c r="B2816" s="6" t="str">
        <f>"508120230426181023142064"</f>
        <v>508120230426181023142064</v>
      </c>
      <c r="C2816" s="6" t="s">
        <v>12</v>
      </c>
      <c r="D2816" s="6" t="str">
        <f>"高昕"</f>
        <v>高昕</v>
      </c>
    </row>
    <row r="2817" spans="1:4" ht="30" customHeight="1">
      <c r="A2817" s="6">
        <v>2815</v>
      </c>
      <c r="B2817" s="6" t="str">
        <f>"508120230422104641139234"</f>
        <v>508120230422104641139234</v>
      </c>
      <c r="C2817" s="6" t="s">
        <v>12</v>
      </c>
      <c r="D2817" s="6" t="str">
        <f>"许永光"</f>
        <v>许永光</v>
      </c>
    </row>
    <row r="2818" spans="1:4" ht="30" customHeight="1">
      <c r="A2818" s="6">
        <v>2816</v>
      </c>
      <c r="B2818" s="6" t="str">
        <f>"508120230426185154142096"</f>
        <v>508120230426185154142096</v>
      </c>
      <c r="C2818" s="6" t="s">
        <v>12</v>
      </c>
      <c r="D2818" s="6" t="str">
        <f>"韦吉琴"</f>
        <v>韦吉琴</v>
      </c>
    </row>
    <row r="2819" spans="1:4" ht="30" customHeight="1">
      <c r="A2819" s="6">
        <v>2817</v>
      </c>
      <c r="B2819" s="6" t="str">
        <f>"508120230426191707142112"</f>
        <v>508120230426191707142112</v>
      </c>
      <c r="C2819" s="6" t="s">
        <v>12</v>
      </c>
      <c r="D2819" s="6" t="str">
        <f>"黄海珍"</f>
        <v>黄海珍</v>
      </c>
    </row>
    <row r="2820" spans="1:4" ht="30" customHeight="1">
      <c r="A2820" s="6">
        <v>2818</v>
      </c>
      <c r="B2820" s="6" t="str">
        <f>"508120230426192222142118"</f>
        <v>508120230426192222142118</v>
      </c>
      <c r="C2820" s="6" t="s">
        <v>12</v>
      </c>
      <c r="D2820" s="6" t="str">
        <f>"陈红伸"</f>
        <v>陈红伸</v>
      </c>
    </row>
    <row r="2821" spans="1:4" ht="30" customHeight="1">
      <c r="A2821" s="6">
        <v>2819</v>
      </c>
      <c r="B2821" s="6" t="str">
        <f>"508120230426171138142030"</f>
        <v>508120230426171138142030</v>
      </c>
      <c r="C2821" s="6" t="s">
        <v>12</v>
      </c>
      <c r="D2821" s="6" t="str">
        <f>"吴佩谦"</f>
        <v>吴佩谦</v>
      </c>
    </row>
    <row r="2822" spans="1:4" ht="30" customHeight="1">
      <c r="A2822" s="6">
        <v>2820</v>
      </c>
      <c r="B2822" s="6" t="str">
        <f>"508120230426191408142108"</f>
        <v>508120230426191408142108</v>
      </c>
      <c r="C2822" s="6" t="s">
        <v>12</v>
      </c>
      <c r="D2822" s="6" t="str">
        <f>"梁振武"</f>
        <v>梁振武</v>
      </c>
    </row>
    <row r="2823" spans="1:4" ht="30" customHeight="1">
      <c r="A2823" s="6">
        <v>2821</v>
      </c>
      <c r="B2823" s="6" t="str">
        <f>"508120230426182922142085"</f>
        <v>508120230426182922142085</v>
      </c>
      <c r="C2823" s="6" t="s">
        <v>12</v>
      </c>
      <c r="D2823" s="6" t="str">
        <f>"陈玉琴"</f>
        <v>陈玉琴</v>
      </c>
    </row>
    <row r="2824" spans="1:4" ht="30" customHeight="1">
      <c r="A2824" s="6">
        <v>2822</v>
      </c>
      <c r="B2824" s="6" t="str">
        <f>"508120230426174221142056"</f>
        <v>508120230426174221142056</v>
      </c>
      <c r="C2824" s="6" t="s">
        <v>12</v>
      </c>
      <c r="D2824" s="6" t="str">
        <f>"郑暖丽"</f>
        <v>郑暖丽</v>
      </c>
    </row>
    <row r="2825" spans="1:4" ht="30" customHeight="1">
      <c r="A2825" s="6">
        <v>2823</v>
      </c>
      <c r="B2825" s="6" t="str">
        <f>"508120230425113538141285"</f>
        <v>508120230425113538141285</v>
      </c>
      <c r="C2825" s="6" t="s">
        <v>12</v>
      </c>
      <c r="D2825" s="6" t="str">
        <f>"邢宸"</f>
        <v>邢宸</v>
      </c>
    </row>
    <row r="2826" spans="1:4" ht="30" customHeight="1">
      <c r="A2826" s="6">
        <v>2824</v>
      </c>
      <c r="B2826" s="6" t="str">
        <f>"508120230426200403142140"</f>
        <v>508120230426200403142140</v>
      </c>
      <c r="C2826" s="6" t="s">
        <v>12</v>
      </c>
      <c r="D2826" s="6" t="str">
        <f>"符琼尹"</f>
        <v>符琼尹</v>
      </c>
    </row>
    <row r="2827" spans="1:4" ht="30" customHeight="1">
      <c r="A2827" s="6">
        <v>2825</v>
      </c>
      <c r="B2827" s="6" t="str">
        <f>"508120230426194724142133"</f>
        <v>508120230426194724142133</v>
      </c>
      <c r="C2827" s="6" t="s">
        <v>12</v>
      </c>
      <c r="D2827" s="6" t="str">
        <f>"纪新照"</f>
        <v>纪新照</v>
      </c>
    </row>
    <row r="2828" spans="1:4" ht="30" customHeight="1">
      <c r="A2828" s="6">
        <v>2826</v>
      </c>
      <c r="B2828" s="6" t="str">
        <f>"508120230425164301141442"</f>
        <v>508120230425164301141442</v>
      </c>
      <c r="C2828" s="6" t="s">
        <v>12</v>
      </c>
      <c r="D2828" s="6" t="str">
        <f>"陈诗慧"</f>
        <v>陈诗慧</v>
      </c>
    </row>
    <row r="2829" spans="1:4" ht="30" customHeight="1">
      <c r="A2829" s="6">
        <v>2827</v>
      </c>
      <c r="B2829" s="6" t="str">
        <f>"508120230426191523142110"</f>
        <v>508120230426191523142110</v>
      </c>
      <c r="C2829" s="6" t="s">
        <v>12</v>
      </c>
      <c r="D2829" s="6" t="str">
        <f>"欧水萍"</f>
        <v>欧水萍</v>
      </c>
    </row>
    <row r="2830" spans="1:4" ht="30" customHeight="1">
      <c r="A2830" s="6">
        <v>2828</v>
      </c>
      <c r="B2830" s="6" t="str">
        <f>"508120230426151332141920"</f>
        <v>508120230426151332141920</v>
      </c>
      <c r="C2830" s="6" t="s">
        <v>12</v>
      </c>
      <c r="D2830" s="6" t="str">
        <f>"黄思程"</f>
        <v>黄思程</v>
      </c>
    </row>
    <row r="2831" spans="1:4" ht="30" customHeight="1">
      <c r="A2831" s="6">
        <v>2829</v>
      </c>
      <c r="B2831" s="6" t="str">
        <f>"508120230426203428142164"</f>
        <v>508120230426203428142164</v>
      </c>
      <c r="C2831" s="6" t="s">
        <v>12</v>
      </c>
      <c r="D2831" s="6" t="str">
        <f>"陈坤秀"</f>
        <v>陈坤秀</v>
      </c>
    </row>
    <row r="2832" spans="1:4" ht="30" customHeight="1">
      <c r="A2832" s="6">
        <v>2830</v>
      </c>
      <c r="B2832" s="6" t="str">
        <f>"508120230424223024141077"</f>
        <v>508120230424223024141077</v>
      </c>
      <c r="C2832" s="6" t="s">
        <v>12</v>
      </c>
      <c r="D2832" s="6" t="str">
        <f>"蔡蕊泽"</f>
        <v>蔡蕊泽</v>
      </c>
    </row>
    <row r="2833" spans="1:4" ht="30" customHeight="1">
      <c r="A2833" s="6">
        <v>2831</v>
      </c>
      <c r="B2833" s="6" t="str">
        <f>"508120230426203440142165"</f>
        <v>508120230426203440142165</v>
      </c>
      <c r="C2833" s="6" t="s">
        <v>12</v>
      </c>
      <c r="D2833" s="6" t="str">
        <f>"薛鑫辉"</f>
        <v>薛鑫辉</v>
      </c>
    </row>
    <row r="2834" spans="1:4" ht="30" customHeight="1">
      <c r="A2834" s="6">
        <v>2832</v>
      </c>
      <c r="B2834" s="6" t="str">
        <f>"508120230426173335142048"</f>
        <v>508120230426173335142048</v>
      </c>
      <c r="C2834" s="6" t="s">
        <v>12</v>
      </c>
      <c r="D2834" s="6" t="str">
        <f>"张梦坤"</f>
        <v>张梦坤</v>
      </c>
    </row>
    <row r="2835" spans="1:4" ht="30" customHeight="1">
      <c r="A2835" s="6">
        <v>2833</v>
      </c>
      <c r="B2835" s="6" t="str">
        <f>"508120230426203233142161"</f>
        <v>508120230426203233142161</v>
      </c>
      <c r="C2835" s="6" t="s">
        <v>12</v>
      </c>
      <c r="D2835" s="6" t="str">
        <f>"王文倩"</f>
        <v>王文倩</v>
      </c>
    </row>
    <row r="2836" spans="1:4" ht="30" customHeight="1">
      <c r="A2836" s="6">
        <v>2834</v>
      </c>
      <c r="B2836" s="6" t="str">
        <f>"508120230426202232142151"</f>
        <v>508120230426202232142151</v>
      </c>
      <c r="C2836" s="6" t="s">
        <v>12</v>
      </c>
      <c r="D2836" s="6" t="str">
        <f>"刘佳林"</f>
        <v>刘佳林</v>
      </c>
    </row>
    <row r="2837" spans="1:4" ht="30" customHeight="1">
      <c r="A2837" s="6">
        <v>2835</v>
      </c>
      <c r="B2837" s="6" t="str">
        <f>"508120230426135637141881"</f>
        <v>508120230426135637141881</v>
      </c>
      <c r="C2837" s="6" t="s">
        <v>12</v>
      </c>
      <c r="D2837" s="6" t="str">
        <f>"梁晶晶"</f>
        <v>梁晶晶</v>
      </c>
    </row>
    <row r="2838" spans="1:4" ht="30" customHeight="1">
      <c r="A2838" s="6">
        <v>2836</v>
      </c>
      <c r="B2838" s="6" t="str">
        <f>"508120230426205423142179"</f>
        <v>508120230426205423142179</v>
      </c>
      <c r="C2838" s="6" t="s">
        <v>12</v>
      </c>
      <c r="D2838" s="6" t="str">
        <f>"李娴"</f>
        <v>李娴</v>
      </c>
    </row>
    <row r="2839" spans="1:4" ht="30" customHeight="1">
      <c r="A2839" s="6">
        <v>2837</v>
      </c>
      <c r="B2839" s="6" t="str">
        <f>"508120230426205843142181"</f>
        <v>508120230426205843142181</v>
      </c>
      <c r="C2839" s="6" t="s">
        <v>12</v>
      </c>
      <c r="D2839" s="6" t="str">
        <f>"邢慧蕾"</f>
        <v>邢慧蕾</v>
      </c>
    </row>
    <row r="2840" spans="1:4" ht="30" customHeight="1">
      <c r="A2840" s="6">
        <v>2838</v>
      </c>
      <c r="B2840" s="6" t="str">
        <f>"508120230426203201142160"</f>
        <v>508120230426203201142160</v>
      </c>
      <c r="C2840" s="6" t="s">
        <v>12</v>
      </c>
      <c r="D2840" s="6" t="str">
        <f>"何荣冠"</f>
        <v>何荣冠</v>
      </c>
    </row>
    <row r="2841" spans="1:4" ht="30" customHeight="1">
      <c r="A2841" s="6">
        <v>2839</v>
      </c>
      <c r="B2841" s="6" t="str">
        <f>"508120230426153318141935"</f>
        <v>508120230426153318141935</v>
      </c>
      <c r="C2841" s="6" t="s">
        <v>12</v>
      </c>
      <c r="D2841" s="6" t="str">
        <f>"黎晓祯"</f>
        <v>黎晓祯</v>
      </c>
    </row>
    <row r="2842" spans="1:4" ht="30" customHeight="1">
      <c r="A2842" s="6">
        <v>2840</v>
      </c>
      <c r="B2842" s="6" t="str">
        <f>"508120230426211521142189"</f>
        <v>508120230426211521142189</v>
      </c>
      <c r="C2842" s="6" t="s">
        <v>12</v>
      </c>
      <c r="D2842" s="6" t="str">
        <f>"许豪"</f>
        <v>许豪</v>
      </c>
    </row>
    <row r="2843" spans="1:4" ht="30" customHeight="1">
      <c r="A2843" s="6">
        <v>2841</v>
      </c>
      <c r="B2843" s="6" t="str">
        <f>"508120230425232829141663"</f>
        <v>508120230425232829141663</v>
      </c>
      <c r="C2843" s="6" t="s">
        <v>12</v>
      </c>
      <c r="D2843" s="6" t="str">
        <f>"李美瑶"</f>
        <v>李美瑶</v>
      </c>
    </row>
    <row r="2844" spans="1:4" ht="30" customHeight="1">
      <c r="A2844" s="6">
        <v>2842</v>
      </c>
      <c r="B2844" s="6" t="str">
        <f>"508120230426212836142203"</f>
        <v>508120230426212836142203</v>
      </c>
      <c r="C2844" s="6" t="s">
        <v>12</v>
      </c>
      <c r="D2844" s="6" t="str">
        <f>"陈明岑"</f>
        <v>陈明岑</v>
      </c>
    </row>
    <row r="2845" spans="1:4" ht="30" customHeight="1">
      <c r="A2845" s="6">
        <v>2843</v>
      </c>
      <c r="B2845" s="6" t="str">
        <f>"508120230422193157139511"</f>
        <v>508120230422193157139511</v>
      </c>
      <c r="C2845" s="6" t="s">
        <v>12</v>
      </c>
      <c r="D2845" s="6" t="str">
        <f>"易一楹"</f>
        <v>易一楹</v>
      </c>
    </row>
    <row r="2846" spans="1:4" ht="30" customHeight="1">
      <c r="A2846" s="6">
        <v>2844</v>
      </c>
      <c r="B2846" s="6" t="str">
        <f>"508120230426195308142136"</f>
        <v>508120230426195308142136</v>
      </c>
      <c r="C2846" s="6" t="s">
        <v>12</v>
      </c>
      <c r="D2846" s="6" t="str">
        <f>"陈慧翔"</f>
        <v>陈慧翔</v>
      </c>
    </row>
    <row r="2847" spans="1:4" ht="30" customHeight="1">
      <c r="A2847" s="6">
        <v>2845</v>
      </c>
      <c r="B2847" s="6" t="str">
        <f>"508120230424085048140475"</f>
        <v>508120230424085048140475</v>
      </c>
      <c r="C2847" s="6" t="s">
        <v>12</v>
      </c>
      <c r="D2847" s="6" t="str">
        <f>"郑雯燕"</f>
        <v>郑雯燕</v>
      </c>
    </row>
    <row r="2848" spans="1:4" ht="30" customHeight="1">
      <c r="A2848" s="6">
        <v>2846</v>
      </c>
      <c r="B2848" s="6" t="str">
        <f>"508120230424213543141032"</f>
        <v>508120230424213543141032</v>
      </c>
      <c r="C2848" s="6" t="s">
        <v>12</v>
      </c>
      <c r="D2848" s="6" t="str">
        <f>"林丽"</f>
        <v>林丽</v>
      </c>
    </row>
    <row r="2849" spans="1:4" ht="30" customHeight="1">
      <c r="A2849" s="6">
        <v>2847</v>
      </c>
      <c r="B2849" s="6" t="str">
        <f>"508120230425224739141642"</f>
        <v>508120230425224739141642</v>
      </c>
      <c r="C2849" s="6" t="s">
        <v>12</v>
      </c>
      <c r="D2849" s="6" t="str">
        <f>"戴亮丽"</f>
        <v>戴亮丽</v>
      </c>
    </row>
    <row r="2850" spans="1:4" ht="30" customHeight="1">
      <c r="A2850" s="6">
        <v>2848</v>
      </c>
      <c r="B2850" s="6" t="str">
        <f>"508120230424204926141003"</f>
        <v>508120230424204926141003</v>
      </c>
      <c r="C2850" s="6" t="s">
        <v>12</v>
      </c>
      <c r="D2850" s="6" t="str">
        <f>"龙玉颖"</f>
        <v>龙玉颖</v>
      </c>
    </row>
    <row r="2851" spans="1:4" ht="30" customHeight="1">
      <c r="A2851" s="6">
        <v>2849</v>
      </c>
      <c r="B2851" s="6" t="str">
        <f>"508120230426215438142223"</f>
        <v>508120230426215438142223</v>
      </c>
      <c r="C2851" s="6" t="s">
        <v>12</v>
      </c>
      <c r="D2851" s="6" t="str">
        <f>"丁小慧"</f>
        <v>丁小慧</v>
      </c>
    </row>
    <row r="2852" spans="1:4" ht="30" customHeight="1">
      <c r="A2852" s="6">
        <v>2850</v>
      </c>
      <c r="B2852" s="6" t="str">
        <f>"508120230426212646142199"</f>
        <v>508120230426212646142199</v>
      </c>
      <c r="C2852" s="6" t="s">
        <v>12</v>
      </c>
      <c r="D2852" s="6" t="str">
        <f>"邱勋迈"</f>
        <v>邱勋迈</v>
      </c>
    </row>
    <row r="2853" spans="1:4" ht="30" customHeight="1">
      <c r="A2853" s="6">
        <v>2851</v>
      </c>
      <c r="B2853" s="6" t="str">
        <f>"508120230426190136142099"</f>
        <v>508120230426190136142099</v>
      </c>
      <c r="C2853" s="6" t="s">
        <v>12</v>
      </c>
      <c r="D2853" s="6" t="str">
        <f>"苏业伟"</f>
        <v>苏业伟</v>
      </c>
    </row>
    <row r="2854" spans="1:4" ht="30" customHeight="1">
      <c r="A2854" s="6">
        <v>2852</v>
      </c>
      <c r="B2854" s="6" t="str">
        <f>"508120230426171654142037"</f>
        <v>508120230426171654142037</v>
      </c>
      <c r="C2854" s="6" t="s">
        <v>12</v>
      </c>
      <c r="D2854" s="6" t="str">
        <f>"王玉冰"</f>
        <v>王玉冰</v>
      </c>
    </row>
    <row r="2855" spans="1:4" ht="30" customHeight="1">
      <c r="A2855" s="6">
        <v>2853</v>
      </c>
      <c r="B2855" s="6" t="str">
        <f>"508120230426215229142220"</f>
        <v>508120230426215229142220</v>
      </c>
      <c r="C2855" s="6" t="s">
        <v>12</v>
      </c>
      <c r="D2855" s="6" t="str">
        <f>"唐元园"</f>
        <v>唐元园</v>
      </c>
    </row>
    <row r="2856" spans="1:4" ht="30" customHeight="1">
      <c r="A2856" s="6">
        <v>2854</v>
      </c>
      <c r="B2856" s="6" t="str">
        <f>"508120230426214905142217"</f>
        <v>508120230426214905142217</v>
      </c>
      <c r="C2856" s="6" t="s">
        <v>12</v>
      </c>
      <c r="D2856" s="6" t="str">
        <f>"潘颖"</f>
        <v>潘颖</v>
      </c>
    </row>
    <row r="2857" spans="1:4" ht="30" customHeight="1">
      <c r="A2857" s="6">
        <v>2855</v>
      </c>
      <c r="B2857" s="6" t="str">
        <f>"508120230426220728142232"</f>
        <v>508120230426220728142232</v>
      </c>
      <c r="C2857" s="6" t="s">
        <v>12</v>
      </c>
      <c r="D2857" s="6" t="str">
        <f>"卢雪慧"</f>
        <v>卢雪慧</v>
      </c>
    </row>
    <row r="2858" spans="1:4" ht="30" customHeight="1">
      <c r="A2858" s="6">
        <v>2856</v>
      </c>
      <c r="B2858" s="6" t="str">
        <f>"508120230426220135142226"</f>
        <v>508120230426220135142226</v>
      </c>
      <c r="C2858" s="6" t="s">
        <v>12</v>
      </c>
      <c r="D2858" s="6" t="str">
        <f>"訾宇轩"</f>
        <v>訾宇轩</v>
      </c>
    </row>
    <row r="2859" spans="1:4" ht="30" customHeight="1">
      <c r="A2859" s="6">
        <v>2857</v>
      </c>
      <c r="B2859" s="6" t="str">
        <f>"508120230426113915141819"</f>
        <v>508120230426113915141819</v>
      </c>
      <c r="C2859" s="6" t="s">
        <v>12</v>
      </c>
      <c r="D2859" s="6" t="str">
        <f>"何海园"</f>
        <v>何海园</v>
      </c>
    </row>
    <row r="2860" spans="1:4" ht="30" customHeight="1">
      <c r="A2860" s="6">
        <v>2858</v>
      </c>
      <c r="B2860" s="6" t="str">
        <f>"508120230426221933142245"</f>
        <v>508120230426221933142245</v>
      </c>
      <c r="C2860" s="6" t="s">
        <v>12</v>
      </c>
      <c r="D2860" s="6" t="str">
        <f>"张萍"</f>
        <v>张萍</v>
      </c>
    </row>
    <row r="2861" spans="1:4" ht="30" customHeight="1">
      <c r="A2861" s="6">
        <v>2859</v>
      </c>
      <c r="B2861" s="6" t="str">
        <f>"508120230426221740142242"</f>
        <v>508120230426221740142242</v>
      </c>
      <c r="C2861" s="6" t="s">
        <v>12</v>
      </c>
      <c r="D2861" s="6" t="str">
        <f>"李娜"</f>
        <v>李娜</v>
      </c>
    </row>
    <row r="2862" spans="1:4" ht="30" customHeight="1">
      <c r="A2862" s="6">
        <v>2860</v>
      </c>
      <c r="B2862" s="6" t="str">
        <f>"508120230426223003142256"</f>
        <v>508120230426223003142256</v>
      </c>
      <c r="C2862" s="6" t="s">
        <v>12</v>
      </c>
      <c r="D2862" s="6" t="str">
        <f>"刘思"</f>
        <v>刘思</v>
      </c>
    </row>
    <row r="2863" spans="1:4" ht="30" customHeight="1">
      <c r="A2863" s="6">
        <v>2861</v>
      </c>
      <c r="B2863" s="6" t="str">
        <f>"508120230426223533142261"</f>
        <v>508120230426223533142261</v>
      </c>
      <c r="C2863" s="6" t="s">
        <v>12</v>
      </c>
      <c r="D2863" s="6" t="str">
        <f>"何聪颖"</f>
        <v>何聪颖</v>
      </c>
    </row>
    <row r="2864" spans="1:4" ht="30" customHeight="1">
      <c r="A2864" s="6">
        <v>2862</v>
      </c>
      <c r="B2864" s="6" t="str">
        <f>"508120230426223831142265"</f>
        <v>508120230426223831142265</v>
      </c>
      <c r="C2864" s="6" t="s">
        <v>12</v>
      </c>
      <c r="D2864" s="6" t="str">
        <f>"陈亭夙"</f>
        <v>陈亭夙</v>
      </c>
    </row>
    <row r="2865" spans="1:4" ht="30" customHeight="1">
      <c r="A2865" s="6">
        <v>2863</v>
      </c>
      <c r="B2865" s="6" t="str">
        <f>"508120230426224628142271"</f>
        <v>508120230426224628142271</v>
      </c>
      <c r="C2865" s="6" t="s">
        <v>12</v>
      </c>
      <c r="D2865" s="6" t="str">
        <f>"符峰"</f>
        <v>符峰</v>
      </c>
    </row>
    <row r="2866" spans="1:4" ht="30" customHeight="1">
      <c r="A2866" s="6">
        <v>2864</v>
      </c>
      <c r="B2866" s="6" t="str">
        <f>"508120230426223330142260"</f>
        <v>508120230426223330142260</v>
      </c>
      <c r="C2866" s="6" t="s">
        <v>12</v>
      </c>
      <c r="D2866" s="6" t="str">
        <f>"陈明创"</f>
        <v>陈明创</v>
      </c>
    </row>
    <row r="2867" spans="1:4" ht="30" customHeight="1">
      <c r="A2867" s="6">
        <v>2865</v>
      </c>
      <c r="B2867" s="6" t="str">
        <f>"508120230426092440141735"</f>
        <v>508120230426092440141735</v>
      </c>
      <c r="C2867" s="6" t="s">
        <v>12</v>
      </c>
      <c r="D2867" s="6" t="str">
        <f>"陈秋岚"</f>
        <v>陈秋岚</v>
      </c>
    </row>
    <row r="2868" spans="1:4" ht="30" customHeight="1">
      <c r="A2868" s="6">
        <v>2866</v>
      </c>
      <c r="B2868" s="6" t="str">
        <f>"508120230422192648139506"</f>
        <v>508120230422192648139506</v>
      </c>
      <c r="C2868" s="6" t="s">
        <v>12</v>
      </c>
      <c r="D2868" s="6" t="str">
        <f>"许帮煜"</f>
        <v>许帮煜</v>
      </c>
    </row>
    <row r="2869" spans="1:4" ht="30" customHeight="1">
      <c r="A2869" s="6">
        <v>2867</v>
      </c>
      <c r="B2869" s="6" t="str">
        <f>"508120230426134923141878"</f>
        <v>508120230426134923141878</v>
      </c>
      <c r="C2869" s="6" t="s">
        <v>12</v>
      </c>
      <c r="D2869" s="6" t="str">
        <f>"陈曼瑜"</f>
        <v>陈曼瑜</v>
      </c>
    </row>
    <row r="2870" spans="1:4" ht="30" customHeight="1">
      <c r="A2870" s="6">
        <v>2868</v>
      </c>
      <c r="B2870" s="6" t="str">
        <f>"508120230426225629142281"</f>
        <v>508120230426225629142281</v>
      </c>
      <c r="C2870" s="6" t="s">
        <v>12</v>
      </c>
      <c r="D2870" s="6" t="str">
        <f>"孙嘉潞"</f>
        <v>孙嘉潞</v>
      </c>
    </row>
    <row r="2871" spans="1:4" ht="30" customHeight="1">
      <c r="A2871" s="6">
        <v>2869</v>
      </c>
      <c r="B2871" s="6" t="str">
        <f>"508120230426232144142302"</f>
        <v>508120230426232144142302</v>
      </c>
      <c r="C2871" s="6" t="s">
        <v>12</v>
      </c>
      <c r="D2871" s="6" t="str">
        <f>"王汇雯"</f>
        <v>王汇雯</v>
      </c>
    </row>
    <row r="2872" spans="1:4" ht="30" customHeight="1">
      <c r="A2872" s="6">
        <v>2870</v>
      </c>
      <c r="B2872" s="6" t="str">
        <f>"508120230426222210142248"</f>
        <v>508120230426222210142248</v>
      </c>
      <c r="C2872" s="6" t="s">
        <v>12</v>
      </c>
      <c r="D2872" s="6" t="str">
        <f>"何倩雨"</f>
        <v>何倩雨</v>
      </c>
    </row>
    <row r="2873" spans="1:4" ht="30" customHeight="1">
      <c r="A2873" s="6">
        <v>2871</v>
      </c>
      <c r="B2873" s="6" t="str">
        <f>"508120230426232748142305"</f>
        <v>508120230426232748142305</v>
      </c>
      <c r="C2873" s="6" t="s">
        <v>12</v>
      </c>
      <c r="D2873" s="6" t="str">
        <f>"邱婷婷"</f>
        <v>邱婷婷</v>
      </c>
    </row>
    <row r="2874" spans="1:4" ht="30" customHeight="1">
      <c r="A2874" s="6">
        <v>2872</v>
      </c>
      <c r="B2874" s="6" t="str">
        <f>"508120230426140200141883"</f>
        <v>508120230426140200141883</v>
      </c>
      <c r="C2874" s="6" t="s">
        <v>12</v>
      </c>
      <c r="D2874" s="6" t="str">
        <f>"陈泽昊"</f>
        <v>陈泽昊</v>
      </c>
    </row>
    <row r="2875" spans="1:4" ht="30" customHeight="1">
      <c r="A2875" s="6">
        <v>2873</v>
      </c>
      <c r="B2875" s="6" t="str">
        <f>"508120230426232124142300"</f>
        <v>508120230426232124142300</v>
      </c>
      <c r="C2875" s="6" t="s">
        <v>12</v>
      </c>
      <c r="D2875" s="6" t="str">
        <f>"叶莹"</f>
        <v>叶莹</v>
      </c>
    </row>
    <row r="2876" spans="1:4" ht="30" customHeight="1">
      <c r="A2876" s="6">
        <v>2874</v>
      </c>
      <c r="B2876" s="6" t="str">
        <f>"508120230426225143142277"</f>
        <v>508120230426225143142277</v>
      </c>
      <c r="C2876" s="6" t="s">
        <v>12</v>
      </c>
      <c r="D2876" s="6" t="str">
        <f>"苟书豪"</f>
        <v>苟书豪</v>
      </c>
    </row>
    <row r="2877" spans="1:4" ht="30" customHeight="1">
      <c r="A2877" s="6">
        <v>2875</v>
      </c>
      <c r="B2877" s="6" t="str">
        <f>"508120230426225758142283"</f>
        <v>508120230426225758142283</v>
      </c>
      <c r="C2877" s="6" t="s">
        <v>12</v>
      </c>
      <c r="D2877" s="6" t="str">
        <f>"郭义舅"</f>
        <v>郭义舅</v>
      </c>
    </row>
    <row r="2878" spans="1:4" ht="30" customHeight="1">
      <c r="A2878" s="6">
        <v>2876</v>
      </c>
      <c r="B2878" s="6" t="str">
        <f>"508120230426234148142314"</f>
        <v>508120230426234148142314</v>
      </c>
      <c r="C2878" s="6" t="s">
        <v>12</v>
      </c>
      <c r="D2878" s="6" t="str">
        <f>"蒙柔媚"</f>
        <v>蒙柔媚</v>
      </c>
    </row>
    <row r="2879" spans="1:4" ht="30" customHeight="1">
      <c r="A2879" s="6">
        <v>2877</v>
      </c>
      <c r="B2879" s="6" t="str">
        <f>"508120230426235242142318"</f>
        <v>508120230426235242142318</v>
      </c>
      <c r="C2879" s="6" t="s">
        <v>12</v>
      </c>
      <c r="D2879" s="6" t="str">
        <f>"高敏"</f>
        <v>高敏</v>
      </c>
    </row>
    <row r="2880" spans="1:4" ht="30" customHeight="1">
      <c r="A2880" s="6">
        <v>2878</v>
      </c>
      <c r="B2880" s="6" t="str">
        <f>"508120230425234203141669"</f>
        <v>508120230425234203141669</v>
      </c>
      <c r="C2880" s="6" t="s">
        <v>12</v>
      </c>
      <c r="D2880" s="6" t="str">
        <f>"吴子薇"</f>
        <v>吴子薇</v>
      </c>
    </row>
    <row r="2881" spans="1:4" ht="30" customHeight="1">
      <c r="A2881" s="6">
        <v>2879</v>
      </c>
      <c r="B2881" s="6" t="str">
        <f>"508120230427000239142328"</f>
        <v>508120230427000239142328</v>
      </c>
      <c r="C2881" s="6" t="s">
        <v>12</v>
      </c>
      <c r="D2881" s="6" t="str">
        <f>"冯志翔"</f>
        <v>冯志翔</v>
      </c>
    </row>
    <row r="2882" spans="1:4" ht="30" customHeight="1">
      <c r="A2882" s="6">
        <v>2880</v>
      </c>
      <c r="B2882" s="6" t="str">
        <f>"508120230427001713142336"</f>
        <v>508120230427001713142336</v>
      </c>
      <c r="C2882" s="6" t="s">
        <v>12</v>
      </c>
      <c r="D2882" s="6" t="str">
        <f>"陈雀"</f>
        <v>陈雀</v>
      </c>
    </row>
    <row r="2883" spans="1:4" ht="30" customHeight="1">
      <c r="A2883" s="6">
        <v>2881</v>
      </c>
      <c r="B2883" s="6" t="str">
        <f>"508120230423220016140353"</f>
        <v>508120230423220016140353</v>
      </c>
      <c r="C2883" s="6" t="s">
        <v>12</v>
      </c>
      <c r="D2883" s="6" t="str">
        <f>"冯丹"</f>
        <v>冯丹</v>
      </c>
    </row>
    <row r="2884" spans="1:4" ht="30" customHeight="1">
      <c r="A2884" s="6">
        <v>2882</v>
      </c>
      <c r="B2884" s="6" t="str">
        <f>"508120230427001851142338"</f>
        <v>508120230427001851142338</v>
      </c>
      <c r="C2884" s="6" t="s">
        <v>12</v>
      </c>
      <c r="D2884" s="6" t="str">
        <f>"马静颖"</f>
        <v>马静颖</v>
      </c>
    </row>
    <row r="2885" spans="1:4" ht="30" customHeight="1">
      <c r="A2885" s="6">
        <v>2883</v>
      </c>
      <c r="B2885" s="6" t="str">
        <f>"508120230425212350141589"</f>
        <v>508120230425212350141589</v>
      </c>
      <c r="C2885" s="6" t="s">
        <v>12</v>
      </c>
      <c r="D2885" s="6" t="str">
        <f>"叶诗莹"</f>
        <v>叶诗莹</v>
      </c>
    </row>
    <row r="2886" spans="1:4" ht="30" customHeight="1">
      <c r="A2886" s="6">
        <v>2884</v>
      </c>
      <c r="B2886" s="6" t="str">
        <f>"508120230426234622142316"</f>
        <v>508120230426234622142316</v>
      </c>
      <c r="C2886" s="6" t="s">
        <v>12</v>
      </c>
      <c r="D2886" s="6" t="str">
        <f>"文婕"</f>
        <v>文婕</v>
      </c>
    </row>
    <row r="2887" spans="1:4" ht="30" customHeight="1">
      <c r="A2887" s="6">
        <v>2885</v>
      </c>
      <c r="B2887" s="6" t="str">
        <f>"508120230427005638142351"</f>
        <v>508120230427005638142351</v>
      </c>
      <c r="C2887" s="6" t="s">
        <v>12</v>
      </c>
      <c r="D2887" s="6" t="str">
        <f>"王潇雪"</f>
        <v>王潇雪</v>
      </c>
    </row>
    <row r="2888" spans="1:4" ht="30" customHeight="1">
      <c r="A2888" s="6">
        <v>2886</v>
      </c>
      <c r="B2888" s="6" t="str">
        <f>"508120230426200935142143"</f>
        <v>508120230426200935142143</v>
      </c>
      <c r="C2888" s="6" t="s">
        <v>12</v>
      </c>
      <c r="D2888" s="6" t="str">
        <f>"吴美倩"</f>
        <v>吴美倩</v>
      </c>
    </row>
    <row r="2889" spans="1:4" ht="30" customHeight="1">
      <c r="A2889" s="6">
        <v>2887</v>
      </c>
      <c r="B2889" s="6" t="str">
        <f>"508120230427011848142357"</f>
        <v>508120230427011848142357</v>
      </c>
      <c r="C2889" s="6" t="s">
        <v>12</v>
      </c>
      <c r="D2889" s="6" t="str">
        <f>"曾传敏"</f>
        <v>曾传敏</v>
      </c>
    </row>
    <row r="2890" spans="1:4" ht="30" customHeight="1">
      <c r="A2890" s="6">
        <v>2888</v>
      </c>
      <c r="B2890" s="6" t="str">
        <f>"508120230427010855142355"</f>
        <v>508120230427010855142355</v>
      </c>
      <c r="C2890" s="6" t="s">
        <v>12</v>
      </c>
      <c r="D2890" s="6" t="str">
        <f>"钟舒祯"</f>
        <v>钟舒祯</v>
      </c>
    </row>
    <row r="2891" spans="1:4" ht="30" customHeight="1">
      <c r="A2891" s="6">
        <v>2889</v>
      </c>
      <c r="B2891" s="6" t="str">
        <f>"508120230427015628142361"</f>
        <v>508120230427015628142361</v>
      </c>
      <c r="C2891" s="6" t="s">
        <v>12</v>
      </c>
      <c r="D2891" s="6" t="str">
        <f>"黄燕华"</f>
        <v>黄燕华</v>
      </c>
    </row>
    <row r="2892" spans="1:4" ht="30" customHeight="1">
      <c r="A2892" s="6">
        <v>2890</v>
      </c>
      <c r="B2892" s="6" t="str">
        <f>"508120230427015923142363"</f>
        <v>508120230427015923142363</v>
      </c>
      <c r="C2892" s="6" t="s">
        <v>12</v>
      </c>
      <c r="D2892" s="6" t="str">
        <f>"陈丽慧"</f>
        <v>陈丽慧</v>
      </c>
    </row>
    <row r="2893" spans="1:4" ht="30" customHeight="1">
      <c r="A2893" s="6">
        <v>2891</v>
      </c>
      <c r="B2893" s="6" t="str">
        <f>"508120230426154042141941"</f>
        <v>508120230426154042141941</v>
      </c>
      <c r="C2893" s="6" t="s">
        <v>12</v>
      </c>
      <c r="D2893" s="6" t="str">
        <f>"陈丁萍"</f>
        <v>陈丁萍</v>
      </c>
    </row>
    <row r="2894" spans="1:4" ht="30" customHeight="1">
      <c r="A2894" s="6">
        <v>2892</v>
      </c>
      <c r="B2894" s="6" t="str">
        <f>"508120230426220626142231"</f>
        <v>508120230426220626142231</v>
      </c>
      <c r="C2894" s="6" t="s">
        <v>12</v>
      </c>
      <c r="D2894" s="6" t="str">
        <f>"梁明银"</f>
        <v>梁明银</v>
      </c>
    </row>
    <row r="2895" spans="1:4" ht="30" customHeight="1">
      <c r="A2895" s="6">
        <v>2893</v>
      </c>
      <c r="B2895" s="6" t="str">
        <f>"508120230427074958142375"</f>
        <v>508120230427074958142375</v>
      </c>
      <c r="C2895" s="6" t="s">
        <v>12</v>
      </c>
      <c r="D2895" s="6" t="str">
        <f>"杜芳转"</f>
        <v>杜芳转</v>
      </c>
    </row>
    <row r="2896" spans="1:4" ht="30" customHeight="1">
      <c r="A2896" s="6">
        <v>2894</v>
      </c>
      <c r="B2896" s="6" t="str">
        <f>"508120230426225342142278"</f>
        <v>508120230426225342142278</v>
      </c>
      <c r="C2896" s="6" t="s">
        <v>12</v>
      </c>
      <c r="D2896" s="6" t="str">
        <f>"云丽芸"</f>
        <v>云丽芸</v>
      </c>
    </row>
    <row r="2897" spans="1:4" ht="30" customHeight="1">
      <c r="A2897" s="6">
        <v>2895</v>
      </c>
      <c r="B2897" s="6" t="str">
        <f>"508120230426214152142213"</f>
        <v>508120230426214152142213</v>
      </c>
      <c r="C2897" s="6" t="s">
        <v>12</v>
      </c>
      <c r="D2897" s="6" t="str">
        <f>"吉芳瑶"</f>
        <v>吉芳瑶</v>
      </c>
    </row>
    <row r="2898" spans="1:4" ht="30" customHeight="1">
      <c r="A2898" s="6">
        <v>2896</v>
      </c>
      <c r="B2898" s="6" t="str">
        <f>"508120230426165208142008"</f>
        <v>508120230426165208142008</v>
      </c>
      <c r="C2898" s="6" t="s">
        <v>12</v>
      </c>
      <c r="D2898" s="6" t="str">
        <f>"黄杰"</f>
        <v>黄杰</v>
      </c>
    </row>
    <row r="2899" spans="1:4" ht="30" customHeight="1">
      <c r="A2899" s="6">
        <v>2897</v>
      </c>
      <c r="B2899" s="6" t="str">
        <f>"508120230427000103142325"</f>
        <v>508120230427000103142325</v>
      </c>
      <c r="C2899" s="6" t="s">
        <v>12</v>
      </c>
      <c r="D2899" s="6" t="str">
        <f>"蔡世民"</f>
        <v>蔡世民</v>
      </c>
    </row>
    <row r="2900" spans="1:4" ht="30" customHeight="1">
      <c r="A2900" s="6">
        <v>2898</v>
      </c>
      <c r="B2900" s="6" t="str">
        <f>"508120230427082805142389"</f>
        <v>508120230427082805142389</v>
      </c>
      <c r="C2900" s="6" t="s">
        <v>12</v>
      </c>
      <c r="D2900" s="6" t="str">
        <f>"邹美清"</f>
        <v>邹美清</v>
      </c>
    </row>
    <row r="2901" spans="1:4" ht="30" customHeight="1">
      <c r="A2901" s="6">
        <v>2899</v>
      </c>
      <c r="B2901" s="6" t="str">
        <f>"508120230426170840142026"</f>
        <v>508120230426170840142026</v>
      </c>
      <c r="C2901" s="6" t="s">
        <v>12</v>
      </c>
      <c r="D2901" s="6" t="str">
        <f>"黄丽娟"</f>
        <v>黄丽娟</v>
      </c>
    </row>
    <row r="2902" spans="1:4" ht="30" customHeight="1">
      <c r="A2902" s="6">
        <v>2900</v>
      </c>
      <c r="B2902" s="6" t="str">
        <f>"508120230425171702141464"</f>
        <v>508120230425171702141464</v>
      </c>
      <c r="C2902" s="6" t="s">
        <v>12</v>
      </c>
      <c r="D2902" s="6" t="str">
        <f>"何荣群"</f>
        <v>何荣群</v>
      </c>
    </row>
    <row r="2903" spans="1:4" ht="30" customHeight="1">
      <c r="A2903" s="6">
        <v>2901</v>
      </c>
      <c r="B2903" s="6" t="str">
        <f>"508120230425150746141365"</f>
        <v>508120230425150746141365</v>
      </c>
      <c r="C2903" s="6" t="s">
        <v>12</v>
      </c>
      <c r="D2903" s="6" t="str">
        <f>"王月兰"</f>
        <v>王月兰</v>
      </c>
    </row>
    <row r="2904" spans="1:4" ht="30" customHeight="1">
      <c r="A2904" s="6">
        <v>2902</v>
      </c>
      <c r="B2904" s="6" t="str">
        <f>"508120230427085018142407"</f>
        <v>508120230427085018142407</v>
      </c>
      <c r="C2904" s="6" t="s">
        <v>12</v>
      </c>
      <c r="D2904" s="6" t="str">
        <f>"周洪宇"</f>
        <v>周洪宇</v>
      </c>
    </row>
    <row r="2905" spans="1:4" ht="30" customHeight="1">
      <c r="A2905" s="6">
        <v>2903</v>
      </c>
      <c r="B2905" s="6" t="str">
        <f>"508120230425211127141579"</f>
        <v>508120230425211127141579</v>
      </c>
      <c r="C2905" s="6" t="s">
        <v>12</v>
      </c>
      <c r="D2905" s="6" t="str">
        <f>"周欣"</f>
        <v>周欣</v>
      </c>
    </row>
    <row r="2906" spans="1:4" ht="30" customHeight="1">
      <c r="A2906" s="6">
        <v>2904</v>
      </c>
      <c r="B2906" s="6" t="str">
        <f>"508120230426172410142043"</f>
        <v>508120230426172410142043</v>
      </c>
      <c r="C2906" s="6" t="s">
        <v>12</v>
      </c>
      <c r="D2906" s="6" t="str">
        <f>"蔡南虎"</f>
        <v>蔡南虎</v>
      </c>
    </row>
    <row r="2907" spans="1:4" ht="30" customHeight="1">
      <c r="A2907" s="6">
        <v>2905</v>
      </c>
      <c r="B2907" s="6" t="str">
        <f>"508120230427081440142384"</f>
        <v>508120230427081440142384</v>
      </c>
      <c r="C2907" s="6" t="s">
        <v>12</v>
      </c>
      <c r="D2907" s="6" t="str">
        <f>"陈海山"</f>
        <v>陈海山</v>
      </c>
    </row>
    <row r="2908" spans="1:4" ht="30" customHeight="1">
      <c r="A2908" s="6">
        <v>2906</v>
      </c>
      <c r="B2908" s="6" t="str">
        <f>"508120230427011457142356"</f>
        <v>508120230427011457142356</v>
      </c>
      <c r="C2908" s="6" t="s">
        <v>12</v>
      </c>
      <c r="D2908" s="6" t="str">
        <f>"庄惠惠"</f>
        <v>庄惠惠</v>
      </c>
    </row>
    <row r="2909" spans="1:4" ht="30" customHeight="1">
      <c r="A2909" s="6">
        <v>2907</v>
      </c>
      <c r="B2909" s="6" t="str">
        <f>"508120230427084601142405"</f>
        <v>508120230427084601142405</v>
      </c>
      <c r="C2909" s="6" t="s">
        <v>12</v>
      </c>
      <c r="D2909" s="6" t="str">
        <f>"王丹"</f>
        <v>王丹</v>
      </c>
    </row>
    <row r="2910" spans="1:4" ht="30" customHeight="1">
      <c r="A2910" s="6">
        <v>2908</v>
      </c>
      <c r="B2910" s="6" t="str">
        <f>"508120230421220409139095"</f>
        <v>508120230421220409139095</v>
      </c>
      <c r="C2910" s="6" t="s">
        <v>12</v>
      </c>
      <c r="D2910" s="6" t="str">
        <f>"陶碧玉"</f>
        <v>陶碧玉</v>
      </c>
    </row>
    <row r="2911" spans="1:4" ht="30" customHeight="1">
      <c r="A2911" s="6">
        <v>2909</v>
      </c>
      <c r="B2911" s="6" t="str">
        <f>"508120230427091552142422"</f>
        <v>508120230427091552142422</v>
      </c>
      <c r="C2911" s="6" t="s">
        <v>12</v>
      </c>
      <c r="D2911" s="6" t="str">
        <f>"方学娜"</f>
        <v>方学娜</v>
      </c>
    </row>
    <row r="2912" spans="1:4" ht="30" customHeight="1">
      <c r="A2912" s="6">
        <v>2910</v>
      </c>
      <c r="B2912" s="6" t="str">
        <f>"508120230426141706141888"</f>
        <v>508120230426141706141888</v>
      </c>
      <c r="C2912" s="6" t="s">
        <v>12</v>
      </c>
      <c r="D2912" s="6" t="str">
        <f>"杨潞"</f>
        <v>杨潞</v>
      </c>
    </row>
    <row r="2913" spans="1:4" ht="30" customHeight="1">
      <c r="A2913" s="6">
        <v>2911</v>
      </c>
      <c r="B2913" s="6" t="str">
        <f>"508120230427090601142416"</f>
        <v>508120230427090601142416</v>
      </c>
      <c r="C2913" s="6" t="s">
        <v>12</v>
      </c>
      <c r="D2913" s="6" t="str">
        <f>"王迷霜"</f>
        <v>王迷霜</v>
      </c>
    </row>
    <row r="2914" spans="1:4" ht="30" customHeight="1">
      <c r="A2914" s="6">
        <v>2912</v>
      </c>
      <c r="B2914" s="6" t="str">
        <f>"508120230427000912142332"</f>
        <v>508120230427000912142332</v>
      </c>
      <c r="C2914" s="6" t="s">
        <v>12</v>
      </c>
      <c r="D2914" s="6" t="str">
        <f>"钟语嫣"</f>
        <v>钟语嫣</v>
      </c>
    </row>
    <row r="2915" spans="1:4" ht="30" customHeight="1">
      <c r="A2915" s="6">
        <v>2913</v>
      </c>
      <c r="B2915" s="6" t="str">
        <f>"508120230426105511141790"</f>
        <v>508120230426105511141790</v>
      </c>
      <c r="C2915" s="6" t="s">
        <v>12</v>
      </c>
      <c r="D2915" s="6" t="str">
        <f>"李欣烨"</f>
        <v>李欣烨</v>
      </c>
    </row>
    <row r="2916" spans="1:4" ht="30" customHeight="1">
      <c r="A2916" s="6">
        <v>2914</v>
      </c>
      <c r="B2916" s="6" t="str">
        <f>"508120230425210827141576"</f>
        <v>508120230425210827141576</v>
      </c>
      <c r="C2916" s="6" t="s">
        <v>12</v>
      </c>
      <c r="D2916" s="6" t="str">
        <f>"杨福林"</f>
        <v>杨福林</v>
      </c>
    </row>
    <row r="2917" spans="1:4" ht="30" customHeight="1">
      <c r="A2917" s="6">
        <v>2915</v>
      </c>
      <c r="B2917" s="6" t="str">
        <f>"508120230427093455142446"</f>
        <v>508120230427093455142446</v>
      </c>
      <c r="C2917" s="6" t="s">
        <v>12</v>
      </c>
      <c r="D2917" s="6" t="str">
        <f>"裴丽玥"</f>
        <v>裴丽玥</v>
      </c>
    </row>
    <row r="2918" spans="1:4" ht="30" customHeight="1">
      <c r="A2918" s="6">
        <v>2916</v>
      </c>
      <c r="B2918" s="6" t="str">
        <f>"508120230427091043142418"</f>
        <v>508120230427091043142418</v>
      </c>
      <c r="C2918" s="6" t="s">
        <v>12</v>
      </c>
      <c r="D2918" s="6" t="str">
        <f>"伍人胜"</f>
        <v>伍人胜</v>
      </c>
    </row>
    <row r="2919" spans="1:4" ht="30" customHeight="1">
      <c r="A2919" s="6">
        <v>2917</v>
      </c>
      <c r="B2919" s="6" t="str">
        <f>"508120230426225954142284"</f>
        <v>508120230426225954142284</v>
      </c>
      <c r="C2919" s="6" t="s">
        <v>12</v>
      </c>
      <c r="D2919" s="6" t="str">
        <f>"许苑星"</f>
        <v>许苑星</v>
      </c>
    </row>
    <row r="2920" spans="1:4" ht="30" customHeight="1">
      <c r="A2920" s="6">
        <v>2918</v>
      </c>
      <c r="B2920" s="6" t="str">
        <f>"508120230427094603142462"</f>
        <v>508120230427094603142462</v>
      </c>
      <c r="C2920" s="6" t="s">
        <v>12</v>
      </c>
      <c r="D2920" s="6" t="str">
        <f>"吴佳艳"</f>
        <v>吴佳艳</v>
      </c>
    </row>
    <row r="2921" spans="1:4" ht="30" customHeight="1">
      <c r="A2921" s="6">
        <v>2919</v>
      </c>
      <c r="B2921" s="6" t="str">
        <f>"508120230421163302138855"</f>
        <v>508120230421163302138855</v>
      </c>
      <c r="C2921" s="6" t="s">
        <v>12</v>
      </c>
      <c r="D2921" s="6" t="str">
        <f>"麦文芳"</f>
        <v>麦文芳</v>
      </c>
    </row>
    <row r="2922" spans="1:4" ht="30" customHeight="1">
      <c r="A2922" s="6">
        <v>2920</v>
      </c>
      <c r="B2922" s="6" t="str">
        <f>"508120230427094139142457"</f>
        <v>508120230427094139142457</v>
      </c>
      <c r="C2922" s="6" t="s">
        <v>12</v>
      </c>
      <c r="D2922" s="6" t="str">
        <f>"黄彩柳"</f>
        <v>黄彩柳</v>
      </c>
    </row>
    <row r="2923" spans="1:4" ht="30" customHeight="1">
      <c r="A2923" s="6">
        <v>2921</v>
      </c>
      <c r="B2923" s="6" t="str">
        <f>"508120230426155400141957"</f>
        <v>508120230426155400141957</v>
      </c>
      <c r="C2923" s="6" t="s">
        <v>12</v>
      </c>
      <c r="D2923" s="6" t="str">
        <f>"王亚鹏"</f>
        <v>王亚鹏</v>
      </c>
    </row>
    <row r="2924" spans="1:4" ht="30" customHeight="1">
      <c r="A2924" s="6">
        <v>2922</v>
      </c>
      <c r="B2924" s="6" t="str">
        <f>"508120230424082807140459"</f>
        <v>508120230424082807140459</v>
      </c>
      <c r="C2924" s="6" t="s">
        <v>12</v>
      </c>
      <c r="D2924" s="6" t="str">
        <f>"谢尚洁"</f>
        <v>谢尚洁</v>
      </c>
    </row>
    <row r="2925" spans="1:4" ht="30" customHeight="1">
      <c r="A2925" s="6">
        <v>2923</v>
      </c>
      <c r="B2925" s="6" t="str">
        <f>"508120230427101549142499"</f>
        <v>508120230427101549142499</v>
      </c>
      <c r="C2925" s="6" t="s">
        <v>12</v>
      </c>
      <c r="D2925" s="6" t="str">
        <f>"符金燕"</f>
        <v>符金燕</v>
      </c>
    </row>
    <row r="2926" spans="1:4" ht="30" customHeight="1">
      <c r="A2926" s="6">
        <v>2924</v>
      </c>
      <c r="B2926" s="6" t="str">
        <f>"508120230427092732142435"</f>
        <v>508120230427092732142435</v>
      </c>
      <c r="C2926" s="6" t="s">
        <v>12</v>
      </c>
      <c r="D2926" s="6" t="str">
        <f>"史鑫"</f>
        <v>史鑫</v>
      </c>
    </row>
    <row r="2927" spans="1:4" ht="30" customHeight="1">
      <c r="A2927" s="6">
        <v>2925</v>
      </c>
      <c r="B2927" s="6" t="str">
        <f>"508120230421180654138960"</f>
        <v>508120230421180654138960</v>
      </c>
      <c r="C2927" s="6" t="s">
        <v>12</v>
      </c>
      <c r="D2927" s="6" t="str">
        <f>"赵春悄"</f>
        <v>赵春悄</v>
      </c>
    </row>
    <row r="2928" spans="1:4" ht="30" customHeight="1">
      <c r="A2928" s="6">
        <v>2926</v>
      </c>
      <c r="B2928" s="6" t="str">
        <f>"508120230427102736142512"</f>
        <v>508120230427102736142512</v>
      </c>
      <c r="C2928" s="6" t="s">
        <v>12</v>
      </c>
      <c r="D2928" s="6" t="str">
        <f>"王俊越"</f>
        <v>王俊越</v>
      </c>
    </row>
    <row r="2929" spans="1:4" ht="30" customHeight="1">
      <c r="A2929" s="6">
        <v>2927</v>
      </c>
      <c r="B2929" s="6" t="str">
        <f>"508120230427100134142485"</f>
        <v>508120230427100134142485</v>
      </c>
      <c r="C2929" s="6" t="s">
        <v>12</v>
      </c>
      <c r="D2929" s="6" t="str">
        <f>"林树霞"</f>
        <v>林树霞</v>
      </c>
    </row>
    <row r="2930" spans="1:4" ht="30" customHeight="1">
      <c r="A2930" s="6">
        <v>2928</v>
      </c>
      <c r="B2930" s="6" t="str">
        <f>"508120230427110036142541"</f>
        <v>508120230427110036142541</v>
      </c>
      <c r="C2930" s="6" t="s">
        <v>12</v>
      </c>
      <c r="D2930" s="6" t="str">
        <f>"陈永帅"</f>
        <v>陈永帅</v>
      </c>
    </row>
    <row r="2931" spans="1:4" ht="30" customHeight="1">
      <c r="A2931" s="6">
        <v>2929</v>
      </c>
      <c r="B2931" s="6" t="str">
        <f>"508120230427091644142425"</f>
        <v>508120230427091644142425</v>
      </c>
      <c r="C2931" s="6" t="s">
        <v>12</v>
      </c>
      <c r="D2931" s="6" t="str">
        <f>"卢友爱"</f>
        <v>卢友爱</v>
      </c>
    </row>
    <row r="2932" spans="1:4" ht="30" customHeight="1">
      <c r="A2932" s="6">
        <v>2930</v>
      </c>
      <c r="B2932" s="6" t="str">
        <f>"508120230427105042142535"</f>
        <v>508120230427105042142535</v>
      </c>
      <c r="C2932" s="6" t="s">
        <v>12</v>
      </c>
      <c r="D2932" s="6" t="str">
        <f>"陈菲"</f>
        <v>陈菲</v>
      </c>
    </row>
    <row r="2933" spans="1:4" ht="30" customHeight="1">
      <c r="A2933" s="6">
        <v>2931</v>
      </c>
      <c r="B2933" s="6" t="str">
        <f>"508120230427105541142540"</f>
        <v>508120230427105541142540</v>
      </c>
      <c r="C2933" s="6" t="s">
        <v>12</v>
      </c>
      <c r="D2933" s="6" t="str">
        <f>"张楚"</f>
        <v>张楚</v>
      </c>
    </row>
    <row r="2934" spans="1:4" ht="30" customHeight="1">
      <c r="A2934" s="6">
        <v>2932</v>
      </c>
      <c r="B2934" s="6" t="str">
        <f>"508120230427094003142452"</f>
        <v>508120230427094003142452</v>
      </c>
      <c r="C2934" s="6" t="s">
        <v>12</v>
      </c>
      <c r="D2934" s="6" t="str">
        <f>"董跃东"</f>
        <v>董跃东</v>
      </c>
    </row>
    <row r="2935" spans="1:4" ht="30" customHeight="1">
      <c r="A2935" s="6">
        <v>2933</v>
      </c>
      <c r="B2935" s="6" t="str">
        <f>"508120230427100322142488"</f>
        <v>508120230427100322142488</v>
      </c>
      <c r="C2935" s="6" t="s">
        <v>12</v>
      </c>
      <c r="D2935" s="6" t="str">
        <f>"杨竹叶"</f>
        <v>杨竹叶</v>
      </c>
    </row>
    <row r="2936" spans="1:4" ht="30" customHeight="1">
      <c r="A2936" s="6">
        <v>2934</v>
      </c>
      <c r="B2936" s="6" t="str">
        <f>"508120230427065441142372"</f>
        <v>508120230427065441142372</v>
      </c>
      <c r="C2936" s="6" t="s">
        <v>12</v>
      </c>
      <c r="D2936" s="6" t="str">
        <f>"苏新婷"</f>
        <v>苏新婷</v>
      </c>
    </row>
    <row r="2937" spans="1:4" ht="30" customHeight="1">
      <c r="A2937" s="6">
        <v>2935</v>
      </c>
      <c r="B2937" s="6" t="str">
        <f>"508120230427093958142451"</f>
        <v>508120230427093958142451</v>
      </c>
      <c r="C2937" s="6" t="s">
        <v>12</v>
      </c>
      <c r="D2937" s="6" t="str">
        <f>"唐海燕"</f>
        <v>唐海燕</v>
      </c>
    </row>
    <row r="2938" spans="1:4" ht="30" customHeight="1">
      <c r="A2938" s="6">
        <v>2936</v>
      </c>
      <c r="B2938" s="6" t="str">
        <f>"508120230421110055138417"</f>
        <v>508120230421110055138417</v>
      </c>
      <c r="C2938" s="6" t="s">
        <v>12</v>
      </c>
      <c r="D2938" s="6" t="str">
        <f>"王茜"</f>
        <v>王茜</v>
      </c>
    </row>
    <row r="2939" spans="1:4" ht="30" customHeight="1">
      <c r="A2939" s="6">
        <v>2937</v>
      </c>
      <c r="B2939" s="6" t="str">
        <f>"508120230427102921142513"</f>
        <v>508120230427102921142513</v>
      </c>
      <c r="C2939" s="6" t="s">
        <v>12</v>
      </c>
      <c r="D2939" s="6" t="str">
        <f>"刘小玉"</f>
        <v>刘小玉</v>
      </c>
    </row>
    <row r="2940" spans="1:4" ht="30" customHeight="1">
      <c r="A2940" s="6">
        <v>2938</v>
      </c>
      <c r="B2940" s="6" t="str">
        <f>"508120230427105317142538"</f>
        <v>508120230427105317142538</v>
      </c>
      <c r="C2940" s="6" t="s">
        <v>12</v>
      </c>
      <c r="D2940" s="6" t="str">
        <f>"王槐奋"</f>
        <v>王槐奋</v>
      </c>
    </row>
    <row r="2941" spans="1:4" ht="30" customHeight="1">
      <c r="A2941" s="6">
        <v>2939</v>
      </c>
      <c r="B2941" s="6" t="str">
        <f>"508120230427110807142548"</f>
        <v>508120230427110807142548</v>
      </c>
      <c r="C2941" s="6" t="s">
        <v>12</v>
      </c>
      <c r="D2941" s="6" t="str">
        <f>"王小燕"</f>
        <v>王小燕</v>
      </c>
    </row>
    <row r="2942" spans="1:4" ht="30" customHeight="1">
      <c r="A2942" s="6">
        <v>2940</v>
      </c>
      <c r="B2942" s="6" t="str">
        <f>"508120230426223212142258"</f>
        <v>508120230426223212142258</v>
      </c>
      <c r="C2942" s="6" t="s">
        <v>12</v>
      </c>
      <c r="D2942" s="6" t="str">
        <f>"陈奕河"</f>
        <v>陈奕河</v>
      </c>
    </row>
    <row r="2943" spans="1:4" ht="30" customHeight="1">
      <c r="A2943" s="6">
        <v>2941</v>
      </c>
      <c r="B2943" s="6" t="str">
        <f>"508120230426214934142218"</f>
        <v>508120230426214934142218</v>
      </c>
      <c r="C2943" s="6" t="s">
        <v>12</v>
      </c>
      <c r="D2943" s="6" t="str">
        <f>"邓洁薇"</f>
        <v>邓洁薇</v>
      </c>
    </row>
    <row r="2944" spans="1:4" ht="30" customHeight="1">
      <c r="A2944" s="6">
        <v>2942</v>
      </c>
      <c r="B2944" s="6" t="str">
        <f>"508120230427102557142509"</f>
        <v>508120230427102557142509</v>
      </c>
      <c r="C2944" s="6" t="s">
        <v>12</v>
      </c>
      <c r="D2944" s="6" t="str">
        <f>"许富娇"</f>
        <v>许富娇</v>
      </c>
    </row>
    <row r="2945" spans="1:4" ht="30" customHeight="1">
      <c r="A2945" s="6">
        <v>2943</v>
      </c>
      <c r="B2945" s="6" t="str">
        <f>"508120230423205955140293"</f>
        <v>508120230423205955140293</v>
      </c>
      <c r="C2945" s="6" t="s">
        <v>12</v>
      </c>
      <c r="D2945" s="6" t="str">
        <f>"韩杏蜜"</f>
        <v>韩杏蜜</v>
      </c>
    </row>
    <row r="2946" spans="1:4" ht="30" customHeight="1">
      <c r="A2946" s="6">
        <v>2944</v>
      </c>
      <c r="B2946" s="6" t="str">
        <f>"508120230421183712138982"</f>
        <v>508120230421183712138982</v>
      </c>
      <c r="C2946" s="6" t="s">
        <v>12</v>
      </c>
      <c r="D2946" s="6" t="str">
        <f>"陈亚漂"</f>
        <v>陈亚漂</v>
      </c>
    </row>
    <row r="2947" spans="1:4" ht="30" customHeight="1">
      <c r="A2947" s="6">
        <v>2945</v>
      </c>
      <c r="B2947" s="6" t="str">
        <f>"508120230426183435142090"</f>
        <v>508120230426183435142090</v>
      </c>
      <c r="C2947" s="6" t="s">
        <v>12</v>
      </c>
      <c r="D2947" s="6" t="str">
        <f>"李诵华"</f>
        <v>李诵华</v>
      </c>
    </row>
    <row r="2948" spans="1:4" ht="30" customHeight="1">
      <c r="A2948" s="6">
        <v>2946</v>
      </c>
      <c r="B2948" s="6" t="str">
        <f>"508120230427115025142580"</f>
        <v>508120230427115025142580</v>
      </c>
      <c r="C2948" s="6" t="s">
        <v>12</v>
      </c>
      <c r="D2948" s="6" t="str">
        <f>"冯良婧"</f>
        <v>冯良婧</v>
      </c>
    </row>
    <row r="2949" spans="1:4" ht="30" customHeight="1">
      <c r="A2949" s="6">
        <v>2947</v>
      </c>
      <c r="B2949" s="6" t="str">
        <f>"508120230424084408140467"</f>
        <v>508120230424084408140467</v>
      </c>
      <c r="C2949" s="6" t="s">
        <v>12</v>
      </c>
      <c r="D2949" s="6" t="str">
        <f>"许世扬"</f>
        <v>许世扬</v>
      </c>
    </row>
    <row r="2950" spans="1:4" ht="30" customHeight="1">
      <c r="A2950" s="6">
        <v>2948</v>
      </c>
      <c r="B2950" s="6" t="str">
        <f>"508120230421094111138214"</f>
        <v>508120230421094111138214</v>
      </c>
      <c r="C2950" s="6" t="s">
        <v>13</v>
      </c>
      <c r="D2950" s="6" t="str">
        <f>"曾文博"</f>
        <v>曾文博</v>
      </c>
    </row>
    <row r="2951" spans="1:4" ht="30" customHeight="1">
      <c r="A2951" s="6">
        <v>2949</v>
      </c>
      <c r="B2951" s="6" t="str">
        <f>"508120230421104907138397"</f>
        <v>508120230421104907138397</v>
      </c>
      <c r="C2951" s="6" t="s">
        <v>13</v>
      </c>
      <c r="D2951" s="6" t="str">
        <f>"林瑞智"</f>
        <v>林瑞智</v>
      </c>
    </row>
    <row r="2952" spans="1:4" ht="30" customHeight="1">
      <c r="A2952" s="6">
        <v>2950</v>
      </c>
      <c r="B2952" s="6" t="str">
        <f>"508120230421165128138876"</f>
        <v>508120230421165128138876</v>
      </c>
      <c r="C2952" s="6" t="s">
        <v>13</v>
      </c>
      <c r="D2952" s="6" t="str">
        <f>"符舜敏"</f>
        <v>符舜敏</v>
      </c>
    </row>
    <row r="2953" spans="1:4" ht="30" customHeight="1">
      <c r="A2953" s="6">
        <v>2951</v>
      </c>
      <c r="B2953" s="6" t="str">
        <f>"508120230421104322138382"</f>
        <v>508120230421104322138382</v>
      </c>
      <c r="C2953" s="6" t="s">
        <v>13</v>
      </c>
      <c r="D2953" s="6" t="str">
        <f>"郑浩"</f>
        <v>郑浩</v>
      </c>
    </row>
    <row r="2954" spans="1:4" ht="30" customHeight="1">
      <c r="A2954" s="6">
        <v>2952</v>
      </c>
      <c r="B2954" s="6" t="str">
        <f>"508120230421154420138784"</f>
        <v>508120230421154420138784</v>
      </c>
      <c r="C2954" s="6" t="s">
        <v>13</v>
      </c>
      <c r="D2954" s="6" t="str">
        <f>"符剑"</f>
        <v>符剑</v>
      </c>
    </row>
    <row r="2955" spans="1:4" ht="30" customHeight="1">
      <c r="A2955" s="6">
        <v>2953</v>
      </c>
      <c r="B2955" s="6" t="str">
        <f>"508120230422132155139337"</f>
        <v>508120230422132155139337</v>
      </c>
      <c r="C2955" s="6" t="s">
        <v>13</v>
      </c>
      <c r="D2955" s="6" t="str">
        <f>"陈延君"</f>
        <v>陈延君</v>
      </c>
    </row>
    <row r="2956" spans="1:4" ht="30" customHeight="1">
      <c r="A2956" s="6">
        <v>2954</v>
      </c>
      <c r="B2956" s="6" t="str">
        <f>"508120230422201050139530"</f>
        <v>508120230422201050139530</v>
      </c>
      <c r="C2956" s="6" t="s">
        <v>13</v>
      </c>
      <c r="D2956" s="6" t="str">
        <f>"林绍学"</f>
        <v>林绍学</v>
      </c>
    </row>
    <row r="2957" spans="1:4" ht="30" customHeight="1">
      <c r="A2957" s="6">
        <v>2955</v>
      </c>
      <c r="B2957" s="6" t="str">
        <f>"508120230422151622139379"</f>
        <v>508120230422151622139379</v>
      </c>
      <c r="C2957" s="6" t="s">
        <v>13</v>
      </c>
      <c r="D2957" s="6" t="str">
        <f>"邓正川"</f>
        <v>邓正川</v>
      </c>
    </row>
    <row r="2958" spans="1:4" ht="30" customHeight="1">
      <c r="A2958" s="6">
        <v>2956</v>
      </c>
      <c r="B2958" s="6" t="str">
        <f>"508120230423105737139853"</f>
        <v>508120230423105737139853</v>
      </c>
      <c r="C2958" s="6" t="s">
        <v>13</v>
      </c>
      <c r="D2958" s="6" t="str">
        <f>"关海强"</f>
        <v>关海强</v>
      </c>
    </row>
    <row r="2959" spans="1:4" ht="30" customHeight="1">
      <c r="A2959" s="6">
        <v>2957</v>
      </c>
      <c r="B2959" s="6" t="str">
        <f>"508120230423105551139849"</f>
        <v>508120230423105551139849</v>
      </c>
      <c r="C2959" s="6" t="s">
        <v>13</v>
      </c>
      <c r="D2959" s="6" t="str">
        <f>"李友炽"</f>
        <v>李友炽</v>
      </c>
    </row>
    <row r="2960" spans="1:4" ht="30" customHeight="1">
      <c r="A2960" s="6">
        <v>2958</v>
      </c>
      <c r="B2960" s="6" t="str">
        <f>"508120230421182501138975"</f>
        <v>508120230421182501138975</v>
      </c>
      <c r="C2960" s="6" t="s">
        <v>13</v>
      </c>
      <c r="D2960" s="6" t="str">
        <f>"陈时富"</f>
        <v>陈时富</v>
      </c>
    </row>
    <row r="2961" spans="1:4" ht="30" customHeight="1">
      <c r="A2961" s="6">
        <v>2959</v>
      </c>
      <c r="B2961" s="6" t="str">
        <f>"508120230423223358140378"</f>
        <v>508120230423223358140378</v>
      </c>
      <c r="C2961" s="6" t="s">
        <v>13</v>
      </c>
      <c r="D2961" s="6" t="str">
        <f>"吴钟睿"</f>
        <v>吴钟睿</v>
      </c>
    </row>
    <row r="2962" spans="1:4" ht="30" customHeight="1">
      <c r="A2962" s="6">
        <v>2960</v>
      </c>
      <c r="B2962" s="6" t="str">
        <f>"508120230424003009140430"</f>
        <v>508120230424003009140430</v>
      </c>
      <c r="C2962" s="6" t="s">
        <v>13</v>
      </c>
      <c r="D2962" s="6" t="str">
        <f>"谢昌宁"</f>
        <v>谢昌宁</v>
      </c>
    </row>
    <row r="2963" spans="1:4" ht="30" customHeight="1">
      <c r="A2963" s="6">
        <v>2961</v>
      </c>
      <c r="B2963" s="6" t="str">
        <f>"508120230422184048139483"</f>
        <v>508120230422184048139483</v>
      </c>
      <c r="C2963" s="6" t="s">
        <v>13</v>
      </c>
      <c r="D2963" s="6" t="str">
        <f>"陈嘉康"</f>
        <v>陈嘉康</v>
      </c>
    </row>
    <row r="2964" spans="1:4" ht="30" customHeight="1">
      <c r="A2964" s="6">
        <v>2962</v>
      </c>
      <c r="B2964" s="6" t="str">
        <f>"508120230423171150140147"</f>
        <v>508120230423171150140147</v>
      </c>
      <c r="C2964" s="6" t="s">
        <v>13</v>
      </c>
      <c r="D2964" s="6" t="str">
        <f>"王娜二"</f>
        <v>王娜二</v>
      </c>
    </row>
    <row r="2965" spans="1:4" ht="30" customHeight="1">
      <c r="A2965" s="6">
        <v>2963</v>
      </c>
      <c r="B2965" s="6" t="str">
        <f>"508120230422001400139143"</f>
        <v>508120230422001400139143</v>
      </c>
      <c r="C2965" s="6" t="s">
        <v>13</v>
      </c>
      <c r="D2965" s="6" t="str">
        <f>"庄关保"</f>
        <v>庄关保</v>
      </c>
    </row>
    <row r="2966" spans="1:4" ht="30" customHeight="1">
      <c r="A2966" s="6">
        <v>2964</v>
      </c>
      <c r="B2966" s="6" t="str">
        <f>"508120230424210702141017"</f>
        <v>508120230424210702141017</v>
      </c>
      <c r="C2966" s="6" t="s">
        <v>13</v>
      </c>
      <c r="D2966" s="6" t="str">
        <f>"林贻壮"</f>
        <v>林贻壮</v>
      </c>
    </row>
    <row r="2967" spans="1:4" ht="30" customHeight="1">
      <c r="A2967" s="6">
        <v>2965</v>
      </c>
      <c r="B2967" s="6" t="str">
        <f>"508120230424214128141036"</f>
        <v>508120230424214128141036</v>
      </c>
      <c r="C2967" s="6" t="s">
        <v>13</v>
      </c>
      <c r="D2967" s="6" t="str">
        <f>"王乃朝"</f>
        <v>王乃朝</v>
      </c>
    </row>
    <row r="2968" spans="1:4" ht="30" customHeight="1">
      <c r="A2968" s="6">
        <v>2966</v>
      </c>
      <c r="B2968" s="6" t="str">
        <f>"508120230423210114140296"</f>
        <v>508120230423210114140296</v>
      </c>
      <c r="C2968" s="6" t="s">
        <v>13</v>
      </c>
      <c r="D2968" s="6" t="str">
        <f>"高世科"</f>
        <v>高世科</v>
      </c>
    </row>
    <row r="2969" spans="1:4" ht="30" customHeight="1">
      <c r="A2969" s="6">
        <v>2967</v>
      </c>
      <c r="B2969" s="6" t="str">
        <f>"508120230425102128141210"</f>
        <v>508120230425102128141210</v>
      </c>
      <c r="C2969" s="6" t="s">
        <v>13</v>
      </c>
      <c r="D2969" s="6" t="str">
        <f>"柯俊余"</f>
        <v>柯俊余</v>
      </c>
    </row>
    <row r="2970" spans="1:4" ht="30" customHeight="1">
      <c r="A2970" s="6">
        <v>2968</v>
      </c>
      <c r="B2970" s="6" t="str">
        <f>"508120230423202130140261"</f>
        <v>508120230423202130140261</v>
      </c>
      <c r="C2970" s="6" t="s">
        <v>13</v>
      </c>
      <c r="D2970" s="6" t="str">
        <f>"张运鹏"</f>
        <v>张运鹏</v>
      </c>
    </row>
    <row r="2971" spans="1:4" ht="30" customHeight="1">
      <c r="A2971" s="6">
        <v>2969</v>
      </c>
      <c r="B2971" s="6" t="str">
        <f>"508120230423161020140086"</f>
        <v>508120230423161020140086</v>
      </c>
      <c r="C2971" s="6" t="s">
        <v>13</v>
      </c>
      <c r="D2971" s="6" t="str">
        <f>"陈仡杰"</f>
        <v>陈仡杰</v>
      </c>
    </row>
    <row r="2972" spans="1:4" ht="30" customHeight="1">
      <c r="A2972" s="6">
        <v>2970</v>
      </c>
      <c r="B2972" s="6" t="str">
        <f>"508120230424094404140527"</f>
        <v>508120230424094404140527</v>
      </c>
      <c r="C2972" s="6" t="s">
        <v>13</v>
      </c>
      <c r="D2972" s="6" t="str">
        <f>"陈献策"</f>
        <v>陈献策</v>
      </c>
    </row>
    <row r="2973" spans="1:4" ht="30" customHeight="1">
      <c r="A2973" s="6">
        <v>2971</v>
      </c>
      <c r="B2973" s="6" t="str">
        <f>"508120230425181259141498"</f>
        <v>508120230425181259141498</v>
      </c>
      <c r="C2973" s="6" t="s">
        <v>13</v>
      </c>
      <c r="D2973" s="6" t="str">
        <f>"李义博"</f>
        <v>李义博</v>
      </c>
    </row>
    <row r="2974" spans="1:4" ht="30" customHeight="1">
      <c r="A2974" s="6">
        <v>2972</v>
      </c>
      <c r="B2974" s="6" t="str">
        <f>"508120230423220334140356"</f>
        <v>508120230423220334140356</v>
      </c>
      <c r="C2974" s="6" t="s">
        <v>13</v>
      </c>
      <c r="D2974" s="6" t="str">
        <f>"符永昌"</f>
        <v>符永昌</v>
      </c>
    </row>
    <row r="2975" spans="1:4" ht="30" customHeight="1">
      <c r="A2975" s="6">
        <v>2973</v>
      </c>
      <c r="B2975" s="6" t="str">
        <f>"508120230427113558142567"</f>
        <v>508120230427113558142567</v>
      </c>
      <c r="C2975" s="6" t="s">
        <v>13</v>
      </c>
      <c r="D2975" s="6" t="str">
        <f>"邢栋"</f>
        <v>邢栋</v>
      </c>
    </row>
    <row r="2976" spans="1:4" ht="30" customHeight="1">
      <c r="A2976" s="6">
        <v>2974</v>
      </c>
      <c r="B2976" s="6" t="str">
        <f>"508120230426212709142201"</f>
        <v>508120230426212709142201</v>
      </c>
      <c r="C2976" s="6" t="s">
        <v>13</v>
      </c>
      <c r="D2976" s="6" t="str">
        <f>"李冰"</f>
        <v>李冰</v>
      </c>
    </row>
    <row r="2977" spans="1:4" ht="30" customHeight="1">
      <c r="A2977" s="6">
        <v>2975</v>
      </c>
      <c r="B2977" s="6" t="str">
        <f>"508120230421200745139038"</f>
        <v>508120230421200745139038</v>
      </c>
      <c r="C2977" s="6" t="s">
        <v>14</v>
      </c>
      <c r="D2977" s="6" t="str">
        <f>"毕文玉"</f>
        <v>毕文玉</v>
      </c>
    </row>
    <row r="2978" spans="1:4" ht="30" customHeight="1">
      <c r="A2978" s="6">
        <v>2976</v>
      </c>
      <c r="B2978" s="6" t="str">
        <f>"508120230425145908141357"</f>
        <v>508120230425145908141357</v>
      </c>
      <c r="C2978" s="6" t="s">
        <v>14</v>
      </c>
      <c r="D2978" s="6" t="str">
        <f>"倪德莹"</f>
        <v>倪德莹</v>
      </c>
    </row>
    <row r="2979" spans="1:4" ht="30" customHeight="1">
      <c r="A2979" s="6">
        <v>2977</v>
      </c>
      <c r="B2979" s="6" t="str">
        <f>"508120230426104341141786"</f>
        <v>508120230426104341141786</v>
      </c>
      <c r="C2979" s="6" t="s">
        <v>14</v>
      </c>
      <c r="D2979" s="6" t="str">
        <f>"冯佳"</f>
        <v>冯佳</v>
      </c>
    </row>
    <row r="2980" spans="1:4" ht="30" customHeight="1">
      <c r="A2980" s="6">
        <v>2978</v>
      </c>
      <c r="B2980" s="6" t="str">
        <f>"508120230426120919141840"</f>
        <v>508120230426120919141840</v>
      </c>
      <c r="C2980" s="6" t="s">
        <v>14</v>
      </c>
      <c r="D2980" s="6" t="str">
        <f>"蔡文孟"</f>
        <v>蔡文孟</v>
      </c>
    </row>
    <row r="2981" spans="1:4" ht="30" customHeight="1">
      <c r="A2981" s="6">
        <v>2979</v>
      </c>
      <c r="B2981" s="6" t="str">
        <f>"508120230425111029141260"</f>
        <v>508120230425111029141260</v>
      </c>
      <c r="C2981" s="6" t="s">
        <v>14</v>
      </c>
      <c r="D2981" s="6" t="str">
        <f>"赵洋洋"</f>
        <v>赵洋洋</v>
      </c>
    </row>
    <row r="2982" spans="1:4" ht="30" customHeight="1">
      <c r="A2982" s="6">
        <v>2980</v>
      </c>
      <c r="B2982" s="6" t="str">
        <f>"508120230426212204142194"</f>
        <v>508120230426212204142194</v>
      </c>
      <c r="C2982" s="6" t="s">
        <v>14</v>
      </c>
      <c r="D2982" s="6" t="str">
        <f>"杨丰徽"</f>
        <v>杨丰徽</v>
      </c>
    </row>
    <row r="2983" spans="1:4" ht="30" customHeight="1">
      <c r="A2983" s="6">
        <v>2981</v>
      </c>
      <c r="B2983" s="6" t="str">
        <f>"508120230421152511138748"</f>
        <v>508120230421152511138748</v>
      </c>
      <c r="C2983" s="6" t="s">
        <v>15</v>
      </c>
      <c r="D2983" s="6" t="str">
        <f>"殷彬"</f>
        <v>殷彬</v>
      </c>
    </row>
    <row r="2984" spans="1:4" ht="30" customHeight="1">
      <c r="A2984" s="6">
        <v>2982</v>
      </c>
      <c r="B2984" s="6" t="str">
        <f>"508120230421152909138755"</f>
        <v>508120230421152909138755</v>
      </c>
      <c r="C2984" s="6" t="s">
        <v>15</v>
      </c>
      <c r="D2984" s="6" t="str">
        <f>"李冠宇"</f>
        <v>李冠宇</v>
      </c>
    </row>
    <row r="2985" spans="1:4" ht="30" customHeight="1">
      <c r="A2985" s="6">
        <v>2983</v>
      </c>
      <c r="B2985" s="6" t="str">
        <f>"508120230421160129138808"</f>
        <v>508120230421160129138808</v>
      </c>
      <c r="C2985" s="6" t="s">
        <v>15</v>
      </c>
      <c r="D2985" s="6" t="str">
        <f>"张瑞"</f>
        <v>张瑞</v>
      </c>
    </row>
    <row r="2986" spans="1:4" ht="30" customHeight="1">
      <c r="A2986" s="6">
        <v>2984</v>
      </c>
      <c r="B2986" s="6" t="str">
        <f>"508120230421150818138723"</f>
        <v>508120230421150818138723</v>
      </c>
      <c r="C2986" s="6" t="s">
        <v>15</v>
      </c>
      <c r="D2986" s="6" t="str">
        <f>"周贺翀"</f>
        <v>周贺翀</v>
      </c>
    </row>
    <row r="2987" spans="1:4" ht="30" customHeight="1">
      <c r="A2987" s="6">
        <v>2985</v>
      </c>
      <c r="B2987" s="6" t="str">
        <f>"508120230421172943138922"</f>
        <v>508120230421172943138922</v>
      </c>
      <c r="C2987" s="6" t="s">
        <v>15</v>
      </c>
      <c r="D2987" s="6" t="str">
        <f>"符传越"</f>
        <v>符传越</v>
      </c>
    </row>
    <row r="2988" spans="1:4" ht="30" customHeight="1">
      <c r="A2988" s="6">
        <v>2986</v>
      </c>
      <c r="B2988" s="6" t="str">
        <f>"508120230422095515139206"</f>
        <v>508120230422095515139206</v>
      </c>
      <c r="C2988" s="6" t="s">
        <v>15</v>
      </c>
      <c r="D2988" s="6" t="str">
        <f>"徐晨光"</f>
        <v>徐晨光</v>
      </c>
    </row>
    <row r="2989" spans="1:4" ht="30" customHeight="1">
      <c r="A2989" s="6">
        <v>2987</v>
      </c>
      <c r="B2989" s="6" t="str">
        <f>"508120230421120231138530"</f>
        <v>508120230421120231138530</v>
      </c>
      <c r="C2989" s="6" t="s">
        <v>15</v>
      </c>
      <c r="D2989" s="6" t="str">
        <f>"王道民"</f>
        <v>王道民</v>
      </c>
    </row>
    <row r="2990" spans="1:4" ht="30" customHeight="1">
      <c r="A2990" s="6">
        <v>2988</v>
      </c>
      <c r="B2990" s="6" t="str">
        <f>"508120230422183303139479"</f>
        <v>508120230422183303139479</v>
      </c>
      <c r="C2990" s="6" t="s">
        <v>15</v>
      </c>
      <c r="D2990" s="6" t="str">
        <f>"羊冠华"</f>
        <v>羊冠华</v>
      </c>
    </row>
    <row r="2991" spans="1:4" ht="30" customHeight="1">
      <c r="A2991" s="6">
        <v>2989</v>
      </c>
      <c r="B2991" s="6" t="str">
        <f>"508120230422114114139270"</f>
        <v>508120230422114114139270</v>
      </c>
      <c r="C2991" s="6" t="s">
        <v>15</v>
      </c>
      <c r="D2991" s="6" t="str">
        <f>"翁瑞华"</f>
        <v>翁瑞华</v>
      </c>
    </row>
    <row r="2992" spans="1:4" ht="30" customHeight="1">
      <c r="A2992" s="6">
        <v>2990</v>
      </c>
      <c r="B2992" s="6" t="str">
        <f>"508120230423020706139693"</f>
        <v>508120230423020706139693</v>
      </c>
      <c r="C2992" s="6" t="s">
        <v>15</v>
      </c>
      <c r="D2992" s="6" t="str">
        <f>"林囿延"</f>
        <v>林囿延</v>
      </c>
    </row>
    <row r="2993" spans="1:4" ht="30" customHeight="1">
      <c r="A2993" s="6">
        <v>2991</v>
      </c>
      <c r="B2993" s="6" t="str">
        <f>"508120230423101346139812"</f>
        <v>508120230423101346139812</v>
      </c>
      <c r="C2993" s="6" t="s">
        <v>15</v>
      </c>
      <c r="D2993" s="6" t="str">
        <f>"李扬"</f>
        <v>李扬</v>
      </c>
    </row>
    <row r="2994" spans="1:4" ht="30" customHeight="1">
      <c r="A2994" s="6">
        <v>2992</v>
      </c>
      <c r="B2994" s="6" t="str">
        <f>"508120230421215352139089"</f>
        <v>508120230421215352139089</v>
      </c>
      <c r="C2994" s="6" t="s">
        <v>15</v>
      </c>
      <c r="D2994" s="6" t="str">
        <f>"王军"</f>
        <v>王军</v>
      </c>
    </row>
    <row r="2995" spans="1:4" ht="30" customHeight="1">
      <c r="A2995" s="6">
        <v>2993</v>
      </c>
      <c r="B2995" s="6" t="str">
        <f>"508120230423161832140091"</f>
        <v>508120230423161832140091</v>
      </c>
      <c r="C2995" s="6" t="s">
        <v>15</v>
      </c>
      <c r="D2995" s="6" t="str">
        <f>"林于清"</f>
        <v>林于清</v>
      </c>
    </row>
    <row r="2996" spans="1:4" ht="30" customHeight="1">
      <c r="A2996" s="6">
        <v>2994</v>
      </c>
      <c r="B2996" s="6" t="str">
        <f>"508120230423155611140070"</f>
        <v>508120230423155611140070</v>
      </c>
      <c r="C2996" s="6" t="s">
        <v>15</v>
      </c>
      <c r="D2996" s="6" t="str">
        <f>"冷耀华"</f>
        <v>冷耀华</v>
      </c>
    </row>
    <row r="2997" spans="1:4" ht="30" customHeight="1">
      <c r="A2997" s="6">
        <v>2995</v>
      </c>
      <c r="B2997" s="6" t="str">
        <f>"508120230423182349140192"</f>
        <v>508120230423182349140192</v>
      </c>
      <c r="C2997" s="6" t="s">
        <v>15</v>
      </c>
      <c r="D2997" s="6" t="str">
        <f>"陈泉"</f>
        <v>陈泉</v>
      </c>
    </row>
    <row r="2998" spans="1:4" ht="30" customHeight="1">
      <c r="A2998" s="6">
        <v>2996</v>
      </c>
      <c r="B2998" s="6" t="str">
        <f>"508120230423231843140412"</f>
        <v>508120230423231843140412</v>
      </c>
      <c r="C2998" s="6" t="s">
        <v>15</v>
      </c>
      <c r="D2998" s="6" t="str">
        <f>"庞治星"</f>
        <v>庞治星</v>
      </c>
    </row>
    <row r="2999" spans="1:4" ht="30" customHeight="1">
      <c r="A2999" s="6">
        <v>2997</v>
      </c>
      <c r="B2999" s="6" t="str">
        <f>"508120230422081656139165"</f>
        <v>508120230422081656139165</v>
      </c>
      <c r="C2999" s="6" t="s">
        <v>15</v>
      </c>
      <c r="D2999" s="6" t="str">
        <f>"汪用达"</f>
        <v>汪用达</v>
      </c>
    </row>
    <row r="3000" spans="1:4" ht="30" customHeight="1">
      <c r="A3000" s="6">
        <v>2998</v>
      </c>
      <c r="B3000" s="6" t="str">
        <f>"508120230424093157140513"</f>
        <v>508120230424093157140513</v>
      </c>
      <c r="C3000" s="6" t="s">
        <v>15</v>
      </c>
      <c r="D3000" s="6" t="str">
        <f>"张文宇"</f>
        <v>张文宇</v>
      </c>
    </row>
    <row r="3001" spans="1:4" ht="30" customHeight="1">
      <c r="A3001" s="6">
        <v>2999</v>
      </c>
      <c r="B3001" s="6" t="str">
        <f>"508120230421183133138979"</f>
        <v>508120230421183133138979</v>
      </c>
      <c r="C3001" s="6" t="s">
        <v>15</v>
      </c>
      <c r="D3001" s="6" t="str">
        <f>"王小浪"</f>
        <v>王小浪</v>
      </c>
    </row>
    <row r="3002" spans="1:4" ht="30" customHeight="1">
      <c r="A3002" s="6">
        <v>3000</v>
      </c>
      <c r="B3002" s="6" t="str">
        <f>"508120230424202722140991"</f>
        <v>508120230424202722140991</v>
      </c>
      <c r="C3002" s="6" t="s">
        <v>15</v>
      </c>
      <c r="D3002" s="6" t="str">
        <f>"黄春梅"</f>
        <v>黄春梅</v>
      </c>
    </row>
    <row r="3003" spans="1:4" ht="30" customHeight="1">
      <c r="A3003" s="6">
        <v>3001</v>
      </c>
      <c r="B3003" s="6" t="str">
        <f>"508120230423210044140295"</f>
        <v>508120230423210044140295</v>
      </c>
      <c r="C3003" s="6" t="s">
        <v>15</v>
      </c>
      <c r="D3003" s="6" t="str">
        <f>"张书皓"</f>
        <v>张书皓</v>
      </c>
    </row>
    <row r="3004" spans="1:4" ht="30" customHeight="1">
      <c r="A3004" s="6">
        <v>3002</v>
      </c>
      <c r="B3004" s="6" t="str">
        <f>"508120230421160734138820"</f>
        <v>508120230421160734138820</v>
      </c>
      <c r="C3004" s="6" t="s">
        <v>15</v>
      </c>
      <c r="D3004" s="6" t="str">
        <f>"冯恋娇"</f>
        <v>冯恋娇</v>
      </c>
    </row>
    <row r="3005" spans="1:4" ht="30" customHeight="1">
      <c r="A3005" s="6">
        <v>3003</v>
      </c>
      <c r="B3005" s="6" t="str">
        <f>"508120230425123636141316"</f>
        <v>508120230425123636141316</v>
      </c>
      <c r="C3005" s="6" t="s">
        <v>15</v>
      </c>
      <c r="D3005" s="6" t="str">
        <f>"周小茹"</f>
        <v>周小茹</v>
      </c>
    </row>
    <row r="3006" spans="1:4" ht="30" customHeight="1">
      <c r="A3006" s="6">
        <v>3004</v>
      </c>
      <c r="B3006" s="6" t="str">
        <f>"508120230425193327141530"</f>
        <v>508120230425193327141530</v>
      </c>
      <c r="C3006" s="6" t="s">
        <v>15</v>
      </c>
      <c r="D3006" s="6" t="str">
        <f>"邱勋云"</f>
        <v>邱勋云</v>
      </c>
    </row>
    <row r="3007" spans="1:4" ht="30" customHeight="1">
      <c r="A3007" s="6">
        <v>3005</v>
      </c>
      <c r="B3007" s="6" t="str">
        <f>"508120230422134201139345"</f>
        <v>508120230422134201139345</v>
      </c>
      <c r="C3007" s="6" t="s">
        <v>15</v>
      </c>
      <c r="D3007" s="6" t="str">
        <f>"杨远醇"</f>
        <v>杨远醇</v>
      </c>
    </row>
    <row r="3008" spans="1:4" ht="30" customHeight="1">
      <c r="A3008" s="6">
        <v>3006</v>
      </c>
      <c r="B3008" s="6" t="str">
        <f>"508120230421114426138502"</f>
        <v>508120230421114426138502</v>
      </c>
      <c r="C3008" s="6" t="s">
        <v>15</v>
      </c>
      <c r="D3008" s="6" t="str">
        <f>"林士钧"</f>
        <v>林士钧</v>
      </c>
    </row>
    <row r="3009" spans="1:4" ht="30" customHeight="1">
      <c r="A3009" s="6">
        <v>3007</v>
      </c>
      <c r="B3009" s="6" t="str">
        <f>"508120230426091615141728"</f>
        <v>508120230426091615141728</v>
      </c>
      <c r="C3009" s="6" t="s">
        <v>15</v>
      </c>
      <c r="D3009" s="6" t="str">
        <f>"黄钦俊"</f>
        <v>黄钦俊</v>
      </c>
    </row>
    <row r="3010" spans="1:4" ht="30" customHeight="1">
      <c r="A3010" s="6">
        <v>3008</v>
      </c>
      <c r="B3010" s="6" t="str">
        <f>"508120230426012658141694"</f>
        <v>508120230426012658141694</v>
      </c>
      <c r="C3010" s="6" t="s">
        <v>15</v>
      </c>
      <c r="D3010" s="6" t="str">
        <f>"陈金女"</f>
        <v>陈金女</v>
      </c>
    </row>
    <row r="3011" spans="1:4" ht="30" customHeight="1">
      <c r="A3011" s="6">
        <v>3009</v>
      </c>
      <c r="B3011" s="6" t="str">
        <f>"508120230421154426138785"</f>
        <v>508120230421154426138785</v>
      </c>
      <c r="C3011" s="6" t="s">
        <v>15</v>
      </c>
      <c r="D3011" s="6" t="str">
        <f>"张运韬"</f>
        <v>张运韬</v>
      </c>
    </row>
    <row r="3012" spans="1:4" ht="30" customHeight="1">
      <c r="A3012" s="6">
        <v>3010</v>
      </c>
      <c r="B3012" s="6" t="str">
        <f>"508120230426190750142107"</f>
        <v>508120230426190750142107</v>
      </c>
      <c r="C3012" s="6" t="s">
        <v>15</v>
      </c>
      <c r="D3012" s="6" t="str">
        <f>"陶林杰"</f>
        <v>陶林杰</v>
      </c>
    </row>
    <row r="3013" spans="1:4" ht="30" customHeight="1">
      <c r="A3013" s="6">
        <v>3011</v>
      </c>
      <c r="B3013" s="6" t="str">
        <f>"508120230426203339142163"</f>
        <v>508120230426203339142163</v>
      </c>
      <c r="C3013" s="6" t="s">
        <v>15</v>
      </c>
      <c r="D3013" s="6" t="str">
        <f>"赵世权"</f>
        <v>赵世权</v>
      </c>
    </row>
    <row r="3014" spans="1:4" ht="30" customHeight="1">
      <c r="A3014" s="6">
        <v>3012</v>
      </c>
      <c r="B3014" s="6" t="str">
        <f>"508120230426151457141921"</f>
        <v>508120230426151457141921</v>
      </c>
      <c r="C3014" s="6" t="s">
        <v>15</v>
      </c>
      <c r="D3014" s="6" t="str">
        <f>"刘伟"</f>
        <v>刘伟</v>
      </c>
    </row>
    <row r="3015" spans="1:4" ht="30" customHeight="1">
      <c r="A3015" s="6">
        <v>3013</v>
      </c>
      <c r="B3015" s="6" t="str">
        <f>"508120230426230649142288"</f>
        <v>508120230426230649142288</v>
      </c>
      <c r="C3015" s="6" t="s">
        <v>15</v>
      </c>
      <c r="D3015" s="6" t="str">
        <f>"王嘉性"</f>
        <v>王嘉性</v>
      </c>
    </row>
    <row r="3016" spans="1:4" ht="30" customHeight="1">
      <c r="A3016" s="6">
        <v>3014</v>
      </c>
      <c r="B3016" s="6" t="str">
        <f>"508120230426235850142322"</f>
        <v>508120230426235850142322</v>
      </c>
      <c r="C3016" s="6" t="s">
        <v>15</v>
      </c>
      <c r="D3016" s="6" t="str">
        <f>" 李信"</f>
        <v> 李信</v>
      </c>
    </row>
    <row r="3017" spans="1:4" ht="30" customHeight="1">
      <c r="A3017" s="6">
        <v>3015</v>
      </c>
      <c r="B3017" s="6" t="str">
        <f>"508120230427094631142463"</f>
        <v>508120230427094631142463</v>
      </c>
      <c r="C3017" s="6" t="s">
        <v>15</v>
      </c>
      <c r="D3017" s="6" t="str">
        <f>"黄涛"</f>
        <v>黄涛</v>
      </c>
    </row>
    <row r="3018" spans="1:4" ht="30" customHeight="1">
      <c r="A3018" s="6">
        <v>3016</v>
      </c>
      <c r="B3018" s="6" t="str">
        <f>"508120230421090355138095"</f>
        <v>508120230421090355138095</v>
      </c>
      <c r="C3018" s="6" t="s">
        <v>16</v>
      </c>
      <c r="D3018" s="6" t="str">
        <f>"郭健宏"</f>
        <v>郭健宏</v>
      </c>
    </row>
    <row r="3019" spans="1:4" ht="30" customHeight="1">
      <c r="A3019" s="6">
        <v>3017</v>
      </c>
      <c r="B3019" s="6" t="str">
        <f>"508120230421090255138089"</f>
        <v>508120230421090255138089</v>
      </c>
      <c r="C3019" s="6" t="s">
        <v>16</v>
      </c>
      <c r="D3019" s="6" t="str">
        <f>"钟同鹏"</f>
        <v>钟同鹏</v>
      </c>
    </row>
    <row r="3020" spans="1:4" ht="30" customHeight="1">
      <c r="A3020" s="6">
        <v>3018</v>
      </c>
      <c r="B3020" s="6" t="str">
        <f>"508120230421093917138207"</f>
        <v>508120230421093917138207</v>
      </c>
      <c r="C3020" s="6" t="s">
        <v>16</v>
      </c>
      <c r="D3020" s="6" t="str">
        <f>"欧永令"</f>
        <v>欧永令</v>
      </c>
    </row>
    <row r="3021" spans="1:4" ht="30" customHeight="1">
      <c r="A3021" s="6">
        <v>3019</v>
      </c>
      <c r="B3021" s="6" t="str">
        <f>"508120230421095546138258"</f>
        <v>508120230421095546138258</v>
      </c>
      <c r="C3021" s="6" t="s">
        <v>16</v>
      </c>
      <c r="D3021" s="6" t="str">
        <f>"李秋秋"</f>
        <v>李秋秋</v>
      </c>
    </row>
    <row r="3022" spans="1:4" ht="30" customHeight="1">
      <c r="A3022" s="6">
        <v>3020</v>
      </c>
      <c r="B3022" s="6" t="str">
        <f>"508120230421090946138118"</f>
        <v>508120230421090946138118</v>
      </c>
      <c r="C3022" s="6" t="s">
        <v>16</v>
      </c>
      <c r="D3022" s="6" t="str">
        <f>"朱泳霏"</f>
        <v>朱泳霏</v>
      </c>
    </row>
    <row r="3023" spans="1:4" ht="30" customHeight="1">
      <c r="A3023" s="6">
        <v>3021</v>
      </c>
      <c r="B3023" s="6" t="str">
        <f>"508120230421101332138300"</f>
        <v>508120230421101332138300</v>
      </c>
      <c r="C3023" s="6" t="s">
        <v>16</v>
      </c>
      <c r="D3023" s="6" t="str">
        <f>"刘方敏"</f>
        <v>刘方敏</v>
      </c>
    </row>
    <row r="3024" spans="1:4" ht="30" customHeight="1">
      <c r="A3024" s="6">
        <v>3022</v>
      </c>
      <c r="B3024" s="6" t="str">
        <f>"508120230421093051138183"</f>
        <v>508120230421093051138183</v>
      </c>
      <c r="C3024" s="6" t="s">
        <v>16</v>
      </c>
      <c r="D3024" s="6" t="str">
        <f>"张彤莉"</f>
        <v>张彤莉</v>
      </c>
    </row>
    <row r="3025" spans="1:4" ht="30" customHeight="1">
      <c r="A3025" s="6">
        <v>3023</v>
      </c>
      <c r="B3025" s="6" t="str">
        <f>"508120230421095505138256"</f>
        <v>508120230421095505138256</v>
      </c>
      <c r="C3025" s="6" t="s">
        <v>16</v>
      </c>
      <c r="D3025" s="6" t="str">
        <f>"符东伦"</f>
        <v>符东伦</v>
      </c>
    </row>
    <row r="3026" spans="1:4" ht="30" customHeight="1">
      <c r="A3026" s="6">
        <v>3024</v>
      </c>
      <c r="B3026" s="6" t="str">
        <f>"508120230421095357138253"</f>
        <v>508120230421095357138253</v>
      </c>
      <c r="C3026" s="6" t="s">
        <v>16</v>
      </c>
      <c r="D3026" s="6" t="str">
        <f>"熊丹伟"</f>
        <v>熊丹伟</v>
      </c>
    </row>
    <row r="3027" spans="1:4" ht="30" customHeight="1">
      <c r="A3027" s="6">
        <v>3025</v>
      </c>
      <c r="B3027" s="6" t="str">
        <f>"508120230421102414138329"</f>
        <v>508120230421102414138329</v>
      </c>
      <c r="C3027" s="6" t="s">
        <v>16</v>
      </c>
      <c r="D3027" s="6" t="str">
        <f>"周明泊"</f>
        <v>周明泊</v>
      </c>
    </row>
    <row r="3028" spans="1:4" ht="30" customHeight="1">
      <c r="A3028" s="6">
        <v>3026</v>
      </c>
      <c r="B3028" s="6" t="str">
        <f>"508120230421100102138275"</f>
        <v>508120230421100102138275</v>
      </c>
      <c r="C3028" s="6" t="s">
        <v>16</v>
      </c>
      <c r="D3028" s="6" t="str">
        <f>"何远兴"</f>
        <v>何远兴</v>
      </c>
    </row>
    <row r="3029" spans="1:4" ht="30" customHeight="1">
      <c r="A3029" s="6">
        <v>3027</v>
      </c>
      <c r="B3029" s="6" t="str">
        <f>"508120230421104855138394"</f>
        <v>508120230421104855138394</v>
      </c>
      <c r="C3029" s="6" t="s">
        <v>16</v>
      </c>
      <c r="D3029" s="6" t="str">
        <f>"徐蔓菲"</f>
        <v>徐蔓菲</v>
      </c>
    </row>
    <row r="3030" spans="1:4" ht="30" customHeight="1">
      <c r="A3030" s="6">
        <v>3028</v>
      </c>
      <c r="B3030" s="6" t="str">
        <f>"508120230421102155138320"</f>
        <v>508120230421102155138320</v>
      </c>
      <c r="C3030" s="6" t="s">
        <v>16</v>
      </c>
      <c r="D3030" s="6" t="str">
        <f>"李家锋"</f>
        <v>李家锋</v>
      </c>
    </row>
    <row r="3031" spans="1:4" ht="30" customHeight="1">
      <c r="A3031" s="6">
        <v>3029</v>
      </c>
      <c r="B3031" s="6" t="str">
        <f>"508120230421091606138141"</f>
        <v>508120230421091606138141</v>
      </c>
      <c r="C3031" s="6" t="s">
        <v>16</v>
      </c>
      <c r="D3031" s="6" t="str">
        <f>"郭泽瑜"</f>
        <v>郭泽瑜</v>
      </c>
    </row>
    <row r="3032" spans="1:4" ht="30" customHeight="1">
      <c r="A3032" s="6">
        <v>3030</v>
      </c>
      <c r="B3032" s="6" t="str">
        <f>"508120230421110905138435"</f>
        <v>508120230421110905138435</v>
      </c>
      <c r="C3032" s="6" t="s">
        <v>16</v>
      </c>
      <c r="D3032" s="6" t="str">
        <f>"吴艾薇"</f>
        <v>吴艾薇</v>
      </c>
    </row>
    <row r="3033" spans="1:4" ht="30" customHeight="1">
      <c r="A3033" s="6">
        <v>3031</v>
      </c>
      <c r="B3033" s="6" t="str">
        <f>"508120230421101718138307"</f>
        <v>508120230421101718138307</v>
      </c>
      <c r="C3033" s="6" t="s">
        <v>16</v>
      </c>
      <c r="D3033" s="6" t="str">
        <f>"曾妃"</f>
        <v>曾妃</v>
      </c>
    </row>
    <row r="3034" spans="1:4" ht="30" customHeight="1">
      <c r="A3034" s="6">
        <v>3032</v>
      </c>
      <c r="B3034" s="6" t="str">
        <f>"508120230421113833138486"</f>
        <v>508120230421113833138486</v>
      </c>
      <c r="C3034" s="6" t="s">
        <v>16</v>
      </c>
      <c r="D3034" s="6" t="str">
        <f>"高中丽"</f>
        <v>高中丽</v>
      </c>
    </row>
    <row r="3035" spans="1:4" ht="30" customHeight="1">
      <c r="A3035" s="6">
        <v>3033</v>
      </c>
      <c r="B3035" s="6" t="str">
        <f>"508120230421114353138498"</f>
        <v>508120230421114353138498</v>
      </c>
      <c r="C3035" s="6" t="s">
        <v>16</v>
      </c>
      <c r="D3035" s="6" t="str">
        <f>"孙婧倩"</f>
        <v>孙婧倩</v>
      </c>
    </row>
    <row r="3036" spans="1:4" ht="30" customHeight="1">
      <c r="A3036" s="6">
        <v>3034</v>
      </c>
      <c r="B3036" s="6" t="str">
        <f>"508120230421110729138429"</f>
        <v>508120230421110729138429</v>
      </c>
      <c r="C3036" s="6" t="s">
        <v>16</v>
      </c>
      <c r="D3036" s="6" t="str">
        <f>"陈玮俊"</f>
        <v>陈玮俊</v>
      </c>
    </row>
    <row r="3037" spans="1:4" ht="30" customHeight="1">
      <c r="A3037" s="6">
        <v>3035</v>
      </c>
      <c r="B3037" s="6" t="str">
        <f>"508120230421124628138583"</f>
        <v>508120230421124628138583</v>
      </c>
      <c r="C3037" s="6" t="s">
        <v>16</v>
      </c>
      <c r="D3037" s="6" t="str">
        <f>"羊裕祥"</f>
        <v>羊裕祥</v>
      </c>
    </row>
    <row r="3038" spans="1:4" ht="30" customHeight="1">
      <c r="A3038" s="6">
        <v>3036</v>
      </c>
      <c r="B3038" s="6" t="str">
        <f>"508120230421123805138577"</f>
        <v>508120230421123805138577</v>
      </c>
      <c r="C3038" s="6" t="s">
        <v>16</v>
      </c>
      <c r="D3038" s="6" t="str">
        <f>"王乙媛"</f>
        <v>王乙媛</v>
      </c>
    </row>
    <row r="3039" spans="1:4" ht="30" customHeight="1">
      <c r="A3039" s="6">
        <v>3037</v>
      </c>
      <c r="B3039" s="6" t="str">
        <f>"508120230421121057138537"</f>
        <v>508120230421121057138537</v>
      </c>
      <c r="C3039" s="6" t="s">
        <v>16</v>
      </c>
      <c r="D3039" s="6" t="str">
        <f>"陈兴兰"</f>
        <v>陈兴兰</v>
      </c>
    </row>
    <row r="3040" spans="1:4" ht="30" customHeight="1">
      <c r="A3040" s="6">
        <v>3038</v>
      </c>
      <c r="B3040" s="6" t="str">
        <f>"508120230421141233138648"</f>
        <v>508120230421141233138648</v>
      </c>
      <c r="C3040" s="6" t="s">
        <v>16</v>
      </c>
      <c r="D3040" s="6" t="str">
        <f>"李欣欣"</f>
        <v>李欣欣</v>
      </c>
    </row>
    <row r="3041" spans="1:4" ht="30" customHeight="1">
      <c r="A3041" s="6">
        <v>3039</v>
      </c>
      <c r="B3041" s="6" t="str">
        <f>"508120230421114952138508"</f>
        <v>508120230421114952138508</v>
      </c>
      <c r="C3041" s="6" t="s">
        <v>16</v>
      </c>
      <c r="D3041" s="6" t="str">
        <f>"邓育慧"</f>
        <v>邓育慧</v>
      </c>
    </row>
    <row r="3042" spans="1:4" ht="30" customHeight="1">
      <c r="A3042" s="6">
        <v>3040</v>
      </c>
      <c r="B3042" s="6" t="str">
        <f>"508120230421144709138684"</f>
        <v>508120230421144709138684</v>
      </c>
      <c r="C3042" s="6" t="s">
        <v>16</v>
      </c>
      <c r="D3042" s="6" t="str">
        <f>"黄钟秦"</f>
        <v>黄钟秦</v>
      </c>
    </row>
    <row r="3043" spans="1:4" ht="30" customHeight="1">
      <c r="A3043" s="6">
        <v>3041</v>
      </c>
      <c r="B3043" s="6" t="str">
        <f>"508120230421105316138404"</f>
        <v>508120230421105316138404</v>
      </c>
      <c r="C3043" s="6" t="s">
        <v>16</v>
      </c>
      <c r="D3043" s="6" t="str">
        <f>"庄玉娇"</f>
        <v>庄玉娇</v>
      </c>
    </row>
    <row r="3044" spans="1:4" ht="30" customHeight="1">
      <c r="A3044" s="6">
        <v>3042</v>
      </c>
      <c r="B3044" s="6" t="str">
        <f>"508120230421145456138694"</f>
        <v>508120230421145456138694</v>
      </c>
      <c r="C3044" s="6" t="s">
        <v>16</v>
      </c>
      <c r="D3044" s="6" t="str">
        <f>"谭红转"</f>
        <v>谭红转</v>
      </c>
    </row>
    <row r="3045" spans="1:4" ht="30" customHeight="1">
      <c r="A3045" s="6">
        <v>3043</v>
      </c>
      <c r="B3045" s="6" t="str">
        <f>"508120230421104145138377"</f>
        <v>508120230421104145138377</v>
      </c>
      <c r="C3045" s="6" t="s">
        <v>16</v>
      </c>
      <c r="D3045" s="6" t="str">
        <f>"徐世耀"</f>
        <v>徐世耀</v>
      </c>
    </row>
    <row r="3046" spans="1:4" ht="30" customHeight="1">
      <c r="A3046" s="6">
        <v>3044</v>
      </c>
      <c r="B3046" s="6" t="str">
        <f>"508120230421151314138734"</f>
        <v>508120230421151314138734</v>
      </c>
      <c r="C3046" s="6" t="s">
        <v>16</v>
      </c>
      <c r="D3046" s="6" t="str">
        <f>"唐佳玲"</f>
        <v>唐佳玲</v>
      </c>
    </row>
    <row r="3047" spans="1:4" ht="30" customHeight="1">
      <c r="A3047" s="6">
        <v>3045</v>
      </c>
      <c r="B3047" s="6" t="str">
        <f>"508120230421144639138682"</f>
        <v>508120230421144639138682</v>
      </c>
      <c r="C3047" s="6" t="s">
        <v>16</v>
      </c>
      <c r="D3047" s="6" t="str">
        <f>"陈乙兴"</f>
        <v>陈乙兴</v>
      </c>
    </row>
    <row r="3048" spans="1:4" ht="30" customHeight="1">
      <c r="A3048" s="6">
        <v>3046</v>
      </c>
      <c r="B3048" s="6" t="str">
        <f>"508120230421152401138746"</f>
        <v>508120230421152401138746</v>
      </c>
      <c r="C3048" s="6" t="s">
        <v>16</v>
      </c>
      <c r="D3048" s="6" t="str">
        <f>"符秋菊"</f>
        <v>符秋菊</v>
      </c>
    </row>
    <row r="3049" spans="1:4" ht="30" customHeight="1">
      <c r="A3049" s="6">
        <v>3047</v>
      </c>
      <c r="B3049" s="6" t="str">
        <f>"508120230421095958138272"</f>
        <v>508120230421095958138272</v>
      </c>
      <c r="C3049" s="6" t="s">
        <v>16</v>
      </c>
      <c r="D3049" s="6" t="str">
        <f>"符洺睿"</f>
        <v>符洺睿</v>
      </c>
    </row>
    <row r="3050" spans="1:4" ht="30" customHeight="1">
      <c r="A3050" s="6">
        <v>3048</v>
      </c>
      <c r="B3050" s="6" t="str">
        <f>"508120230421154920138791"</f>
        <v>508120230421154920138791</v>
      </c>
      <c r="C3050" s="6" t="s">
        <v>16</v>
      </c>
      <c r="D3050" s="6" t="str">
        <f>"龙小媛"</f>
        <v>龙小媛</v>
      </c>
    </row>
    <row r="3051" spans="1:4" ht="30" customHeight="1">
      <c r="A3051" s="6">
        <v>3049</v>
      </c>
      <c r="B3051" s="6" t="str">
        <f>"508120230421153122138762"</f>
        <v>508120230421153122138762</v>
      </c>
      <c r="C3051" s="6" t="s">
        <v>16</v>
      </c>
      <c r="D3051" s="6" t="str">
        <f>"李林"</f>
        <v>李林</v>
      </c>
    </row>
    <row r="3052" spans="1:4" ht="30" customHeight="1">
      <c r="A3052" s="6">
        <v>3050</v>
      </c>
      <c r="B3052" s="6" t="str">
        <f>"508120230421155552138802"</f>
        <v>508120230421155552138802</v>
      </c>
      <c r="C3052" s="6" t="s">
        <v>16</v>
      </c>
      <c r="D3052" s="6" t="str">
        <f>"郑玉风"</f>
        <v>郑玉风</v>
      </c>
    </row>
    <row r="3053" spans="1:4" ht="30" customHeight="1">
      <c r="A3053" s="6">
        <v>3051</v>
      </c>
      <c r="B3053" s="6" t="str">
        <f>"508120230421150220138710"</f>
        <v>508120230421150220138710</v>
      </c>
      <c r="C3053" s="6" t="s">
        <v>16</v>
      </c>
      <c r="D3053" s="6" t="str">
        <f>"周可可"</f>
        <v>周可可</v>
      </c>
    </row>
    <row r="3054" spans="1:4" ht="30" customHeight="1">
      <c r="A3054" s="6">
        <v>3052</v>
      </c>
      <c r="B3054" s="6" t="str">
        <f>"508120230421115651138519"</f>
        <v>508120230421115651138519</v>
      </c>
      <c r="C3054" s="6" t="s">
        <v>16</v>
      </c>
      <c r="D3054" s="6" t="str">
        <f>"傅碧夏"</f>
        <v>傅碧夏</v>
      </c>
    </row>
    <row r="3055" spans="1:4" ht="30" customHeight="1">
      <c r="A3055" s="6">
        <v>3053</v>
      </c>
      <c r="B3055" s="6" t="str">
        <f>"508120230421165415138881"</f>
        <v>508120230421165415138881</v>
      </c>
      <c r="C3055" s="6" t="s">
        <v>16</v>
      </c>
      <c r="D3055" s="6" t="str">
        <f>"文求信"</f>
        <v>文求信</v>
      </c>
    </row>
    <row r="3056" spans="1:4" ht="30" customHeight="1">
      <c r="A3056" s="6">
        <v>3054</v>
      </c>
      <c r="B3056" s="6" t="str">
        <f>"508120230421170153138888"</f>
        <v>508120230421170153138888</v>
      </c>
      <c r="C3056" s="6" t="s">
        <v>16</v>
      </c>
      <c r="D3056" s="6" t="str">
        <f>"王娜霞"</f>
        <v>王娜霞</v>
      </c>
    </row>
    <row r="3057" spans="1:4" ht="30" customHeight="1">
      <c r="A3057" s="6">
        <v>3055</v>
      </c>
      <c r="B3057" s="6" t="str">
        <f>"508120230421103914138370"</f>
        <v>508120230421103914138370</v>
      </c>
      <c r="C3057" s="6" t="s">
        <v>16</v>
      </c>
      <c r="D3057" s="6" t="str">
        <f>"周凌聿"</f>
        <v>周凌聿</v>
      </c>
    </row>
    <row r="3058" spans="1:4" ht="30" customHeight="1">
      <c r="A3058" s="6">
        <v>3056</v>
      </c>
      <c r="B3058" s="6" t="str">
        <f>"508120230421121752138548"</f>
        <v>508120230421121752138548</v>
      </c>
      <c r="C3058" s="6" t="s">
        <v>16</v>
      </c>
      <c r="D3058" s="6" t="str">
        <f>"李东明"</f>
        <v>李东明</v>
      </c>
    </row>
    <row r="3059" spans="1:4" ht="30" customHeight="1">
      <c r="A3059" s="6">
        <v>3057</v>
      </c>
      <c r="B3059" s="6" t="str">
        <f>"508120230421172252138916"</f>
        <v>508120230421172252138916</v>
      </c>
      <c r="C3059" s="6" t="s">
        <v>16</v>
      </c>
      <c r="D3059" s="6" t="str">
        <f>"苏世专"</f>
        <v>苏世专</v>
      </c>
    </row>
    <row r="3060" spans="1:4" ht="30" customHeight="1">
      <c r="A3060" s="6">
        <v>3058</v>
      </c>
      <c r="B3060" s="6" t="str">
        <f>"508120230421175528138951"</f>
        <v>508120230421175528138951</v>
      </c>
      <c r="C3060" s="6" t="s">
        <v>16</v>
      </c>
      <c r="D3060" s="6" t="str">
        <f>"曾联妹"</f>
        <v>曾联妹</v>
      </c>
    </row>
    <row r="3061" spans="1:4" ht="30" customHeight="1">
      <c r="A3061" s="6">
        <v>3059</v>
      </c>
      <c r="B3061" s="6" t="str">
        <f>"508120230421190012138998"</f>
        <v>508120230421190012138998</v>
      </c>
      <c r="C3061" s="6" t="s">
        <v>16</v>
      </c>
      <c r="D3061" s="6" t="str">
        <f>"尹再源"</f>
        <v>尹再源</v>
      </c>
    </row>
    <row r="3062" spans="1:4" ht="30" customHeight="1">
      <c r="A3062" s="6">
        <v>3060</v>
      </c>
      <c r="B3062" s="6" t="str">
        <f>"508120230421194145139020"</f>
        <v>508120230421194145139020</v>
      </c>
      <c r="C3062" s="6" t="s">
        <v>16</v>
      </c>
      <c r="D3062" s="6" t="str">
        <f>"袁美冲"</f>
        <v>袁美冲</v>
      </c>
    </row>
    <row r="3063" spans="1:4" ht="30" customHeight="1">
      <c r="A3063" s="6">
        <v>3061</v>
      </c>
      <c r="B3063" s="6" t="str">
        <f>"508120230421142130138654"</f>
        <v>508120230421142130138654</v>
      </c>
      <c r="C3063" s="6" t="s">
        <v>16</v>
      </c>
      <c r="D3063" s="6" t="str">
        <f>"符妹"</f>
        <v>符妹</v>
      </c>
    </row>
    <row r="3064" spans="1:4" ht="30" customHeight="1">
      <c r="A3064" s="6">
        <v>3062</v>
      </c>
      <c r="B3064" s="6" t="str">
        <f>"508120230421153009138760"</f>
        <v>508120230421153009138760</v>
      </c>
      <c r="C3064" s="6" t="s">
        <v>16</v>
      </c>
      <c r="D3064" s="6" t="str">
        <f>"陈玺任"</f>
        <v>陈玺任</v>
      </c>
    </row>
    <row r="3065" spans="1:4" ht="30" customHeight="1">
      <c r="A3065" s="6">
        <v>3063</v>
      </c>
      <c r="B3065" s="6" t="str">
        <f>"508120230421125845138592"</f>
        <v>508120230421125845138592</v>
      </c>
      <c r="C3065" s="6" t="s">
        <v>16</v>
      </c>
      <c r="D3065" s="6" t="str">
        <f>"吴茜茜"</f>
        <v>吴茜茜</v>
      </c>
    </row>
    <row r="3066" spans="1:4" ht="30" customHeight="1">
      <c r="A3066" s="6">
        <v>3064</v>
      </c>
      <c r="B3066" s="6" t="str">
        <f>"508120230421195658139032"</f>
        <v>508120230421195658139032</v>
      </c>
      <c r="C3066" s="6" t="s">
        <v>16</v>
      </c>
      <c r="D3066" s="6" t="str">
        <f>"陈筱"</f>
        <v>陈筱</v>
      </c>
    </row>
    <row r="3067" spans="1:4" ht="30" customHeight="1">
      <c r="A3067" s="6">
        <v>3065</v>
      </c>
      <c r="B3067" s="6" t="str">
        <f>"508120230421210306139068"</f>
        <v>508120230421210306139068</v>
      </c>
      <c r="C3067" s="6" t="s">
        <v>16</v>
      </c>
      <c r="D3067" s="6" t="str">
        <f>"卢开堃"</f>
        <v>卢开堃</v>
      </c>
    </row>
    <row r="3068" spans="1:4" ht="30" customHeight="1">
      <c r="A3068" s="6">
        <v>3066</v>
      </c>
      <c r="B3068" s="6" t="str">
        <f>"508120230421103638138364"</f>
        <v>508120230421103638138364</v>
      </c>
      <c r="C3068" s="6" t="s">
        <v>16</v>
      </c>
      <c r="D3068" s="6" t="str">
        <f>"李效迎"</f>
        <v>李效迎</v>
      </c>
    </row>
    <row r="3069" spans="1:4" ht="30" customHeight="1">
      <c r="A3069" s="6">
        <v>3067</v>
      </c>
      <c r="B3069" s="6" t="str">
        <f>"508120230421204440139060"</f>
        <v>508120230421204440139060</v>
      </c>
      <c r="C3069" s="6" t="s">
        <v>16</v>
      </c>
      <c r="D3069" s="6" t="str">
        <f>"陈莎冰"</f>
        <v>陈莎冰</v>
      </c>
    </row>
    <row r="3070" spans="1:4" ht="30" customHeight="1">
      <c r="A3070" s="6">
        <v>3068</v>
      </c>
      <c r="B3070" s="6" t="str">
        <f>"508120230421161709138836"</f>
        <v>508120230421161709138836</v>
      </c>
      <c r="C3070" s="6" t="s">
        <v>16</v>
      </c>
      <c r="D3070" s="6" t="str">
        <f>"曹楠"</f>
        <v>曹楠</v>
      </c>
    </row>
    <row r="3071" spans="1:4" ht="30" customHeight="1">
      <c r="A3071" s="6">
        <v>3069</v>
      </c>
      <c r="B3071" s="6" t="str">
        <f>"508120230421230043139122"</f>
        <v>508120230421230043139122</v>
      </c>
      <c r="C3071" s="6" t="s">
        <v>16</v>
      </c>
      <c r="D3071" s="6" t="str">
        <f>"曾定雨"</f>
        <v>曾定雨</v>
      </c>
    </row>
    <row r="3072" spans="1:4" ht="30" customHeight="1">
      <c r="A3072" s="6">
        <v>3070</v>
      </c>
      <c r="B3072" s="6" t="str">
        <f>"508120230421220531139097"</f>
        <v>508120230421220531139097</v>
      </c>
      <c r="C3072" s="6" t="s">
        <v>16</v>
      </c>
      <c r="D3072" s="6" t="str">
        <f>"王媛媛"</f>
        <v>王媛媛</v>
      </c>
    </row>
    <row r="3073" spans="1:4" ht="30" customHeight="1">
      <c r="A3073" s="6">
        <v>3071</v>
      </c>
      <c r="B3073" s="6" t="str">
        <f>"508120230421233427139132"</f>
        <v>508120230421233427139132</v>
      </c>
      <c r="C3073" s="6" t="s">
        <v>16</v>
      </c>
      <c r="D3073" s="6" t="str">
        <f>"何燕婷"</f>
        <v>何燕婷</v>
      </c>
    </row>
    <row r="3074" spans="1:4" ht="30" customHeight="1">
      <c r="A3074" s="6">
        <v>3072</v>
      </c>
      <c r="B3074" s="6" t="str">
        <f>"508120230421132446138610"</f>
        <v>508120230421132446138610</v>
      </c>
      <c r="C3074" s="6" t="s">
        <v>16</v>
      </c>
      <c r="D3074" s="6" t="str">
        <f>"黄辉辉"</f>
        <v>黄辉辉</v>
      </c>
    </row>
    <row r="3075" spans="1:4" ht="30" customHeight="1">
      <c r="A3075" s="6">
        <v>3073</v>
      </c>
      <c r="B3075" s="6" t="str">
        <f>"508120230422084805139172"</f>
        <v>508120230422084805139172</v>
      </c>
      <c r="C3075" s="6" t="s">
        <v>16</v>
      </c>
      <c r="D3075" s="6" t="str">
        <f>"曾雅茜"</f>
        <v>曾雅茜</v>
      </c>
    </row>
    <row r="3076" spans="1:4" ht="30" customHeight="1">
      <c r="A3076" s="6">
        <v>3074</v>
      </c>
      <c r="B3076" s="6" t="str">
        <f>"508120230422092032139188"</f>
        <v>508120230422092032139188</v>
      </c>
      <c r="C3076" s="6" t="s">
        <v>16</v>
      </c>
      <c r="D3076" s="6" t="str">
        <f>"王秋花"</f>
        <v>王秋花</v>
      </c>
    </row>
    <row r="3077" spans="1:4" ht="30" customHeight="1">
      <c r="A3077" s="6">
        <v>3075</v>
      </c>
      <c r="B3077" s="6" t="str">
        <f>"508120230422092738139190"</f>
        <v>508120230422092738139190</v>
      </c>
      <c r="C3077" s="6" t="s">
        <v>16</v>
      </c>
      <c r="D3077" s="6" t="str">
        <f>"戴俊华"</f>
        <v>戴俊华</v>
      </c>
    </row>
    <row r="3078" spans="1:4" ht="30" customHeight="1">
      <c r="A3078" s="6">
        <v>3076</v>
      </c>
      <c r="B3078" s="6" t="str">
        <f>"508120230422103302139223"</f>
        <v>508120230422103302139223</v>
      </c>
      <c r="C3078" s="6" t="s">
        <v>16</v>
      </c>
      <c r="D3078" s="6" t="str">
        <f>"关业梓"</f>
        <v>关业梓</v>
      </c>
    </row>
    <row r="3079" spans="1:4" ht="30" customHeight="1">
      <c r="A3079" s="6">
        <v>3077</v>
      </c>
      <c r="B3079" s="6" t="str">
        <f>"508120230422115559139277"</f>
        <v>508120230422115559139277</v>
      </c>
      <c r="C3079" s="6" t="s">
        <v>16</v>
      </c>
      <c r="D3079" s="6" t="str">
        <f>"沈菲"</f>
        <v>沈菲</v>
      </c>
    </row>
    <row r="3080" spans="1:4" ht="30" customHeight="1">
      <c r="A3080" s="6">
        <v>3078</v>
      </c>
      <c r="B3080" s="6" t="str">
        <f>"508120230422115622139278"</f>
        <v>508120230422115622139278</v>
      </c>
      <c r="C3080" s="6" t="s">
        <v>16</v>
      </c>
      <c r="D3080" s="6" t="str">
        <f>"陈金霞"</f>
        <v>陈金霞</v>
      </c>
    </row>
    <row r="3081" spans="1:4" ht="30" customHeight="1">
      <c r="A3081" s="6">
        <v>3079</v>
      </c>
      <c r="B3081" s="6" t="str">
        <f>"508120230422121835139294"</f>
        <v>508120230422121835139294</v>
      </c>
      <c r="C3081" s="6" t="s">
        <v>16</v>
      </c>
      <c r="D3081" s="6" t="str">
        <f>"王雨萌"</f>
        <v>王雨萌</v>
      </c>
    </row>
    <row r="3082" spans="1:4" ht="30" customHeight="1">
      <c r="A3082" s="6">
        <v>3080</v>
      </c>
      <c r="B3082" s="6" t="str">
        <f>"508120230422130158139326"</f>
        <v>508120230422130158139326</v>
      </c>
      <c r="C3082" s="6" t="s">
        <v>16</v>
      </c>
      <c r="D3082" s="6" t="str">
        <f>"姜丽俐"</f>
        <v>姜丽俐</v>
      </c>
    </row>
    <row r="3083" spans="1:4" ht="30" customHeight="1">
      <c r="A3083" s="6">
        <v>3081</v>
      </c>
      <c r="B3083" s="6" t="str">
        <f>"508120230421101932138312"</f>
        <v>508120230421101932138312</v>
      </c>
      <c r="C3083" s="6" t="s">
        <v>16</v>
      </c>
      <c r="D3083" s="6" t="str">
        <f>"俞书雯"</f>
        <v>俞书雯</v>
      </c>
    </row>
    <row r="3084" spans="1:4" ht="30" customHeight="1">
      <c r="A3084" s="6">
        <v>3082</v>
      </c>
      <c r="B3084" s="6" t="str">
        <f>"508120230422131653139335"</f>
        <v>508120230422131653139335</v>
      </c>
      <c r="C3084" s="6" t="s">
        <v>16</v>
      </c>
      <c r="D3084" s="6" t="str">
        <f>"杨绮萱"</f>
        <v>杨绮萱</v>
      </c>
    </row>
    <row r="3085" spans="1:4" ht="30" customHeight="1">
      <c r="A3085" s="6">
        <v>3083</v>
      </c>
      <c r="B3085" s="6" t="str">
        <f>"508120230422075858139162"</f>
        <v>508120230422075858139162</v>
      </c>
      <c r="C3085" s="6" t="s">
        <v>16</v>
      </c>
      <c r="D3085" s="6" t="str">
        <f>"陈奕标"</f>
        <v>陈奕标</v>
      </c>
    </row>
    <row r="3086" spans="1:4" ht="30" customHeight="1">
      <c r="A3086" s="6">
        <v>3084</v>
      </c>
      <c r="B3086" s="6" t="str">
        <f>"508120230422143143139360"</f>
        <v>508120230422143143139360</v>
      </c>
      <c r="C3086" s="6" t="s">
        <v>16</v>
      </c>
      <c r="D3086" s="6" t="str">
        <f>"杨娇青"</f>
        <v>杨娇青</v>
      </c>
    </row>
    <row r="3087" spans="1:4" ht="30" customHeight="1">
      <c r="A3087" s="6">
        <v>3085</v>
      </c>
      <c r="B3087" s="6" t="str">
        <f>"508120230421102826138339"</f>
        <v>508120230421102826138339</v>
      </c>
      <c r="C3087" s="6" t="s">
        <v>16</v>
      </c>
      <c r="D3087" s="6" t="str">
        <f>"赵静"</f>
        <v>赵静</v>
      </c>
    </row>
    <row r="3088" spans="1:4" ht="30" customHeight="1">
      <c r="A3088" s="6">
        <v>3086</v>
      </c>
      <c r="B3088" s="6" t="str">
        <f>"508120230422112306139255"</f>
        <v>508120230422112306139255</v>
      </c>
      <c r="C3088" s="6" t="s">
        <v>16</v>
      </c>
      <c r="D3088" s="6" t="str">
        <f>"陈星云"</f>
        <v>陈星云</v>
      </c>
    </row>
    <row r="3089" spans="1:4" ht="30" customHeight="1">
      <c r="A3089" s="6">
        <v>3087</v>
      </c>
      <c r="B3089" s="6" t="str">
        <f>"508120230422152646139383"</f>
        <v>508120230422152646139383</v>
      </c>
      <c r="C3089" s="6" t="s">
        <v>16</v>
      </c>
      <c r="D3089" s="6" t="str">
        <f>"艾霞"</f>
        <v>艾霞</v>
      </c>
    </row>
    <row r="3090" spans="1:4" ht="30" customHeight="1">
      <c r="A3090" s="6">
        <v>3088</v>
      </c>
      <c r="B3090" s="6" t="str">
        <f>"508120230422121410139291"</f>
        <v>508120230422121410139291</v>
      </c>
      <c r="C3090" s="6" t="s">
        <v>16</v>
      </c>
      <c r="D3090" s="6" t="str">
        <f>"吴新宇"</f>
        <v>吴新宇</v>
      </c>
    </row>
    <row r="3091" spans="1:4" ht="30" customHeight="1">
      <c r="A3091" s="6">
        <v>3089</v>
      </c>
      <c r="B3091" s="6" t="str">
        <f>"508120230422184659139486"</f>
        <v>508120230422184659139486</v>
      </c>
      <c r="C3091" s="6" t="s">
        <v>16</v>
      </c>
      <c r="D3091" s="6" t="str">
        <f>"蔡汝谦"</f>
        <v>蔡汝谦</v>
      </c>
    </row>
    <row r="3092" spans="1:4" ht="30" customHeight="1">
      <c r="A3092" s="6">
        <v>3090</v>
      </c>
      <c r="B3092" s="6" t="str">
        <f>"508120230422182001139472"</f>
        <v>508120230422182001139472</v>
      </c>
      <c r="C3092" s="6" t="s">
        <v>16</v>
      </c>
      <c r="D3092" s="6" t="str">
        <f>"史才艺"</f>
        <v>史才艺</v>
      </c>
    </row>
    <row r="3093" spans="1:4" ht="30" customHeight="1">
      <c r="A3093" s="6">
        <v>3091</v>
      </c>
      <c r="B3093" s="6" t="str">
        <f>"508120230422123122139301"</f>
        <v>508120230422123122139301</v>
      </c>
      <c r="C3093" s="6" t="s">
        <v>16</v>
      </c>
      <c r="D3093" s="6" t="str">
        <f>"杜小慧"</f>
        <v>杜小慧</v>
      </c>
    </row>
    <row r="3094" spans="1:4" ht="30" customHeight="1">
      <c r="A3094" s="6">
        <v>3092</v>
      </c>
      <c r="B3094" s="6" t="str">
        <f>"508120230422170558139430"</f>
        <v>508120230422170558139430</v>
      </c>
      <c r="C3094" s="6" t="s">
        <v>16</v>
      </c>
      <c r="D3094" s="6" t="str">
        <f>"骆金凤"</f>
        <v>骆金凤</v>
      </c>
    </row>
    <row r="3095" spans="1:4" ht="30" customHeight="1">
      <c r="A3095" s="6">
        <v>3093</v>
      </c>
      <c r="B3095" s="6" t="str">
        <f>"508120230421210337139069"</f>
        <v>508120230421210337139069</v>
      </c>
      <c r="C3095" s="6" t="s">
        <v>16</v>
      </c>
      <c r="D3095" s="6" t="str">
        <f>"彭旭"</f>
        <v>彭旭</v>
      </c>
    </row>
    <row r="3096" spans="1:4" ht="30" customHeight="1">
      <c r="A3096" s="6">
        <v>3094</v>
      </c>
      <c r="B3096" s="6" t="str">
        <f>"508120230421124833138586"</f>
        <v>508120230421124833138586</v>
      </c>
      <c r="C3096" s="6" t="s">
        <v>16</v>
      </c>
      <c r="D3096" s="6" t="str">
        <f>"蒙恩民"</f>
        <v>蒙恩民</v>
      </c>
    </row>
    <row r="3097" spans="1:4" ht="30" customHeight="1">
      <c r="A3097" s="6">
        <v>3095</v>
      </c>
      <c r="B3097" s="6" t="str">
        <f>"508120230422201921139536"</f>
        <v>508120230422201921139536</v>
      </c>
      <c r="C3097" s="6" t="s">
        <v>16</v>
      </c>
      <c r="D3097" s="6" t="str">
        <f>"王力"</f>
        <v>王力</v>
      </c>
    </row>
    <row r="3098" spans="1:4" ht="30" customHeight="1">
      <c r="A3098" s="6">
        <v>3096</v>
      </c>
      <c r="B3098" s="6" t="str">
        <f>"508120230422220850139617"</f>
        <v>508120230422220850139617</v>
      </c>
      <c r="C3098" s="6" t="s">
        <v>16</v>
      </c>
      <c r="D3098" s="6" t="str">
        <f>"马振卿"</f>
        <v>马振卿</v>
      </c>
    </row>
    <row r="3099" spans="1:4" ht="30" customHeight="1">
      <c r="A3099" s="6">
        <v>3097</v>
      </c>
      <c r="B3099" s="6" t="str">
        <f>"508120230422184527139485"</f>
        <v>508120230422184527139485</v>
      </c>
      <c r="C3099" s="6" t="s">
        <v>16</v>
      </c>
      <c r="D3099" s="6" t="str">
        <f>"周佳逸"</f>
        <v>周佳逸</v>
      </c>
    </row>
    <row r="3100" spans="1:4" ht="30" customHeight="1">
      <c r="A3100" s="6">
        <v>3098</v>
      </c>
      <c r="B3100" s="6" t="str">
        <f>"508120230422231657139660"</f>
        <v>508120230422231657139660</v>
      </c>
      <c r="C3100" s="6" t="s">
        <v>16</v>
      </c>
      <c r="D3100" s="6" t="str">
        <f>"陈敏"</f>
        <v>陈敏</v>
      </c>
    </row>
    <row r="3101" spans="1:4" ht="30" customHeight="1">
      <c r="A3101" s="6">
        <v>3099</v>
      </c>
      <c r="B3101" s="6" t="str">
        <f>"508120230422233453139669"</f>
        <v>508120230422233453139669</v>
      </c>
      <c r="C3101" s="6" t="s">
        <v>16</v>
      </c>
      <c r="D3101" s="6" t="str">
        <f>"林名宝"</f>
        <v>林名宝</v>
      </c>
    </row>
    <row r="3102" spans="1:4" ht="30" customHeight="1">
      <c r="A3102" s="6">
        <v>3100</v>
      </c>
      <c r="B3102" s="6" t="str">
        <f>"508120230423080733139702"</f>
        <v>508120230423080733139702</v>
      </c>
      <c r="C3102" s="6" t="s">
        <v>16</v>
      </c>
      <c r="D3102" s="6" t="str">
        <f>"李月女"</f>
        <v>李月女</v>
      </c>
    </row>
    <row r="3103" spans="1:4" ht="30" customHeight="1">
      <c r="A3103" s="6">
        <v>3101</v>
      </c>
      <c r="B3103" s="6" t="str">
        <f>"508120230423090623139734"</f>
        <v>508120230423090623139734</v>
      </c>
      <c r="C3103" s="6" t="s">
        <v>16</v>
      </c>
      <c r="D3103" s="6" t="str">
        <f>"符发娥"</f>
        <v>符发娥</v>
      </c>
    </row>
    <row r="3104" spans="1:4" ht="30" customHeight="1">
      <c r="A3104" s="6">
        <v>3102</v>
      </c>
      <c r="B3104" s="6" t="str">
        <f>"508120230423094529139790"</f>
        <v>508120230423094529139790</v>
      </c>
      <c r="C3104" s="6" t="s">
        <v>16</v>
      </c>
      <c r="D3104" s="6" t="str">
        <f>"吕贵芳"</f>
        <v>吕贵芳</v>
      </c>
    </row>
    <row r="3105" spans="1:4" ht="30" customHeight="1">
      <c r="A3105" s="6">
        <v>3103</v>
      </c>
      <c r="B3105" s="6" t="str">
        <f>"508120230423105156139839"</f>
        <v>508120230423105156139839</v>
      </c>
      <c r="C3105" s="6" t="s">
        <v>16</v>
      </c>
      <c r="D3105" s="6" t="str">
        <f>"张斐斐"</f>
        <v>张斐斐</v>
      </c>
    </row>
    <row r="3106" spans="1:4" ht="30" customHeight="1">
      <c r="A3106" s="6">
        <v>3104</v>
      </c>
      <c r="B3106" s="6" t="str">
        <f>"508120230423091339139742"</f>
        <v>508120230423091339139742</v>
      </c>
      <c r="C3106" s="6" t="s">
        <v>16</v>
      </c>
      <c r="D3106" s="6" t="str">
        <f>" 黄小恒"</f>
        <v> 黄小恒</v>
      </c>
    </row>
    <row r="3107" spans="1:4" ht="30" customHeight="1">
      <c r="A3107" s="6">
        <v>3105</v>
      </c>
      <c r="B3107" s="6" t="str">
        <f>"508120230423090258139731"</f>
        <v>508120230423090258139731</v>
      </c>
      <c r="C3107" s="6" t="s">
        <v>16</v>
      </c>
      <c r="D3107" s="6" t="str">
        <f>"符宝怡"</f>
        <v>符宝怡</v>
      </c>
    </row>
    <row r="3108" spans="1:4" ht="30" customHeight="1">
      <c r="A3108" s="6">
        <v>3106</v>
      </c>
      <c r="B3108" s="6" t="str">
        <f>"508120230422080145139163"</f>
        <v>508120230422080145139163</v>
      </c>
      <c r="C3108" s="6" t="s">
        <v>16</v>
      </c>
      <c r="D3108" s="6" t="str">
        <f>"刘博源"</f>
        <v>刘博源</v>
      </c>
    </row>
    <row r="3109" spans="1:4" ht="30" customHeight="1">
      <c r="A3109" s="6">
        <v>3107</v>
      </c>
      <c r="B3109" s="6" t="str">
        <f>"508120230423110225139860"</f>
        <v>508120230423110225139860</v>
      </c>
      <c r="C3109" s="6" t="s">
        <v>16</v>
      </c>
      <c r="D3109" s="6" t="str">
        <f>"李才明"</f>
        <v>李才明</v>
      </c>
    </row>
    <row r="3110" spans="1:4" ht="30" customHeight="1">
      <c r="A3110" s="6">
        <v>3108</v>
      </c>
      <c r="B3110" s="6" t="str">
        <f>"508120230423090939139738"</f>
        <v>508120230423090939139738</v>
      </c>
      <c r="C3110" s="6" t="s">
        <v>16</v>
      </c>
      <c r="D3110" s="6" t="str">
        <f>"方超"</f>
        <v>方超</v>
      </c>
    </row>
    <row r="3111" spans="1:4" ht="30" customHeight="1">
      <c r="A3111" s="6">
        <v>3109</v>
      </c>
      <c r="B3111" s="6" t="str">
        <f>"508120230422151224139374"</f>
        <v>508120230422151224139374</v>
      </c>
      <c r="C3111" s="6" t="s">
        <v>16</v>
      </c>
      <c r="D3111" s="6" t="str">
        <f>"郑翠婷"</f>
        <v>郑翠婷</v>
      </c>
    </row>
    <row r="3112" spans="1:4" ht="30" customHeight="1">
      <c r="A3112" s="6">
        <v>3110</v>
      </c>
      <c r="B3112" s="6" t="str">
        <f>"508120230423112159139885"</f>
        <v>508120230423112159139885</v>
      </c>
      <c r="C3112" s="6" t="s">
        <v>16</v>
      </c>
      <c r="D3112" s="6" t="str">
        <f>"王丹丹"</f>
        <v>王丹丹</v>
      </c>
    </row>
    <row r="3113" spans="1:4" ht="30" customHeight="1">
      <c r="A3113" s="6">
        <v>3111</v>
      </c>
      <c r="B3113" s="6" t="str">
        <f>"508120230423111234139875"</f>
        <v>508120230423111234139875</v>
      </c>
      <c r="C3113" s="6" t="s">
        <v>16</v>
      </c>
      <c r="D3113" s="6" t="str">
        <f>"吉采玉"</f>
        <v>吉采玉</v>
      </c>
    </row>
    <row r="3114" spans="1:4" ht="30" customHeight="1">
      <c r="A3114" s="6">
        <v>3112</v>
      </c>
      <c r="B3114" s="6" t="str">
        <f>"508120230421113657138482"</f>
        <v>508120230421113657138482</v>
      </c>
      <c r="C3114" s="6" t="s">
        <v>16</v>
      </c>
      <c r="D3114" s="6" t="str">
        <f>"张文壮"</f>
        <v>张文壮</v>
      </c>
    </row>
    <row r="3115" spans="1:4" ht="30" customHeight="1">
      <c r="A3115" s="6">
        <v>3113</v>
      </c>
      <c r="B3115" s="6" t="str">
        <f>"508120230423150055140009"</f>
        <v>508120230423150055140009</v>
      </c>
      <c r="C3115" s="6" t="s">
        <v>16</v>
      </c>
      <c r="D3115" s="6" t="str">
        <f>"伍乾辉"</f>
        <v>伍乾辉</v>
      </c>
    </row>
    <row r="3116" spans="1:4" ht="30" customHeight="1">
      <c r="A3116" s="6">
        <v>3114</v>
      </c>
      <c r="B3116" s="6" t="str">
        <f>"508120230423150805140020"</f>
        <v>508120230423150805140020</v>
      </c>
      <c r="C3116" s="6" t="s">
        <v>16</v>
      </c>
      <c r="D3116" s="6" t="str">
        <f>"曾天婷"</f>
        <v>曾天婷</v>
      </c>
    </row>
    <row r="3117" spans="1:4" ht="30" customHeight="1">
      <c r="A3117" s="6">
        <v>3115</v>
      </c>
      <c r="B3117" s="6" t="str">
        <f>"508120230423152119140039"</f>
        <v>508120230423152119140039</v>
      </c>
      <c r="C3117" s="6" t="s">
        <v>16</v>
      </c>
      <c r="D3117" s="6" t="str">
        <f>"石英健"</f>
        <v>石英健</v>
      </c>
    </row>
    <row r="3118" spans="1:4" ht="30" customHeight="1">
      <c r="A3118" s="6">
        <v>3116</v>
      </c>
      <c r="B3118" s="6" t="str">
        <f>"508120230423161124140087"</f>
        <v>508120230423161124140087</v>
      </c>
      <c r="C3118" s="6" t="s">
        <v>16</v>
      </c>
      <c r="D3118" s="6" t="str">
        <f>"符春晓"</f>
        <v>符春晓</v>
      </c>
    </row>
    <row r="3119" spans="1:4" ht="30" customHeight="1">
      <c r="A3119" s="6">
        <v>3117</v>
      </c>
      <c r="B3119" s="6" t="str">
        <f>"508120230423160945140084"</f>
        <v>508120230423160945140084</v>
      </c>
      <c r="C3119" s="6" t="s">
        <v>16</v>
      </c>
      <c r="D3119" s="6" t="str">
        <f>"林明玉"</f>
        <v>林明玉</v>
      </c>
    </row>
    <row r="3120" spans="1:4" ht="30" customHeight="1">
      <c r="A3120" s="6">
        <v>3118</v>
      </c>
      <c r="B3120" s="6" t="str">
        <f>"508120230423160025140078"</f>
        <v>508120230423160025140078</v>
      </c>
      <c r="C3120" s="6" t="s">
        <v>16</v>
      </c>
      <c r="D3120" s="6" t="str">
        <f>"李祥喜"</f>
        <v>李祥喜</v>
      </c>
    </row>
    <row r="3121" spans="1:4" ht="30" customHeight="1">
      <c r="A3121" s="6">
        <v>3119</v>
      </c>
      <c r="B3121" s="6" t="str">
        <f>"508120230423160007140075"</f>
        <v>508120230423160007140075</v>
      </c>
      <c r="C3121" s="6" t="s">
        <v>16</v>
      </c>
      <c r="D3121" s="6" t="str">
        <f>"陈婕"</f>
        <v>陈婕</v>
      </c>
    </row>
    <row r="3122" spans="1:4" ht="30" customHeight="1">
      <c r="A3122" s="6">
        <v>3120</v>
      </c>
      <c r="B3122" s="6" t="str">
        <f>"508120230423113526139899"</f>
        <v>508120230423113526139899</v>
      </c>
      <c r="C3122" s="6" t="s">
        <v>16</v>
      </c>
      <c r="D3122" s="6" t="str">
        <f>"陈小瓜"</f>
        <v>陈小瓜</v>
      </c>
    </row>
    <row r="3123" spans="1:4" ht="30" customHeight="1">
      <c r="A3123" s="6">
        <v>3121</v>
      </c>
      <c r="B3123" s="6" t="str">
        <f>"508120230423160259140079"</f>
        <v>508120230423160259140079</v>
      </c>
      <c r="C3123" s="6" t="s">
        <v>16</v>
      </c>
      <c r="D3123" s="6" t="str">
        <f>"颜祝俊"</f>
        <v>颜祝俊</v>
      </c>
    </row>
    <row r="3124" spans="1:4" ht="30" customHeight="1">
      <c r="A3124" s="6">
        <v>3122</v>
      </c>
      <c r="B3124" s="6" t="str">
        <f>"508120230423151117140024"</f>
        <v>508120230423151117140024</v>
      </c>
      <c r="C3124" s="6" t="s">
        <v>16</v>
      </c>
      <c r="D3124" s="6" t="str">
        <f>"严凌峰"</f>
        <v>严凌峰</v>
      </c>
    </row>
    <row r="3125" spans="1:4" ht="30" customHeight="1">
      <c r="A3125" s="6">
        <v>3123</v>
      </c>
      <c r="B3125" s="6" t="str">
        <f>"508120230423102943139822"</f>
        <v>508120230423102943139822</v>
      </c>
      <c r="C3125" s="6" t="s">
        <v>16</v>
      </c>
      <c r="D3125" s="6" t="str">
        <f>"唐闻温"</f>
        <v>唐闻温</v>
      </c>
    </row>
    <row r="3126" spans="1:4" ht="30" customHeight="1">
      <c r="A3126" s="6">
        <v>3124</v>
      </c>
      <c r="B3126" s="6" t="str">
        <f>"508120230423112231139886"</f>
        <v>508120230423112231139886</v>
      </c>
      <c r="C3126" s="6" t="s">
        <v>16</v>
      </c>
      <c r="D3126" s="6" t="str">
        <f>"文霞"</f>
        <v>文霞</v>
      </c>
    </row>
    <row r="3127" spans="1:4" ht="30" customHeight="1">
      <c r="A3127" s="6">
        <v>3125</v>
      </c>
      <c r="B3127" s="6" t="str">
        <f>"508120230423184202140198"</f>
        <v>508120230423184202140198</v>
      </c>
      <c r="C3127" s="6" t="s">
        <v>16</v>
      </c>
      <c r="D3127" s="6" t="str">
        <f>"冯小琴"</f>
        <v>冯小琴</v>
      </c>
    </row>
    <row r="3128" spans="1:4" ht="30" customHeight="1">
      <c r="A3128" s="6">
        <v>3126</v>
      </c>
      <c r="B3128" s="6" t="str">
        <f>"508120230422192904139508"</f>
        <v>508120230422192904139508</v>
      </c>
      <c r="C3128" s="6" t="s">
        <v>16</v>
      </c>
      <c r="D3128" s="6" t="str">
        <f>"符祥慧"</f>
        <v>符祥慧</v>
      </c>
    </row>
    <row r="3129" spans="1:4" ht="30" customHeight="1">
      <c r="A3129" s="6">
        <v>3127</v>
      </c>
      <c r="B3129" s="6" t="str">
        <f>"508120230423192603140222"</f>
        <v>508120230423192603140222</v>
      </c>
      <c r="C3129" s="6" t="s">
        <v>16</v>
      </c>
      <c r="D3129" s="6" t="str">
        <f>"苏洋洋"</f>
        <v>苏洋洋</v>
      </c>
    </row>
    <row r="3130" spans="1:4" ht="30" customHeight="1">
      <c r="A3130" s="6">
        <v>3128</v>
      </c>
      <c r="B3130" s="6" t="str">
        <f>"508120230423194719140235"</f>
        <v>508120230423194719140235</v>
      </c>
      <c r="C3130" s="6" t="s">
        <v>16</v>
      </c>
      <c r="D3130" s="6" t="str">
        <f>"李小婷"</f>
        <v>李小婷</v>
      </c>
    </row>
    <row r="3131" spans="1:4" ht="30" customHeight="1">
      <c r="A3131" s="6">
        <v>3129</v>
      </c>
      <c r="B3131" s="6" t="str">
        <f>"508120230423134820139967"</f>
        <v>508120230423134820139967</v>
      </c>
      <c r="C3131" s="6" t="s">
        <v>16</v>
      </c>
      <c r="D3131" s="6" t="str">
        <f>"林海云"</f>
        <v>林海云</v>
      </c>
    </row>
    <row r="3132" spans="1:4" ht="30" customHeight="1">
      <c r="A3132" s="6">
        <v>3130</v>
      </c>
      <c r="B3132" s="6" t="str">
        <f>"508120230422130915139330"</f>
        <v>508120230422130915139330</v>
      </c>
      <c r="C3132" s="6" t="s">
        <v>16</v>
      </c>
      <c r="D3132" s="6" t="str">
        <f>"谢婷婷"</f>
        <v>谢婷婷</v>
      </c>
    </row>
    <row r="3133" spans="1:4" ht="30" customHeight="1">
      <c r="A3133" s="6">
        <v>3131</v>
      </c>
      <c r="B3133" s="6" t="str">
        <f>"508120230423203438140274"</f>
        <v>508120230423203438140274</v>
      </c>
      <c r="C3133" s="6" t="s">
        <v>16</v>
      </c>
      <c r="D3133" s="6" t="str">
        <f>"陈明鑫"</f>
        <v>陈明鑫</v>
      </c>
    </row>
    <row r="3134" spans="1:4" ht="30" customHeight="1">
      <c r="A3134" s="6">
        <v>3132</v>
      </c>
      <c r="B3134" s="6" t="str">
        <f>"508120230423211925140321"</f>
        <v>508120230423211925140321</v>
      </c>
      <c r="C3134" s="6" t="s">
        <v>16</v>
      </c>
      <c r="D3134" s="6" t="str">
        <f>"陆家斌"</f>
        <v>陆家斌</v>
      </c>
    </row>
    <row r="3135" spans="1:4" ht="30" customHeight="1">
      <c r="A3135" s="6">
        <v>3133</v>
      </c>
      <c r="B3135" s="6" t="str">
        <f>"508120230423213148140325"</f>
        <v>508120230423213148140325</v>
      </c>
      <c r="C3135" s="6" t="s">
        <v>16</v>
      </c>
      <c r="D3135" s="6" t="str">
        <f>"赵敏敏"</f>
        <v>赵敏敏</v>
      </c>
    </row>
    <row r="3136" spans="1:4" ht="30" customHeight="1">
      <c r="A3136" s="6">
        <v>3134</v>
      </c>
      <c r="B3136" s="6" t="str">
        <f>"508120230422152800139384"</f>
        <v>508120230422152800139384</v>
      </c>
      <c r="C3136" s="6" t="s">
        <v>16</v>
      </c>
      <c r="D3136" s="6" t="str">
        <f>"谭梦婷"</f>
        <v>谭梦婷</v>
      </c>
    </row>
    <row r="3137" spans="1:4" ht="30" customHeight="1">
      <c r="A3137" s="6">
        <v>3135</v>
      </c>
      <c r="B3137" s="6" t="str">
        <f>"508120230422180344139466"</f>
        <v>508120230422180344139466</v>
      </c>
      <c r="C3137" s="6" t="s">
        <v>16</v>
      </c>
      <c r="D3137" s="6" t="str">
        <f>"吴乾腾"</f>
        <v>吴乾腾</v>
      </c>
    </row>
    <row r="3138" spans="1:4" ht="30" customHeight="1">
      <c r="A3138" s="6">
        <v>3136</v>
      </c>
      <c r="B3138" s="6" t="str">
        <f>"508120230423214555140336"</f>
        <v>508120230423214555140336</v>
      </c>
      <c r="C3138" s="6" t="s">
        <v>16</v>
      </c>
      <c r="D3138" s="6" t="str">
        <f>"吴雅静"</f>
        <v>吴雅静</v>
      </c>
    </row>
    <row r="3139" spans="1:4" ht="30" customHeight="1">
      <c r="A3139" s="6">
        <v>3137</v>
      </c>
      <c r="B3139" s="6" t="str">
        <f>"508120230423225952140395"</f>
        <v>508120230423225952140395</v>
      </c>
      <c r="C3139" s="6" t="s">
        <v>16</v>
      </c>
      <c r="D3139" s="6" t="str">
        <f>"吉训锴"</f>
        <v>吉训锴</v>
      </c>
    </row>
    <row r="3140" spans="1:4" ht="30" customHeight="1">
      <c r="A3140" s="6">
        <v>3138</v>
      </c>
      <c r="B3140" s="6" t="str">
        <f>"508120230423223332140377"</f>
        <v>508120230423223332140377</v>
      </c>
      <c r="C3140" s="6" t="s">
        <v>16</v>
      </c>
      <c r="D3140" s="6" t="str">
        <f>"郭起焦"</f>
        <v>郭起焦</v>
      </c>
    </row>
    <row r="3141" spans="1:4" ht="30" customHeight="1">
      <c r="A3141" s="6">
        <v>3139</v>
      </c>
      <c r="B3141" s="6" t="str">
        <f>"508120230422151544139376"</f>
        <v>508120230422151544139376</v>
      </c>
      <c r="C3141" s="6" t="s">
        <v>16</v>
      </c>
      <c r="D3141" s="6" t="str">
        <f>"韩诗琦"</f>
        <v>韩诗琦</v>
      </c>
    </row>
    <row r="3142" spans="1:4" ht="30" customHeight="1">
      <c r="A3142" s="6">
        <v>3140</v>
      </c>
      <c r="B3142" s="6" t="str">
        <f>"508120230423215020140341"</f>
        <v>508120230423215020140341</v>
      </c>
      <c r="C3142" s="6" t="s">
        <v>16</v>
      </c>
      <c r="D3142" s="6" t="str">
        <f>"王毓志"</f>
        <v>王毓志</v>
      </c>
    </row>
    <row r="3143" spans="1:4" ht="30" customHeight="1">
      <c r="A3143" s="6">
        <v>3141</v>
      </c>
      <c r="B3143" s="6" t="str">
        <f>"508120230421153412138768"</f>
        <v>508120230421153412138768</v>
      </c>
      <c r="C3143" s="6" t="s">
        <v>16</v>
      </c>
      <c r="D3143" s="6" t="str">
        <f>"陈源"</f>
        <v>陈源</v>
      </c>
    </row>
    <row r="3144" spans="1:4" ht="30" customHeight="1">
      <c r="A3144" s="6">
        <v>3142</v>
      </c>
      <c r="B3144" s="6" t="str">
        <f>"508120230422133513139340"</f>
        <v>508120230422133513139340</v>
      </c>
      <c r="C3144" s="6" t="s">
        <v>16</v>
      </c>
      <c r="D3144" s="6" t="str">
        <f>"柯行斌"</f>
        <v>柯行斌</v>
      </c>
    </row>
    <row r="3145" spans="1:4" ht="30" customHeight="1">
      <c r="A3145" s="6">
        <v>3143</v>
      </c>
      <c r="B3145" s="6" t="str">
        <f>"508120230421152039138741"</f>
        <v>508120230421152039138741</v>
      </c>
      <c r="C3145" s="6" t="s">
        <v>16</v>
      </c>
      <c r="D3145" s="6" t="str">
        <f>"黄群"</f>
        <v>黄群</v>
      </c>
    </row>
    <row r="3146" spans="1:4" ht="30" customHeight="1">
      <c r="A3146" s="6">
        <v>3144</v>
      </c>
      <c r="B3146" s="6" t="str">
        <f>"508120230424093443140516"</f>
        <v>508120230424093443140516</v>
      </c>
      <c r="C3146" s="6" t="s">
        <v>16</v>
      </c>
      <c r="D3146" s="6" t="str">
        <f>"吴勤敏"</f>
        <v>吴勤敏</v>
      </c>
    </row>
    <row r="3147" spans="1:4" ht="30" customHeight="1">
      <c r="A3147" s="6">
        <v>3145</v>
      </c>
      <c r="B3147" s="6" t="str">
        <f>"508120230423234159140421"</f>
        <v>508120230423234159140421</v>
      </c>
      <c r="C3147" s="6" t="s">
        <v>16</v>
      </c>
      <c r="D3147" s="6" t="str">
        <f>"李悦"</f>
        <v>李悦</v>
      </c>
    </row>
    <row r="3148" spans="1:4" ht="30" customHeight="1">
      <c r="A3148" s="6">
        <v>3146</v>
      </c>
      <c r="B3148" s="6" t="str">
        <f>"508120230424095017140540"</f>
        <v>508120230424095017140540</v>
      </c>
      <c r="C3148" s="6" t="s">
        <v>16</v>
      </c>
      <c r="D3148" s="6" t="str">
        <f>"吴佳茹"</f>
        <v>吴佳茹</v>
      </c>
    </row>
    <row r="3149" spans="1:4" ht="30" customHeight="1">
      <c r="A3149" s="6">
        <v>3147</v>
      </c>
      <c r="B3149" s="6" t="str">
        <f>"508120230424100118140550"</f>
        <v>508120230424100118140550</v>
      </c>
      <c r="C3149" s="6" t="s">
        <v>16</v>
      </c>
      <c r="D3149" s="6" t="str">
        <f>"黎帝兰"</f>
        <v>黎帝兰</v>
      </c>
    </row>
    <row r="3150" spans="1:4" ht="30" customHeight="1">
      <c r="A3150" s="6">
        <v>3148</v>
      </c>
      <c r="B3150" s="6" t="str">
        <f>"508120230424100156140552"</f>
        <v>508120230424100156140552</v>
      </c>
      <c r="C3150" s="6" t="s">
        <v>16</v>
      </c>
      <c r="D3150" s="6" t="str">
        <f>"蔡小文"</f>
        <v>蔡小文</v>
      </c>
    </row>
    <row r="3151" spans="1:4" ht="30" customHeight="1">
      <c r="A3151" s="6">
        <v>3149</v>
      </c>
      <c r="B3151" s="6" t="str">
        <f>"508120230424100426140553"</f>
        <v>508120230424100426140553</v>
      </c>
      <c r="C3151" s="6" t="s">
        <v>16</v>
      </c>
      <c r="D3151" s="6" t="str">
        <f>"陈积杰"</f>
        <v>陈积杰</v>
      </c>
    </row>
    <row r="3152" spans="1:4" ht="30" customHeight="1">
      <c r="A3152" s="6">
        <v>3150</v>
      </c>
      <c r="B3152" s="6" t="str">
        <f>"508120230423200519140246"</f>
        <v>508120230423200519140246</v>
      </c>
      <c r="C3152" s="6" t="s">
        <v>16</v>
      </c>
      <c r="D3152" s="6" t="str">
        <f>"陆增麟"</f>
        <v>陆增麟</v>
      </c>
    </row>
    <row r="3153" spans="1:4" ht="30" customHeight="1">
      <c r="A3153" s="6">
        <v>3151</v>
      </c>
      <c r="B3153" s="6" t="str">
        <f>"508120230424094252140526"</f>
        <v>508120230424094252140526</v>
      </c>
      <c r="C3153" s="6" t="s">
        <v>16</v>
      </c>
      <c r="D3153" s="6" t="str">
        <f>"赵开静"</f>
        <v>赵开静</v>
      </c>
    </row>
    <row r="3154" spans="1:4" ht="30" customHeight="1">
      <c r="A3154" s="6">
        <v>3152</v>
      </c>
      <c r="B3154" s="6" t="str">
        <f>"508120230424103757140600"</f>
        <v>508120230424103757140600</v>
      </c>
      <c r="C3154" s="6" t="s">
        <v>16</v>
      </c>
      <c r="D3154" s="6" t="str">
        <f>"孙玉玲"</f>
        <v>孙玉玲</v>
      </c>
    </row>
    <row r="3155" spans="1:4" ht="30" customHeight="1">
      <c r="A3155" s="6">
        <v>3153</v>
      </c>
      <c r="B3155" s="6" t="str">
        <f>"508120230421174938138941"</f>
        <v>508120230421174938138941</v>
      </c>
      <c r="C3155" s="6" t="s">
        <v>16</v>
      </c>
      <c r="D3155" s="6" t="str">
        <f>"郑晓燕"</f>
        <v>郑晓燕</v>
      </c>
    </row>
    <row r="3156" spans="1:4" ht="30" customHeight="1">
      <c r="A3156" s="6">
        <v>3154</v>
      </c>
      <c r="B3156" s="6" t="str">
        <f>"508120230424114102140655"</f>
        <v>508120230424114102140655</v>
      </c>
      <c r="C3156" s="6" t="s">
        <v>16</v>
      </c>
      <c r="D3156" s="6" t="str">
        <f>"林兴梅"</f>
        <v>林兴梅</v>
      </c>
    </row>
    <row r="3157" spans="1:4" ht="30" customHeight="1">
      <c r="A3157" s="6">
        <v>3155</v>
      </c>
      <c r="B3157" s="6" t="str">
        <f>"508120230421145837138704"</f>
        <v>508120230421145837138704</v>
      </c>
      <c r="C3157" s="6" t="s">
        <v>16</v>
      </c>
      <c r="D3157" s="6" t="str">
        <f>"李海山"</f>
        <v>李海山</v>
      </c>
    </row>
    <row r="3158" spans="1:4" ht="30" customHeight="1">
      <c r="A3158" s="6">
        <v>3156</v>
      </c>
      <c r="B3158" s="6" t="str">
        <f>"508120230424123449140689"</f>
        <v>508120230424123449140689</v>
      </c>
      <c r="C3158" s="6" t="s">
        <v>16</v>
      </c>
      <c r="D3158" s="6" t="str">
        <f>"刘美然"</f>
        <v>刘美然</v>
      </c>
    </row>
    <row r="3159" spans="1:4" ht="30" customHeight="1">
      <c r="A3159" s="6">
        <v>3157</v>
      </c>
      <c r="B3159" s="6" t="str">
        <f>"508120230424114544140661"</f>
        <v>508120230424114544140661</v>
      </c>
      <c r="C3159" s="6" t="s">
        <v>16</v>
      </c>
      <c r="D3159" s="6" t="str">
        <f>"黎文学"</f>
        <v>黎文学</v>
      </c>
    </row>
    <row r="3160" spans="1:4" ht="30" customHeight="1">
      <c r="A3160" s="6">
        <v>3158</v>
      </c>
      <c r="B3160" s="6" t="str">
        <f>"508120230424010142140432"</f>
        <v>508120230424010142140432</v>
      </c>
      <c r="C3160" s="6" t="s">
        <v>16</v>
      </c>
      <c r="D3160" s="6" t="str">
        <f>"孙晓桐"</f>
        <v>孙晓桐</v>
      </c>
    </row>
    <row r="3161" spans="1:4" ht="30" customHeight="1">
      <c r="A3161" s="6">
        <v>3159</v>
      </c>
      <c r="B3161" s="6" t="str">
        <f>"508120230423151804140031"</f>
        <v>508120230423151804140031</v>
      </c>
      <c r="C3161" s="6" t="s">
        <v>16</v>
      </c>
      <c r="D3161" s="6" t="str">
        <f>"张艳"</f>
        <v>张艳</v>
      </c>
    </row>
    <row r="3162" spans="1:4" ht="30" customHeight="1">
      <c r="A3162" s="6">
        <v>3160</v>
      </c>
      <c r="B3162" s="6" t="str">
        <f>"508120230424151517140769"</f>
        <v>508120230424151517140769</v>
      </c>
      <c r="C3162" s="6" t="s">
        <v>16</v>
      </c>
      <c r="D3162" s="6" t="str">
        <f>"李秋月"</f>
        <v>李秋月</v>
      </c>
    </row>
    <row r="3163" spans="1:4" ht="30" customHeight="1">
      <c r="A3163" s="6">
        <v>3161</v>
      </c>
      <c r="B3163" s="6" t="str">
        <f>"508120230423084005139709"</f>
        <v>508120230423084005139709</v>
      </c>
      <c r="C3163" s="6" t="s">
        <v>16</v>
      </c>
      <c r="D3163" s="6" t="str">
        <f>"黄秋月"</f>
        <v>黄秋月</v>
      </c>
    </row>
    <row r="3164" spans="1:4" ht="30" customHeight="1">
      <c r="A3164" s="6">
        <v>3162</v>
      </c>
      <c r="B3164" s="6" t="str">
        <f>"508120230424150133140756"</f>
        <v>508120230424150133140756</v>
      </c>
      <c r="C3164" s="6" t="s">
        <v>16</v>
      </c>
      <c r="D3164" s="6" t="str">
        <f>"颜祥壮"</f>
        <v>颜祥壮</v>
      </c>
    </row>
    <row r="3165" spans="1:4" ht="30" customHeight="1">
      <c r="A3165" s="6">
        <v>3163</v>
      </c>
      <c r="B3165" s="6" t="str">
        <f>"508120230424154048140787"</f>
        <v>508120230424154048140787</v>
      </c>
      <c r="C3165" s="6" t="s">
        <v>16</v>
      </c>
      <c r="D3165" s="6" t="str">
        <f>"李丁琼"</f>
        <v>李丁琼</v>
      </c>
    </row>
    <row r="3166" spans="1:4" ht="30" customHeight="1">
      <c r="A3166" s="6">
        <v>3164</v>
      </c>
      <c r="B3166" s="6" t="str">
        <f>"508120230424150336140760"</f>
        <v>508120230424150336140760</v>
      </c>
      <c r="C3166" s="6" t="s">
        <v>16</v>
      </c>
      <c r="D3166" s="6" t="str">
        <f>"王全涛"</f>
        <v>王全涛</v>
      </c>
    </row>
    <row r="3167" spans="1:4" ht="30" customHeight="1">
      <c r="A3167" s="6">
        <v>3165</v>
      </c>
      <c r="B3167" s="6" t="str">
        <f>"508120230424163725140842"</f>
        <v>508120230424163725140842</v>
      </c>
      <c r="C3167" s="6" t="s">
        <v>16</v>
      </c>
      <c r="D3167" s="6" t="str">
        <f>"王凯贤"</f>
        <v>王凯贤</v>
      </c>
    </row>
    <row r="3168" spans="1:4" ht="30" customHeight="1">
      <c r="A3168" s="6">
        <v>3166</v>
      </c>
      <c r="B3168" s="6" t="str">
        <f>"508120230424180302140899"</f>
        <v>508120230424180302140899</v>
      </c>
      <c r="C3168" s="6" t="s">
        <v>16</v>
      </c>
      <c r="D3168" s="6" t="str">
        <f>"刘颜"</f>
        <v>刘颜</v>
      </c>
    </row>
    <row r="3169" spans="1:4" ht="30" customHeight="1">
      <c r="A3169" s="6">
        <v>3167</v>
      </c>
      <c r="B3169" s="6" t="str">
        <f>"508120230424172136140877"</f>
        <v>508120230424172136140877</v>
      </c>
      <c r="C3169" s="6" t="s">
        <v>16</v>
      </c>
      <c r="D3169" s="6" t="str">
        <f>"莫翠妃"</f>
        <v>莫翠妃</v>
      </c>
    </row>
    <row r="3170" spans="1:4" ht="30" customHeight="1">
      <c r="A3170" s="6">
        <v>3168</v>
      </c>
      <c r="B3170" s="6" t="str">
        <f>"508120230424180837140903"</f>
        <v>508120230424180837140903</v>
      </c>
      <c r="C3170" s="6" t="s">
        <v>16</v>
      </c>
      <c r="D3170" s="6" t="str">
        <f>"张礼敏"</f>
        <v>张礼敏</v>
      </c>
    </row>
    <row r="3171" spans="1:4" ht="30" customHeight="1">
      <c r="A3171" s="6">
        <v>3169</v>
      </c>
      <c r="B3171" s="6" t="str">
        <f>"508120230424164733140849"</f>
        <v>508120230424164733140849</v>
      </c>
      <c r="C3171" s="6" t="s">
        <v>16</v>
      </c>
      <c r="D3171" s="6" t="str">
        <f>"张文"</f>
        <v>张文</v>
      </c>
    </row>
    <row r="3172" spans="1:4" ht="30" customHeight="1">
      <c r="A3172" s="6">
        <v>3170</v>
      </c>
      <c r="B3172" s="6" t="str">
        <f>"508120230424181155140908"</f>
        <v>508120230424181155140908</v>
      </c>
      <c r="C3172" s="6" t="s">
        <v>16</v>
      </c>
      <c r="D3172" s="6" t="str">
        <f>"杨顺"</f>
        <v>杨顺</v>
      </c>
    </row>
    <row r="3173" spans="1:4" ht="30" customHeight="1">
      <c r="A3173" s="6">
        <v>3171</v>
      </c>
      <c r="B3173" s="6" t="str">
        <f>"508120230424182553140916"</f>
        <v>508120230424182553140916</v>
      </c>
      <c r="C3173" s="6" t="s">
        <v>16</v>
      </c>
      <c r="D3173" s="6" t="str">
        <f>"符新创"</f>
        <v>符新创</v>
      </c>
    </row>
    <row r="3174" spans="1:4" ht="30" customHeight="1">
      <c r="A3174" s="6">
        <v>3172</v>
      </c>
      <c r="B3174" s="6" t="str">
        <f>"508120230424190542140939"</f>
        <v>508120230424190542140939</v>
      </c>
      <c r="C3174" s="6" t="s">
        <v>16</v>
      </c>
      <c r="D3174" s="6" t="str">
        <f>"李月华"</f>
        <v>李月华</v>
      </c>
    </row>
    <row r="3175" spans="1:4" ht="30" customHeight="1">
      <c r="A3175" s="6">
        <v>3173</v>
      </c>
      <c r="B3175" s="6" t="str">
        <f>"508120230424190544140940"</f>
        <v>508120230424190544140940</v>
      </c>
      <c r="C3175" s="6" t="s">
        <v>16</v>
      </c>
      <c r="D3175" s="6" t="str">
        <f>"李妹妹"</f>
        <v>李妹妹</v>
      </c>
    </row>
    <row r="3176" spans="1:4" ht="30" customHeight="1">
      <c r="A3176" s="6">
        <v>3174</v>
      </c>
      <c r="B3176" s="6" t="str">
        <f>"508120230421164636138870"</f>
        <v>508120230421164636138870</v>
      </c>
      <c r="C3176" s="6" t="s">
        <v>16</v>
      </c>
      <c r="D3176" s="6" t="str">
        <f>"杨昕薇"</f>
        <v>杨昕薇</v>
      </c>
    </row>
    <row r="3177" spans="1:4" ht="30" customHeight="1">
      <c r="A3177" s="6">
        <v>3175</v>
      </c>
      <c r="B3177" s="6" t="str">
        <f>"508120230424184103140925"</f>
        <v>508120230424184103140925</v>
      </c>
      <c r="C3177" s="6" t="s">
        <v>16</v>
      </c>
      <c r="D3177" s="6" t="str">
        <f>"蔡仁功"</f>
        <v>蔡仁功</v>
      </c>
    </row>
    <row r="3178" spans="1:4" ht="30" customHeight="1">
      <c r="A3178" s="6">
        <v>3176</v>
      </c>
      <c r="B3178" s="6" t="str">
        <f>"508120230424210125141013"</f>
        <v>508120230424210125141013</v>
      </c>
      <c r="C3178" s="6" t="s">
        <v>16</v>
      </c>
      <c r="D3178" s="6" t="str">
        <f>"黄一伦"</f>
        <v>黄一伦</v>
      </c>
    </row>
    <row r="3179" spans="1:4" ht="30" customHeight="1">
      <c r="A3179" s="6">
        <v>3177</v>
      </c>
      <c r="B3179" s="6" t="str">
        <f>"508120230424213012141029"</f>
        <v>508120230424213012141029</v>
      </c>
      <c r="C3179" s="6" t="s">
        <v>16</v>
      </c>
      <c r="D3179" s="6" t="str">
        <f>"王小芳"</f>
        <v>王小芳</v>
      </c>
    </row>
    <row r="3180" spans="1:4" ht="30" customHeight="1">
      <c r="A3180" s="6">
        <v>3178</v>
      </c>
      <c r="B3180" s="6" t="str">
        <f>"508120230424214619141041"</f>
        <v>508120230424214619141041</v>
      </c>
      <c r="C3180" s="6" t="s">
        <v>16</v>
      </c>
      <c r="D3180" s="6" t="str">
        <f>"周瑞云"</f>
        <v>周瑞云</v>
      </c>
    </row>
    <row r="3181" spans="1:4" ht="30" customHeight="1">
      <c r="A3181" s="6">
        <v>3179</v>
      </c>
      <c r="B3181" s="6" t="str">
        <f>"508120230424223335141079"</f>
        <v>508120230424223335141079</v>
      </c>
      <c r="C3181" s="6" t="s">
        <v>16</v>
      </c>
      <c r="D3181" s="6" t="str">
        <f>"盘天娜"</f>
        <v>盘天娜</v>
      </c>
    </row>
    <row r="3182" spans="1:4" ht="30" customHeight="1">
      <c r="A3182" s="6">
        <v>3180</v>
      </c>
      <c r="B3182" s="6" t="str">
        <f>"508120230424123747140690"</f>
        <v>508120230424123747140690</v>
      </c>
      <c r="C3182" s="6" t="s">
        <v>16</v>
      </c>
      <c r="D3182" s="6" t="str">
        <f>"李腾爱"</f>
        <v>李腾爱</v>
      </c>
    </row>
    <row r="3183" spans="1:4" ht="30" customHeight="1">
      <c r="A3183" s="6">
        <v>3181</v>
      </c>
      <c r="B3183" s="6" t="str">
        <f>"508120230424231837141111"</f>
        <v>508120230424231837141111</v>
      </c>
      <c r="C3183" s="6" t="s">
        <v>16</v>
      </c>
      <c r="D3183" s="6" t="str">
        <f>"郑远伟"</f>
        <v>郑远伟</v>
      </c>
    </row>
    <row r="3184" spans="1:4" ht="30" customHeight="1">
      <c r="A3184" s="6">
        <v>3182</v>
      </c>
      <c r="B3184" s="6" t="str">
        <f>"508120230424231737141109"</f>
        <v>508120230424231737141109</v>
      </c>
      <c r="C3184" s="6" t="s">
        <v>16</v>
      </c>
      <c r="D3184" s="6" t="str">
        <f>"符刘芳"</f>
        <v>符刘芳</v>
      </c>
    </row>
    <row r="3185" spans="1:4" ht="30" customHeight="1">
      <c r="A3185" s="6">
        <v>3183</v>
      </c>
      <c r="B3185" s="6" t="str">
        <f>"508120230423163615140116"</f>
        <v>508120230423163615140116</v>
      </c>
      <c r="C3185" s="6" t="s">
        <v>16</v>
      </c>
      <c r="D3185" s="6" t="str">
        <f>"林凯"</f>
        <v>林凯</v>
      </c>
    </row>
    <row r="3186" spans="1:4" ht="30" customHeight="1">
      <c r="A3186" s="6">
        <v>3184</v>
      </c>
      <c r="B3186" s="6" t="str">
        <f>"508120230424145417140752"</f>
        <v>508120230424145417140752</v>
      </c>
      <c r="C3186" s="6" t="s">
        <v>16</v>
      </c>
      <c r="D3186" s="6" t="str">
        <f>"李经耀"</f>
        <v>李经耀</v>
      </c>
    </row>
    <row r="3187" spans="1:4" ht="30" customHeight="1">
      <c r="A3187" s="6">
        <v>3185</v>
      </c>
      <c r="B3187" s="6" t="str">
        <f>"508120230424193431140954"</f>
        <v>508120230424193431140954</v>
      </c>
      <c r="C3187" s="6" t="s">
        <v>16</v>
      </c>
      <c r="D3187" s="6" t="str">
        <f>"耿敏敏"</f>
        <v>耿敏敏</v>
      </c>
    </row>
    <row r="3188" spans="1:4" ht="30" customHeight="1">
      <c r="A3188" s="6">
        <v>3186</v>
      </c>
      <c r="B3188" s="6" t="str">
        <f>"508120230425090744141173"</f>
        <v>508120230425090744141173</v>
      </c>
      <c r="C3188" s="6" t="s">
        <v>16</v>
      </c>
      <c r="D3188" s="6" t="str">
        <f>"黄丽娜"</f>
        <v>黄丽娜</v>
      </c>
    </row>
    <row r="3189" spans="1:4" ht="30" customHeight="1">
      <c r="A3189" s="6">
        <v>3187</v>
      </c>
      <c r="B3189" s="6" t="str">
        <f>"508120230425092531141180"</f>
        <v>508120230425092531141180</v>
      </c>
      <c r="C3189" s="6" t="s">
        <v>16</v>
      </c>
      <c r="D3189" s="6" t="str">
        <f>"林录超"</f>
        <v>林录超</v>
      </c>
    </row>
    <row r="3190" spans="1:4" ht="30" customHeight="1">
      <c r="A3190" s="6">
        <v>3188</v>
      </c>
      <c r="B3190" s="6" t="str">
        <f>"508120230422173144139447"</f>
        <v>508120230422173144139447</v>
      </c>
      <c r="C3190" s="6" t="s">
        <v>16</v>
      </c>
      <c r="D3190" s="6" t="str">
        <f>"易梅"</f>
        <v>易梅</v>
      </c>
    </row>
    <row r="3191" spans="1:4" ht="30" customHeight="1">
      <c r="A3191" s="6">
        <v>3189</v>
      </c>
      <c r="B3191" s="6" t="str">
        <f>"508120230425102130141211"</f>
        <v>508120230425102130141211</v>
      </c>
      <c r="C3191" s="6" t="s">
        <v>16</v>
      </c>
      <c r="D3191" s="6" t="str">
        <f>"张敏"</f>
        <v>张敏</v>
      </c>
    </row>
    <row r="3192" spans="1:4" ht="30" customHeight="1">
      <c r="A3192" s="6">
        <v>3190</v>
      </c>
      <c r="B3192" s="6" t="str">
        <f>"508120230422012804139154"</f>
        <v>508120230422012804139154</v>
      </c>
      <c r="C3192" s="6" t="s">
        <v>16</v>
      </c>
      <c r="D3192" s="6" t="str">
        <f>"邱蕾"</f>
        <v>邱蕾</v>
      </c>
    </row>
    <row r="3193" spans="1:4" ht="30" customHeight="1">
      <c r="A3193" s="6">
        <v>3191</v>
      </c>
      <c r="B3193" s="6" t="str">
        <f>"508120230424172106140876"</f>
        <v>508120230424172106140876</v>
      </c>
      <c r="C3193" s="6" t="s">
        <v>16</v>
      </c>
      <c r="D3193" s="6" t="str">
        <f>"卢修楠"</f>
        <v>卢修楠</v>
      </c>
    </row>
    <row r="3194" spans="1:4" ht="30" customHeight="1">
      <c r="A3194" s="6">
        <v>3192</v>
      </c>
      <c r="B3194" s="6" t="str">
        <f>"508120230424091051140493"</f>
        <v>508120230424091051140493</v>
      </c>
      <c r="C3194" s="6" t="s">
        <v>16</v>
      </c>
      <c r="D3194" s="6" t="str">
        <f>"陈冠儒"</f>
        <v>陈冠儒</v>
      </c>
    </row>
    <row r="3195" spans="1:4" ht="30" customHeight="1">
      <c r="A3195" s="6">
        <v>3193</v>
      </c>
      <c r="B3195" s="6" t="str">
        <f>"508120230423163252140111"</f>
        <v>508120230423163252140111</v>
      </c>
      <c r="C3195" s="6" t="s">
        <v>16</v>
      </c>
      <c r="D3195" s="6" t="str">
        <f>"王海波"</f>
        <v>王海波</v>
      </c>
    </row>
    <row r="3196" spans="1:4" ht="30" customHeight="1">
      <c r="A3196" s="6">
        <v>3194</v>
      </c>
      <c r="B3196" s="6" t="str">
        <f>"508120230423211624140316"</f>
        <v>508120230423211624140316</v>
      </c>
      <c r="C3196" s="6" t="s">
        <v>16</v>
      </c>
      <c r="D3196" s="6" t="str">
        <f>"谢江鹏"</f>
        <v>谢江鹏</v>
      </c>
    </row>
    <row r="3197" spans="1:4" ht="30" customHeight="1">
      <c r="A3197" s="6">
        <v>3195</v>
      </c>
      <c r="B3197" s="6" t="str">
        <f>"508120230421141111138645"</f>
        <v>508120230421141111138645</v>
      </c>
      <c r="C3197" s="6" t="s">
        <v>16</v>
      </c>
      <c r="D3197" s="6" t="str">
        <f>"邹宏莹"</f>
        <v>邹宏莹</v>
      </c>
    </row>
    <row r="3198" spans="1:4" ht="30" customHeight="1">
      <c r="A3198" s="6">
        <v>3196</v>
      </c>
      <c r="B3198" s="6" t="str">
        <f>"508120230425111557141265"</f>
        <v>508120230425111557141265</v>
      </c>
      <c r="C3198" s="6" t="s">
        <v>16</v>
      </c>
      <c r="D3198" s="6" t="str">
        <f>"陈妍伊"</f>
        <v>陈妍伊</v>
      </c>
    </row>
    <row r="3199" spans="1:4" ht="30" customHeight="1">
      <c r="A3199" s="6">
        <v>3197</v>
      </c>
      <c r="B3199" s="6" t="str">
        <f>"508120230425145530141354"</f>
        <v>508120230425145530141354</v>
      </c>
      <c r="C3199" s="6" t="s">
        <v>16</v>
      </c>
      <c r="D3199" s="6" t="str">
        <f>"邱妙丽"</f>
        <v>邱妙丽</v>
      </c>
    </row>
    <row r="3200" spans="1:4" ht="30" customHeight="1">
      <c r="A3200" s="6">
        <v>3198</v>
      </c>
      <c r="B3200" s="6" t="str">
        <f>"508120230425141311141338"</f>
        <v>508120230425141311141338</v>
      </c>
      <c r="C3200" s="6" t="s">
        <v>16</v>
      </c>
      <c r="D3200" s="6" t="str">
        <f>"邢增盛"</f>
        <v>邢增盛</v>
      </c>
    </row>
    <row r="3201" spans="1:4" ht="30" customHeight="1">
      <c r="A3201" s="6">
        <v>3199</v>
      </c>
      <c r="B3201" s="6" t="str">
        <f>"508120230421143736138673"</f>
        <v>508120230421143736138673</v>
      </c>
      <c r="C3201" s="6" t="s">
        <v>16</v>
      </c>
      <c r="D3201" s="6" t="str">
        <f>"林方芳 "</f>
        <v>林方芳 </v>
      </c>
    </row>
    <row r="3202" spans="1:4" ht="30" customHeight="1">
      <c r="A3202" s="6">
        <v>3200</v>
      </c>
      <c r="B3202" s="6" t="str">
        <f>"508120230421102908138344"</f>
        <v>508120230421102908138344</v>
      </c>
      <c r="C3202" s="6" t="s">
        <v>16</v>
      </c>
      <c r="D3202" s="6" t="str">
        <f>"梁楠"</f>
        <v>梁楠</v>
      </c>
    </row>
    <row r="3203" spans="1:4" ht="30" customHeight="1">
      <c r="A3203" s="6">
        <v>3201</v>
      </c>
      <c r="B3203" s="6" t="str">
        <f>"508120230421190734139000"</f>
        <v>508120230421190734139000</v>
      </c>
      <c r="C3203" s="6" t="s">
        <v>16</v>
      </c>
      <c r="D3203" s="6" t="str">
        <f>"庄林烜"</f>
        <v>庄林烜</v>
      </c>
    </row>
    <row r="3204" spans="1:4" ht="30" customHeight="1">
      <c r="A3204" s="6">
        <v>3202</v>
      </c>
      <c r="B3204" s="6" t="str">
        <f>"508120230425175210141485"</f>
        <v>508120230425175210141485</v>
      </c>
      <c r="C3204" s="6" t="s">
        <v>16</v>
      </c>
      <c r="D3204" s="6" t="str">
        <f>"庞少暖"</f>
        <v>庞少暖</v>
      </c>
    </row>
    <row r="3205" spans="1:4" ht="30" customHeight="1">
      <c r="A3205" s="6">
        <v>3203</v>
      </c>
      <c r="B3205" s="6" t="str">
        <f>"508120230423185935140212"</f>
        <v>508120230423185935140212</v>
      </c>
      <c r="C3205" s="6" t="s">
        <v>16</v>
      </c>
      <c r="D3205" s="6" t="str">
        <f>"陈子伦"</f>
        <v>陈子伦</v>
      </c>
    </row>
    <row r="3206" spans="1:4" ht="30" customHeight="1">
      <c r="A3206" s="6">
        <v>3204</v>
      </c>
      <c r="B3206" s="6" t="str">
        <f>"508120230425185530141517"</f>
        <v>508120230425185530141517</v>
      </c>
      <c r="C3206" s="6" t="s">
        <v>16</v>
      </c>
      <c r="D3206" s="6" t="str">
        <f>"杨红"</f>
        <v>杨红</v>
      </c>
    </row>
    <row r="3207" spans="1:4" ht="30" customHeight="1">
      <c r="A3207" s="6">
        <v>3205</v>
      </c>
      <c r="B3207" s="6" t="str">
        <f>"508120230425103458141224"</f>
        <v>508120230425103458141224</v>
      </c>
      <c r="C3207" s="6" t="s">
        <v>16</v>
      </c>
      <c r="D3207" s="6" t="str">
        <f>"梁育瑄"</f>
        <v>梁育瑄</v>
      </c>
    </row>
    <row r="3208" spans="1:4" ht="30" customHeight="1">
      <c r="A3208" s="6">
        <v>3206</v>
      </c>
      <c r="B3208" s="6" t="str">
        <f>"508120230424184052140924"</f>
        <v>508120230424184052140924</v>
      </c>
      <c r="C3208" s="6" t="s">
        <v>16</v>
      </c>
      <c r="D3208" s="6" t="str">
        <f>"周玉娥"</f>
        <v>周玉娥</v>
      </c>
    </row>
    <row r="3209" spans="1:4" ht="30" customHeight="1">
      <c r="A3209" s="6">
        <v>3207</v>
      </c>
      <c r="B3209" s="6" t="str">
        <f>"508120230422235008139675"</f>
        <v>508120230422235008139675</v>
      </c>
      <c r="C3209" s="6" t="s">
        <v>16</v>
      </c>
      <c r="D3209" s="6" t="str">
        <f>"吴卓峰"</f>
        <v>吴卓峰</v>
      </c>
    </row>
    <row r="3210" spans="1:4" ht="30" customHeight="1">
      <c r="A3210" s="6">
        <v>3208</v>
      </c>
      <c r="B3210" s="6" t="str">
        <f>"508120230425153211141389"</f>
        <v>508120230425153211141389</v>
      </c>
      <c r="C3210" s="6" t="s">
        <v>16</v>
      </c>
      <c r="D3210" s="6" t="str">
        <f>"冯哲"</f>
        <v>冯哲</v>
      </c>
    </row>
    <row r="3211" spans="1:4" ht="30" customHeight="1">
      <c r="A3211" s="6">
        <v>3209</v>
      </c>
      <c r="B3211" s="6" t="str">
        <f>"508120230424201637140980"</f>
        <v>508120230424201637140980</v>
      </c>
      <c r="C3211" s="6" t="s">
        <v>16</v>
      </c>
      <c r="D3211" s="6" t="str">
        <f>"陈雪"</f>
        <v>陈雪</v>
      </c>
    </row>
    <row r="3212" spans="1:4" ht="30" customHeight="1">
      <c r="A3212" s="6">
        <v>3210</v>
      </c>
      <c r="B3212" s="6" t="str">
        <f>"508120230425152305141381"</f>
        <v>508120230425152305141381</v>
      </c>
      <c r="C3212" s="6" t="s">
        <v>16</v>
      </c>
      <c r="D3212" s="6" t="str">
        <f>"史书萌"</f>
        <v>史书萌</v>
      </c>
    </row>
    <row r="3213" spans="1:4" ht="30" customHeight="1">
      <c r="A3213" s="6">
        <v>3211</v>
      </c>
      <c r="B3213" s="6" t="str">
        <f>"508120230425214855141605"</f>
        <v>508120230425214855141605</v>
      </c>
      <c r="C3213" s="6" t="s">
        <v>16</v>
      </c>
      <c r="D3213" s="6" t="str">
        <f>"蔡江贤"</f>
        <v>蔡江贤</v>
      </c>
    </row>
    <row r="3214" spans="1:4" ht="30" customHeight="1">
      <c r="A3214" s="6">
        <v>3212</v>
      </c>
      <c r="B3214" s="6" t="str">
        <f>"508120230424201013140975"</f>
        <v>508120230424201013140975</v>
      </c>
      <c r="C3214" s="6" t="s">
        <v>16</v>
      </c>
      <c r="D3214" s="6" t="str">
        <f>"吴阳丽"</f>
        <v>吴阳丽</v>
      </c>
    </row>
    <row r="3215" spans="1:4" ht="30" customHeight="1">
      <c r="A3215" s="6">
        <v>3213</v>
      </c>
      <c r="B3215" s="6" t="str">
        <f>"508120230425220231141618"</f>
        <v>508120230425220231141618</v>
      </c>
      <c r="C3215" s="6" t="s">
        <v>16</v>
      </c>
      <c r="D3215" s="6" t="str">
        <f>"李雪梅"</f>
        <v>李雪梅</v>
      </c>
    </row>
    <row r="3216" spans="1:4" ht="30" customHeight="1">
      <c r="A3216" s="6">
        <v>3214</v>
      </c>
      <c r="B3216" s="6" t="str">
        <f>"508120230424205046141005"</f>
        <v>508120230424205046141005</v>
      </c>
      <c r="C3216" s="6" t="s">
        <v>16</v>
      </c>
      <c r="D3216" s="6" t="str">
        <f>"叶林"</f>
        <v>叶林</v>
      </c>
    </row>
    <row r="3217" spans="1:4" ht="30" customHeight="1">
      <c r="A3217" s="6">
        <v>3215</v>
      </c>
      <c r="B3217" s="6" t="str">
        <f>"508120230425221805141629"</f>
        <v>508120230425221805141629</v>
      </c>
      <c r="C3217" s="6" t="s">
        <v>16</v>
      </c>
      <c r="D3217" s="6" t="str">
        <f>"杨昌政"</f>
        <v>杨昌政</v>
      </c>
    </row>
    <row r="3218" spans="1:4" ht="30" customHeight="1">
      <c r="A3218" s="6">
        <v>3216</v>
      </c>
      <c r="B3218" s="6" t="str">
        <f>"508120230426075830141704"</f>
        <v>508120230426075830141704</v>
      </c>
      <c r="C3218" s="6" t="s">
        <v>16</v>
      </c>
      <c r="D3218" s="6" t="str">
        <f>"许少兰"</f>
        <v>许少兰</v>
      </c>
    </row>
    <row r="3219" spans="1:4" ht="30" customHeight="1">
      <c r="A3219" s="6">
        <v>3217</v>
      </c>
      <c r="B3219" s="6" t="str">
        <f>"508120230426082334141709"</f>
        <v>508120230426082334141709</v>
      </c>
      <c r="C3219" s="6" t="s">
        <v>16</v>
      </c>
      <c r="D3219" s="6" t="str">
        <f>"王继"</f>
        <v>王继</v>
      </c>
    </row>
    <row r="3220" spans="1:4" ht="30" customHeight="1">
      <c r="A3220" s="6">
        <v>3218</v>
      </c>
      <c r="B3220" s="6" t="str">
        <f>"508120230425100718141203"</f>
        <v>508120230425100718141203</v>
      </c>
      <c r="C3220" s="6" t="s">
        <v>16</v>
      </c>
      <c r="D3220" s="6" t="str">
        <f>"郑翔月"</f>
        <v>郑翔月</v>
      </c>
    </row>
    <row r="3221" spans="1:4" ht="30" customHeight="1">
      <c r="A3221" s="6">
        <v>3219</v>
      </c>
      <c r="B3221" s="6" t="str">
        <f>"508120230426003412141684"</f>
        <v>508120230426003412141684</v>
      </c>
      <c r="C3221" s="6" t="s">
        <v>16</v>
      </c>
      <c r="D3221" s="6" t="str">
        <f>"王聪"</f>
        <v>王聪</v>
      </c>
    </row>
    <row r="3222" spans="1:4" ht="30" customHeight="1">
      <c r="A3222" s="6">
        <v>3220</v>
      </c>
      <c r="B3222" s="6" t="str">
        <f>"508120230424184803140931"</f>
        <v>508120230424184803140931</v>
      </c>
      <c r="C3222" s="6" t="s">
        <v>16</v>
      </c>
      <c r="D3222" s="6" t="str">
        <f>"华俊旅"</f>
        <v>华俊旅</v>
      </c>
    </row>
    <row r="3223" spans="1:4" ht="30" customHeight="1">
      <c r="A3223" s="6">
        <v>3221</v>
      </c>
      <c r="B3223" s="6" t="str">
        <f>"508120230421090452138102"</f>
        <v>508120230421090452138102</v>
      </c>
      <c r="C3223" s="6" t="s">
        <v>16</v>
      </c>
      <c r="D3223" s="6" t="str">
        <f>"符芙蓉"</f>
        <v>符芙蓉</v>
      </c>
    </row>
    <row r="3224" spans="1:4" ht="30" customHeight="1">
      <c r="A3224" s="6">
        <v>3222</v>
      </c>
      <c r="B3224" s="6" t="str">
        <f>"508120230425215457141610"</f>
        <v>508120230425215457141610</v>
      </c>
      <c r="C3224" s="6" t="s">
        <v>16</v>
      </c>
      <c r="D3224" s="6" t="str">
        <f>"王进"</f>
        <v>王进</v>
      </c>
    </row>
    <row r="3225" spans="1:4" ht="30" customHeight="1">
      <c r="A3225" s="6">
        <v>3223</v>
      </c>
      <c r="B3225" s="6" t="str">
        <f>"508120230425104559141235"</f>
        <v>508120230425104559141235</v>
      </c>
      <c r="C3225" s="6" t="s">
        <v>16</v>
      </c>
      <c r="D3225" s="6" t="str">
        <f>"潘雪"</f>
        <v>潘雪</v>
      </c>
    </row>
    <row r="3226" spans="1:4" ht="30" customHeight="1">
      <c r="A3226" s="6">
        <v>3224</v>
      </c>
      <c r="B3226" s="6" t="str">
        <f>"508120230425153359141391"</f>
        <v>508120230425153359141391</v>
      </c>
      <c r="C3226" s="6" t="s">
        <v>16</v>
      </c>
      <c r="D3226" s="6" t="str">
        <f>"游琪"</f>
        <v>游琪</v>
      </c>
    </row>
    <row r="3227" spans="1:4" ht="30" customHeight="1">
      <c r="A3227" s="6">
        <v>3225</v>
      </c>
      <c r="B3227" s="6" t="str">
        <f>"508120230421143646138669"</f>
        <v>508120230421143646138669</v>
      </c>
      <c r="C3227" s="6" t="s">
        <v>16</v>
      </c>
      <c r="D3227" s="6" t="str">
        <f>"戴芳洁"</f>
        <v>戴芳洁</v>
      </c>
    </row>
    <row r="3228" spans="1:4" ht="30" customHeight="1">
      <c r="A3228" s="6">
        <v>3226</v>
      </c>
      <c r="B3228" s="6" t="str">
        <f>"508120230426104931141789"</f>
        <v>508120230426104931141789</v>
      </c>
      <c r="C3228" s="6" t="s">
        <v>16</v>
      </c>
      <c r="D3228" s="6" t="str">
        <f>"符智亮"</f>
        <v>符智亮</v>
      </c>
    </row>
    <row r="3229" spans="1:4" ht="30" customHeight="1">
      <c r="A3229" s="6">
        <v>3227</v>
      </c>
      <c r="B3229" s="6" t="str">
        <f>"508120230423130209139947"</f>
        <v>508120230423130209139947</v>
      </c>
      <c r="C3229" s="6" t="s">
        <v>16</v>
      </c>
      <c r="D3229" s="6" t="str">
        <f>"肖文华"</f>
        <v>肖文华</v>
      </c>
    </row>
    <row r="3230" spans="1:4" ht="30" customHeight="1">
      <c r="A3230" s="6">
        <v>3228</v>
      </c>
      <c r="B3230" s="6" t="str">
        <f>"508120230425153236141390"</f>
        <v>508120230425153236141390</v>
      </c>
      <c r="C3230" s="6" t="s">
        <v>16</v>
      </c>
      <c r="D3230" s="6" t="str">
        <f>"罗天睿"</f>
        <v>罗天睿</v>
      </c>
    </row>
    <row r="3231" spans="1:4" ht="30" customHeight="1">
      <c r="A3231" s="6">
        <v>3229</v>
      </c>
      <c r="B3231" s="6" t="str">
        <f>"508120230426102517141775"</f>
        <v>508120230426102517141775</v>
      </c>
      <c r="C3231" s="6" t="s">
        <v>16</v>
      </c>
      <c r="D3231" s="6" t="str">
        <f>"符运廷"</f>
        <v>符运廷</v>
      </c>
    </row>
    <row r="3232" spans="1:4" ht="30" customHeight="1">
      <c r="A3232" s="6">
        <v>3230</v>
      </c>
      <c r="B3232" s="6" t="str">
        <f>"508120230426133716141874"</f>
        <v>508120230426133716141874</v>
      </c>
      <c r="C3232" s="6" t="s">
        <v>16</v>
      </c>
      <c r="D3232" s="6" t="str">
        <f>"崔芝源"</f>
        <v>崔芝源</v>
      </c>
    </row>
    <row r="3233" spans="1:4" ht="30" customHeight="1">
      <c r="A3233" s="6">
        <v>3231</v>
      </c>
      <c r="B3233" s="6" t="str">
        <f>"508120230426120849141839"</f>
        <v>508120230426120849141839</v>
      </c>
      <c r="C3233" s="6" t="s">
        <v>16</v>
      </c>
      <c r="D3233" s="6" t="str">
        <f>"吴崇宁"</f>
        <v>吴崇宁</v>
      </c>
    </row>
    <row r="3234" spans="1:4" ht="30" customHeight="1">
      <c r="A3234" s="6">
        <v>3232</v>
      </c>
      <c r="B3234" s="6" t="str">
        <f>"508120230422151552139377"</f>
        <v>508120230422151552139377</v>
      </c>
      <c r="C3234" s="6" t="s">
        <v>16</v>
      </c>
      <c r="D3234" s="6" t="str">
        <f>"王菲"</f>
        <v>王菲</v>
      </c>
    </row>
    <row r="3235" spans="1:4" ht="30" customHeight="1">
      <c r="A3235" s="6">
        <v>3233</v>
      </c>
      <c r="B3235" s="6" t="str">
        <f>"508120230426161719141979"</f>
        <v>508120230426161719141979</v>
      </c>
      <c r="C3235" s="6" t="s">
        <v>16</v>
      </c>
      <c r="D3235" s="6" t="str">
        <f>"郑博雅"</f>
        <v>郑博雅</v>
      </c>
    </row>
    <row r="3236" spans="1:4" ht="30" customHeight="1">
      <c r="A3236" s="6">
        <v>3234</v>
      </c>
      <c r="B3236" s="6" t="str">
        <f>"508120230421135530138633"</f>
        <v>508120230421135530138633</v>
      </c>
      <c r="C3236" s="6" t="s">
        <v>16</v>
      </c>
      <c r="D3236" s="6" t="str">
        <f>"曾琳"</f>
        <v>曾琳</v>
      </c>
    </row>
    <row r="3237" spans="1:4" ht="30" customHeight="1">
      <c r="A3237" s="6">
        <v>3235</v>
      </c>
      <c r="B3237" s="6" t="str">
        <f>"508120230422150523139370"</f>
        <v>508120230422150523139370</v>
      </c>
      <c r="C3237" s="6" t="s">
        <v>16</v>
      </c>
      <c r="D3237" s="6" t="str">
        <f>"黄敏"</f>
        <v>黄敏</v>
      </c>
    </row>
    <row r="3238" spans="1:4" ht="30" customHeight="1">
      <c r="A3238" s="6">
        <v>3236</v>
      </c>
      <c r="B3238" s="6" t="str">
        <f>"508120230426193541142126"</f>
        <v>508120230426193541142126</v>
      </c>
      <c r="C3238" s="6" t="s">
        <v>16</v>
      </c>
      <c r="D3238" s="6" t="str">
        <f>"陈艳"</f>
        <v>陈艳</v>
      </c>
    </row>
    <row r="3239" spans="1:4" ht="30" customHeight="1">
      <c r="A3239" s="6">
        <v>3237</v>
      </c>
      <c r="B3239" s="6" t="str">
        <f>"508120230426201736142147"</f>
        <v>508120230426201736142147</v>
      </c>
      <c r="C3239" s="6" t="s">
        <v>16</v>
      </c>
      <c r="D3239" s="6" t="str">
        <f>"王位藩"</f>
        <v>王位藩</v>
      </c>
    </row>
    <row r="3240" spans="1:4" ht="30" customHeight="1">
      <c r="A3240" s="6">
        <v>3238</v>
      </c>
      <c r="B3240" s="6" t="str">
        <f>"508120230423184836140201"</f>
        <v>508120230423184836140201</v>
      </c>
      <c r="C3240" s="6" t="s">
        <v>16</v>
      </c>
      <c r="D3240" s="6" t="str">
        <f>"曾维斌"</f>
        <v>曾维斌</v>
      </c>
    </row>
    <row r="3241" spans="1:4" ht="30" customHeight="1">
      <c r="A3241" s="6">
        <v>3239</v>
      </c>
      <c r="B3241" s="6" t="str">
        <f>"508120230426204129142169"</f>
        <v>508120230426204129142169</v>
      </c>
      <c r="C3241" s="6" t="s">
        <v>16</v>
      </c>
      <c r="D3241" s="6" t="str">
        <f>"陈起伟"</f>
        <v>陈起伟</v>
      </c>
    </row>
    <row r="3242" spans="1:4" ht="30" customHeight="1">
      <c r="A3242" s="6">
        <v>3240</v>
      </c>
      <c r="B3242" s="6" t="str">
        <f>"508120230422221601139622"</f>
        <v>508120230422221601139622</v>
      </c>
      <c r="C3242" s="6" t="s">
        <v>16</v>
      </c>
      <c r="D3242" s="6" t="str">
        <f>"陈倩"</f>
        <v>陈倩</v>
      </c>
    </row>
    <row r="3243" spans="1:4" ht="30" customHeight="1">
      <c r="A3243" s="6">
        <v>3241</v>
      </c>
      <c r="B3243" s="6" t="str">
        <f>"508120230425160729141415"</f>
        <v>508120230425160729141415</v>
      </c>
      <c r="C3243" s="6" t="s">
        <v>16</v>
      </c>
      <c r="D3243" s="6" t="str">
        <f>"张理军"</f>
        <v>张理军</v>
      </c>
    </row>
    <row r="3244" spans="1:4" ht="30" customHeight="1">
      <c r="A3244" s="6">
        <v>3242</v>
      </c>
      <c r="B3244" s="6" t="str">
        <f>"508120230426203033142158"</f>
        <v>508120230426203033142158</v>
      </c>
      <c r="C3244" s="6" t="s">
        <v>16</v>
      </c>
      <c r="D3244" s="6" t="str">
        <f>"陈燕"</f>
        <v>陈燕</v>
      </c>
    </row>
    <row r="3245" spans="1:4" ht="30" customHeight="1">
      <c r="A3245" s="6">
        <v>3243</v>
      </c>
      <c r="B3245" s="6" t="str">
        <f>"508120230425001534141126"</f>
        <v>508120230425001534141126</v>
      </c>
      <c r="C3245" s="6" t="s">
        <v>16</v>
      </c>
      <c r="D3245" s="6" t="str">
        <f>"张碧渊"</f>
        <v>张碧渊</v>
      </c>
    </row>
    <row r="3246" spans="1:4" ht="30" customHeight="1">
      <c r="A3246" s="6">
        <v>3244</v>
      </c>
      <c r="B3246" s="6" t="str">
        <f>"508120230426210747142183"</f>
        <v>508120230426210747142183</v>
      </c>
      <c r="C3246" s="6" t="s">
        <v>16</v>
      </c>
      <c r="D3246" s="6" t="str">
        <f>"黎扬星"</f>
        <v>黎扬星</v>
      </c>
    </row>
    <row r="3247" spans="1:4" ht="30" customHeight="1">
      <c r="A3247" s="6">
        <v>3245</v>
      </c>
      <c r="B3247" s="6" t="str">
        <f>"508120230426085501141718"</f>
        <v>508120230426085501141718</v>
      </c>
      <c r="C3247" s="6" t="s">
        <v>16</v>
      </c>
      <c r="D3247" s="6" t="str">
        <f>"严居陈"</f>
        <v>严居陈</v>
      </c>
    </row>
    <row r="3248" spans="1:4" ht="30" customHeight="1">
      <c r="A3248" s="6">
        <v>3246</v>
      </c>
      <c r="B3248" s="6" t="str">
        <f>"508120230423212813140323"</f>
        <v>508120230423212813140323</v>
      </c>
      <c r="C3248" s="6" t="s">
        <v>16</v>
      </c>
      <c r="D3248" s="6" t="str">
        <f>"陈泽湘"</f>
        <v>陈泽湘</v>
      </c>
    </row>
    <row r="3249" spans="1:4" ht="30" customHeight="1">
      <c r="A3249" s="6">
        <v>3247</v>
      </c>
      <c r="B3249" s="6" t="str">
        <f>"508120230424162431140832"</f>
        <v>508120230424162431140832</v>
      </c>
      <c r="C3249" s="6" t="s">
        <v>16</v>
      </c>
      <c r="D3249" s="6" t="str">
        <f>"陈晨希"</f>
        <v>陈晨希</v>
      </c>
    </row>
    <row r="3250" spans="1:4" ht="30" customHeight="1">
      <c r="A3250" s="6">
        <v>3248</v>
      </c>
      <c r="B3250" s="6" t="str">
        <f>"508120230426214335142214"</f>
        <v>508120230426214335142214</v>
      </c>
      <c r="C3250" s="6" t="s">
        <v>16</v>
      </c>
      <c r="D3250" s="6" t="str">
        <f>"蒙昱臻"</f>
        <v>蒙昱臻</v>
      </c>
    </row>
    <row r="3251" spans="1:4" ht="30" customHeight="1">
      <c r="A3251" s="6">
        <v>3249</v>
      </c>
      <c r="B3251" s="6" t="str">
        <f>"508120230426152912141933"</f>
        <v>508120230426152912141933</v>
      </c>
      <c r="C3251" s="6" t="s">
        <v>16</v>
      </c>
      <c r="D3251" s="6" t="str">
        <f>"邢维遵"</f>
        <v>邢维遵</v>
      </c>
    </row>
    <row r="3252" spans="1:4" ht="30" customHeight="1">
      <c r="A3252" s="6">
        <v>3250</v>
      </c>
      <c r="B3252" s="6" t="str">
        <f>"508120230426222200142247"</f>
        <v>508120230426222200142247</v>
      </c>
      <c r="C3252" s="6" t="s">
        <v>16</v>
      </c>
      <c r="D3252" s="6" t="str">
        <f>"黄诚阳"</f>
        <v>黄诚阳</v>
      </c>
    </row>
    <row r="3253" spans="1:4" ht="30" customHeight="1">
      <c r="A3253" s="6">
        <v>3251</v>
      </c>
      <c r="B3253" s="6" t="str">
        <f>"508120230426215410142222"</f>
        <v>508120230426215410142222</v>
      </c>
      <c r="C3253" s="6" t="s">
        <v>16</v>
      </c>
      <c r="D3253" s="6" t="str">
        <f>"蔡天豪"</f>
        <v>蔡天豪</v>
      </c>
    </row>
    <row r="3254" spans="1:4" ht="30" customHeight="1">
      <c r="A3254" s="6">
        <v>3252</v>
      </c>
      <c r="B3254" s="6" t="str">
        <f>"508120230425231427141657"</f>
        <v>508120230425231427141657</v>
      </c>
      <c r="C3254" s="6" t="s">
        <v>16</v>
      </c>
      <c r="D3254" s="6" t="str">
        <f>"薛超"</f>
        <v>薛超</v>
      </c>
    </row>
    <row r="3255" spans="1:4" ht="30" customHeight="1">
      <c r="A3255" s="6">
        <v>3253</v>
      </c>
      <c r="B3255" s="6" t="str">
        <f>"508120230426212752142202"</f>
        <v>508120230426212752142202</v>
      </c>
      <c r="C3255" s="6" t="s">
        <v>16</v>
      </c>
      <c r="D3255" s="6" t="str">
        <f>"黄心恋"</f>
        <v>黄心恋</v>
      </c>
    </row>
    <row r="3256" spans="1:4" ht="30" customHeight="1">
      <c r="A3256" s="6">
        <v>3254</v>
      </c>
      <c r="B3256" s="6" t="str">
        <f>"508120230426093519141739"</f>
        <v>508120230426093519141739</v>
      </c>
      <c r="C3256" s="6" t="s">
        <v>16</v>
      </c>
      <c r="D3256" s="6" t="str">
        <f>"吴雨声"</f>
        <v>吴雨声</v>
      </c>
    </row>
    <row r="3257" spans="1:4" ht="30" customHeight="1">
      <c r="A3257" s="6">
        <v>3255</v>
      </c>
      <c r="B3257" s="6" t="str">
        <f>"508120230427083649142395"</f>
        <v>508120230427083649142395</v>
      </c>
      <c r="C3257" s="6" t="s">
        <v>16</v>
      </c>
      <c r="D3257" s="6" t="str">
        <f>"梁建平"</f>
        <v>梁建平</v>
      </c>
    </row>
    <row r="3258" spans="1:4" ht="30" customHeight="1">
      <c r="A3258" s="6">
        <v>3256</v>
      </c>
      <c r="B3258" s="6" t="str">
        <f>"508120230424162939140837"</f>
        <v>508120230424162939140837</v>
      </c>
      <c r="C3258" s="6" t="s">
        <v>16</v>
      </c>
      <c r="D3258" s="6" t="str">
        <f>"陈李虎"</f>
        <v>陈李虎</v>
      </c>
    </row>
    <row r="3259" spans="1:4" ht="30" customHeight="1">
      <c r="A3259" s="6">
        <v>3257</v>
      </c>
      <c r="B3259" s="6" t="str">
        <f>"508120230426232400142303"</f>
        <v>508120230426232400142303</v>
      </c>
      <c r="C3259" s="6" t="s">
        <v>16</v>
      </c>
      <c r="D3259" s="6" t="str">
        <f>"徐红颜"</f>
        <v>徐红颜</v>
      </c>
    </row>
    <row r="3260" spans="1:4" ht="30" customHeight="1">
      <c r="A3260" s="6">
        <v>3258</v>
      </c>
      <c r="B3260" s="6" t="str">
        <f>"508120230427092427142432"</f>
        <v>508120230427092427142432</v>
      </c>
      <c r="C3260" s="6" t="s">
        <v>16</v>
      </c>
      <c r="D3260" s="6" t="str">
        <f>"刘捷"</f>
        <v>刘捷</v>
      </c>
    </row>
    <row r="3261" spans="1:4" ht="30" customHeight="1">
      <c r="A3261" s="6">
        <v>3259</v>
      </c>
      <c r="B3261" s="6" t="str">
        <f>"508120230425113751141287"</f>
        <v>508120230425113751141287</v>
      </c>
      <c r="C3261" s="6" t="s">
        <v>16</v>
      </c>
      <c r="D3261" s="6" t="str">
        <f>"王丽君"</f>
        <v>王丽君</v>
      </c>
    </row>
    <row r="3262" spans="1:4" ht="30" customHeight="1">
      <c r="A3262" s="6">
        <v>3260</v>
      </c>
      <c r="B3262" s="6" t="str">
        <f>"508120230427091642142423"</f>
        <v>508120230427091642142423</v>
      </c>
      <c r="C3262" s="6" t="s">
        <v>16</v>
      </c>
      <c r="D3262" s="6" t="str">
        <f>"黄山珊"</f>
        <v>黄山珊</v>
      </c>
    </row>
    <row r="3263" spans="1:4" ht="30" customHeight="1">
      <c r="A3263" s="6">
        <v>3261</v>
      </c>
      <c r="B3263" s="6" t="str">
        <f>"508120230427094917142469"</f>
        <v>508120230427094917142469</v>
      </c>
      <c r="C3263" s="6" t="s">
        <v>16</v>
      </c>
      <c r="D3263" s="6" t="str">
        <f>"杨涛"</f>
        <v>杨涛</v>
      </c>
    </row>
    <row r="3264" spans="1:4" ht="30" customHeight="1">
      <c r="A3264" s="6">
        <v>3262</v>
      </c>
      <c r="B3264" s="6" t="str">
        <f>"508120230426233655142311"</f>
        <v>508120230426233655142311</v>
      </c>
      <c r="C3264" s="6" t="s">
        <v>16</v>
      </c>
      <c r="D3264" s="6" t="str">
        <f>"陈港川"</f>
        <v>陈港川</v>
      </c>
    </row>
    <row r="3265" spans="1:4" ht="30" customHeight="1">
      <c r="A3265" s="6">
        <v>3263</v>
      </c>
      <c r="B3265" s="6" t="str">
        <f>"508120230427104507142529"</f>
        <v>508120230427104507142529</v>
      </c>
      <c r="C3265" s="6" t="s">
        <v>16</v>
      </c>
      <c r="D3265" s="6" t="str">
        <f>"陈鹏"</f>
        <v>陈鹏</v>
      </c>
    </row>
    <row r="3266" spans="1:4" ht="30" customHeight="1">
      <c r="A3266" s="6">
        <v>3264</v>
      </c>
      <c r="B3266" s="6" t="str">
        <f>"508120230427091050142419"</f>
        <v>508120230427091050142419</v>
      </c>
      <c r="C3266" s="6" t="s">
        <v>16</v>
      </c>
      <c r="D3266" s="6" t="str">
        <f>"伍理权"</f>
        <v>伍理权</v>
      </c>
    </row>
    <row r="3267" spans="1:4" ht="30" customHeight="1">
      <c r="A3267" s="6">
        <v>3265</v>
      </c>
      <c r="B3267" s="6" t="str">
        <f>"508120230427113337142564"</f>
        <v>508120230427113337142564</v>
      </c>
      <c r="C3267" s="6" t="s">
        <v>16</v>
      </c>
      <c r="D3267" s="6" t="str">
        <f>"李景岛"</f>
        <v>李景岛</v>
      </c>
    </row>
    <row r="3268" spans="1:4" ht="30" customHeight="1">
      <c r="A3268" s="6">
        <v>3266</v>
      </c>
      <c r="B3268" s="6" t="str">
        <f>"508120230427114935142579"</f>
        <v>508120230427114935142579</v>
      </c>
      <c r="C3268" s="6" t="s">
        <v>16</v>
      </c>
      <c r="D3268" s="6" t="str">
        <f>"徐敏"</f>
        <v>徐敏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奥莉和胖肉*^O^* 火力全开</cp:lastModifiedBy>
  <dcterms:created xsi:type="dcterms:W3CDTF">2023-04-27T09:51:56Z</dcterms:created>
  <dcterms:modified xsi:type="dcterms:W3CDTF">2023-05-15T08:11:23Z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B748DEF6F7F64E4A9C1A16B5B7048050_13</vt:lpwstr>
  </property>
  <property fmtid="{D5CDD505-2E9C-101B-9397-08002B2CF9AE}" pid="4" name="KSOProductBuildV">
    <vt:lpwstr>2052-11.1.0.14309</vt:lpwstr>
  </property>
</Properties>
</file>