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74" windowHeight="10097" activeTab="0"/>
  </bookViews>
  <sheets>
    <sheet name="表" sheetId="1" r:id="rId1"/>
  </sheets>
  <definedNames/>
  <calcPr fullCalcOnLoad="1"/>
</workbook>
</file>

<file path=xl/sharedStrings.xml><?xml version="1.0" encoding="utf-8"?>
<sst xmlns="http://schemas.openxmlformats.org/spreadsheetml/2006/main" count="1694" uniqueCount="118">
  <si>
    <t>2023年三亚市教育局直属公办学校赴北京公开招聘教师资格初审合格并进入笔试人员名单</t>
  </si>
  <si>
    <t>序号</t>
  </si>
  <si>
    <t>报考号</t>
  </si>
  <si>
    <t>报考岗位</t>
  </si>
  <si>
    <t>姓名</t>
  </si>
  <si>
    <t>性别</t>
  </si>
  <si>
    <t>备注</t>
  </si>
  <si>
    <t>0101_小学语文教师</t>
  </si>
  <si>
    <t>身份证号码后三位数为227</t>
  </si>
  <si>
    <t>0102_小学数学教师</t>
  </si>
  <si>
    <t>身份证号码后三位数为186</t>
  </si>
  <si>
    <t>0103_高中语文教师</t>
  </si>
  <si>
    <t>0105_高中英语教师</t>
  </si>
  <si>
    <t>0107_小学语文教师</t>
  </si>
  <si>
    <t>身份证号码后三位数为826</t>
  </si>
  <si>
    <t>身份证号码后三位数为821</t>
  </si>
  <si>
    <t>身份证号码后三位数为661</t>
  </si>
  <si>
    <t>0108_小学数学教师</t>
  </si>
  <si>
    <t>0109_小学体育教师</t>
  </si>
  <si>
    <t>0201_中学生物教师</t>
  </si>
  <si>
    <t>0202_中学数学教师</t>
  </si>
  <si>
    <t>0204_中学英语教师</t>
  </si>
  <si>
    <t>0205_中学语文教师</t>
  </si>
  <si>
    <t>0206_中学数学教师</t>
  </si>
  <si>
    <t>0207_中学英语教师</t>
  </si>
  <si>
    <t>0208_中学物理教师</t>
  </si>
  <si>
    <t>0209_中学历史教师</t>
  </si>
  <si>
    <t>身份证号码后三位数为424</t>
  </si>
  <si>
    <t>0301_初中语文教师</t>
  </si>
  <si>
    <t>0302_初中数学教师</t>
  </si>
  <si>
    <t>0303_初中英语教师</t>
  </si>
  <si>
    <t>0304_初中政治教师</t>
  </si>
  <si>
    <t>0306_初中地理教师</t>
  </si>
  <si>
    <t>0307_初中体育教师</t>
  </si>
  <si>
    <t>0308_初中心理教师</t>
  </si>
  <si>
    <t>0401_高中语文教师</t>
  </si>
  <si>
    <t>0402_高中数学教师</t>
  </si>
  <si>
    <t>0403_高中历史教师</t>
  </si>
  <si>
    <t>0404_高中物理教师</t>
  </si>
  <si>
    <t>0405_高中生物教师</t>
  </si>
  <si>
    <t>0406_高中地理教师</t>
  </si>
  <si>
    <t>0407_初中语文教师</t>
  </si>
  <si>
    <t>身份证号码后三位数为628</t>
  </si>
  <si>
    <t>0408_初中数学教师</t>
  </si>
  <si>
    <t>身份证号码后三位数为524</t>
  </si>
  <si>
    <t>0409_初中地理教师</t>
  </si>
  <si>
    <t>身份证号码后三位数为525</t>
  </si>
  <si>
    <t>0410_初中物理教师</t>
  </si>
  <si>
    <t>0411_初中生物教师</t>
  </si>
  <si>
    <t>身份证号码后三位数为844</t>
  </si>
  <si>
    <t>身份证号码后三位数为649</t>
  </si>
  <si>
    <t>0501_高中语文教师</t>
  </si>
  <si>
    <t>0503_高中英语教师</t>
  </si>
  <si>
    <t>0504_高中物理教师</t>
  </si>
  <si>
    <t>0505_高中化学教师</t>
  </si>
  <si>
    <t>身份证号码后三位数为343</t>
  </si>
  <si>
    <t>0507_高中思想政治教师</t>
  </si>
  <si>
    <t>0509_高中体育教师</t>
  </si>
  <si>
    <t>0510_高中信息技术教师</t>
  </si>
  <si>
    <t>0511_高中美术教师</t>
  </si>
  <si>
    <t>0512_高中音乐教师</t>
  </si>
  <si>
    <t>身份证号码后三位数为514</t>
  </si>
  <si>
    <t>0513_高中生物教师</t>
  </si>
  <si>
    <t>0514_高中心理教师</t>
  </si>
  <si>
    <t>0515_初中语文教师</t>
  </si>
  <si>
    <t>0516_初中数学教师</t>
  </si>
  <si>
    <t>身份证号码后三位数为927</t>
  </si>
  <si>
    <t>0517_初中英语教师</t>
  </si>
  <si>
    <t>身份证号码后三位数为202</t>
  </si>
  <si>
    <t>0518_初中生物教师</t>
  </si>
  <si>
    <t>0519_初中政治教师</t>
  </si>
  <si>
    <t>0520_初中历史教师</t>
  </si>
  <si>
    <t>0521_初中音乐教师</t>
  </si>
  <si>
    <t>0522_初中地理教师</t>
  </si>
  <si>
    <t>0523_初中信息技术教师</t>
  </si>
  <si>
    <t>0524_初中体育教师</t>
  </si>
  <si>
    <t>身份证号码后三位数为02X</t>
  </si>
  <si>
    <t>0525_初中美术教师</t>
  </si>
  <si>
    <t>0601_小学语文教师</t>
  </si>
  <si>
    <t>身份证号码后三位数为023</t>
  </si>
  <si>
    <t>0602_小学数学教师</t>
  </si>
  <si>
    <t>身份证号码后三位数为744</t>
  </si>
  <si>
    <t>身份证号码后三位数为921</t>
  </si>
  <si>
    <t>身份证号码后三位数为120</t>
  </si>
  <si>
    <t>身份证号码后三位数为766</t>
  </si>
  <si>
    <t>身份证号码后三位数为240</t>
  </si>
  <si>
    <t>身份证号码后三位数为220</t>
  </si>
  <si>
    <t>身份证号码后三位数为03X</t>
  </si>
  <si>
    <t>0603_小学道德与法治教师</t>
  </si>
  <si>
    <t>0604_小学体育教师</t>
  </si>
  <si>
    <t>身份证号码后三位数为919</t>
  </si>
  <si>
    <t>0605_小学音乐教师</t>
  </si>
  <si>
    <t>0606_小学美术教师</t>
  </si>
  <si>
    <t>0607_小学信息技术教师</t>
  </si>
  <si>
    <t>0701_初中数学教师</t>
  </si>
  <si>
    <t>0702_初中英语教师</t>
  </si>
  <si>
    <t>0703_初中历史教师</t>
  </si>
  <si>
    <t>身份证号码后三位数为32X</t>
  </si>
  <si>
    <t>0704_初中地理教师</t>
  </si>
  <si>
    <t>0705_初中物理教师</t>
  </si>
  <si>
    <t>0706_初中化学教师</t>
  </si>
  <si>
    <t>身份证号码后三位数为62X</t>
  </si>
  <si>
    <t>0707_高中语文老师</t>
  </si>
  <si>
    <t>0708_高中英语教师</t>
  </si>
  <si>
    <t>0709_高中数学教师</t>
  </si>
  <si>
    <t>0710_高中生物教师</t>
  </si>
  <si>
    <t>0712_高中化学教师</t>
  </si>
  <si>
    <t>0713_高中历史教师</t>
  </si>
  <si>
    <t>0714_高中思想政治教师</t>
  </si>
  <si>
    <t>0715_高中体育教师</t>
  </si>
  <si>
    <t>身份证号码后三位数为410</t>
  </si>
  <si>
    <t>0716_高中信息技术教师</t>
  </si>
  <si>
    <t>0717_高中音乐教师</t>
  </si>
  <si>
    <t>0801_初中地理教师</t>
  </si>
  <si>
    <t>0802_初中数学教师</t>
  </si>
  <si>
    <t>0803_高中数学教师</t>
  </si>
  <si>
    <t>0804_高中语文教师</t>
  </si>
  <si>
    <t>身份证号码后三位数为286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</si>
</sst>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11"/>
      <color indexed="8"/>
      <name val="宋体"/>
      <family val="0"/>
    </font>
    <font>
      <b/>
      <sz val="14"/>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2">
    <xf numFmtId="0" fontId="0" fillId="0" borderId="0" xfId="0" applyFont="1" applyAlignment="1">
      <alignment vertical="center"/>
    </xf>
    <xf numFmtId="0" fontId="37" fillId="0" borderId="0" xfId="0" applyFon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wrapText="1"/>
    </xf>
    <xf numFmtId="0" fontId="40" fillId="0" borderId="0" xfId="0" applyFont="1" applyFill="1" applyAlignment="1">
      <alignment horizontal="center" vertical="center" wrapText="1"/>
    </xf>
    <xf numFmtId="0" fontId="37" fillId="0" borderId="9" xfId="0" applyFont="1" applyBorder="1" applyAlignment="1">
      <alignment horizontal="center" vertical="center" wrapText="1"/>
    </xf>
    <xf numFmtId="0" fontId="37" fillId="0" borderId="9" xfId="0" applyFont="1" applyFill="1" applyBorder="1" applyAlignment="1">
      <alignment horizontal="center"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659"/>
  <sheetViews>
    <sheetView tabSelected="1" workbookViewId="0" topLeftCell="A1">
      <pane ySplit="2" topLeftCell="A1647" activePane="bottomLeft" state="frozen"/>
      <selection pane="bottomLeft" activeCell="J1657" sqref="J1657"/>
    </sheetView>
  </sheetViews>
  <sheetFormatPr defaultColWidth="9.00390625" defaultRowHeight="30" customHeight="1"/>
  <cols>
    <col min="1" max="1" width="9.00390625" style="2" customWidth="1"/>
    <col min="2" max="2" width="29.7109375" style="2" customWidth="1"/>
    <col min="3" max="3" width="27.28125" style="2" customWidth="1"/>
    <col min="4" max="4" width="14.28125" style="3" customWidth="1"/>
    <col min="5" max="5" width="9.00390625" style="2" customWidth="1"/>
    <col min="6" max="6" width="26.28125" style="3" customWidth="1"/>
    <col min="7" max="16384" width="9.00390625" style="2" customWidth="1"/>
  </cols>
  <sheetData>
    <row r="1" spans="1:6" ht="30" customHeight="1">
      <c r="A1" s="4" t="s">
        <v>0</v>
      </c>
      <c r="B1" s="5"/>
      <c r="C1" s="5"/>
      <c r="D1" s="6"/>
      <c r="E1" s="5"/>
      <c r="F1" s="6"/>
    </row>
    <row r="2" spans="1:6" s="1" customFormat="1" ht="30" customHeight="1">
      <c r="A2" s="7" t="s">
        <v>1</v>
      </c>
      <c r="B2" s="7" t="s">
        <v>2</v>
      </c>
      <c r="C2" s="7" t="s">
        <v>3</v>
      </c>
      <c r="D2" s="8" t="s">
        <v>4</v>
      </c>
      <c r="E2" s="7" t="s">
        <v>5</v>
      </c>
      <c r="F2" s="8" t="s">
        <v>6</v>
      </c>
    </row>
    <row r="3" spans="1:6" ht="30" customHeight="1">
      <c r="A3" s="9">
        <v>1</v>
      </c>
      <c r="B3" s="9" t="str">
        <f>"50322023032108073762965"</f>
        <v>50322023032108073762965</v>
      </c>
      <c r="C3" s="9" t="s">
        <v>7</v>
      </c>
      <c r="D3" s="10" t="str">
        <f>"蒋秋妹"</f>
        <v>蒋秋妹</v>
      </c>
      <c r="E3" s="9" t="str">
        <f aca="true" t="shared" si="0" ref="E3:E19">"女"</f>
        <v>女</v>
      </c>
      <c r="F3" s="10"/>
    </row>
    <row r="4" spans="1:6" ht="30" customHeight="1">
      <c r="A4" s="9">
        <v>2</v>
      </c>
      <c r="B4" s="9" t="str">
        <f>"50322023032109374363478"</f>
        <v>50322023032109374363478</v>
      </c>
      <c r="C4" s="9" t="s">
        <v>7</v>
      </c>
      <c r="D4" s="10" t="str">
        <f>"张为"</f>
        <v>张为</v>
      </c>
      <c r="E4" s="9" t="str">
        <f t="shared" si="0"/>
        <v>女</v>
      </c>
      <c r="F4" s="10"/>
    </row>
    <row r="5" spans="1:6" ht="30" customHeight="1">
      <c r="A5" s="9">
        <v>3</v>
      </c>
      <c r="B5" s="9" t="str">
        <f>"50322023032109375563479"</f>
        <v>50322023032109375563479</v>
      </c>
      <c r="C5" s="9" t="s">
        <v>7</v>
      </c>
      <c r="D5" s="10" t="str">
        <f>"蒋宛君"</f>
        <v>蒋宛君</v>
      </c>
      <c r="E5" s="9" t="str">
        <f t="shared" si="0"/>
        <v>女</v>
      </c>
      <c r="F5" s="10"/>
    </row>
    <row r="6" spans="1:6" ht="30" customHeight="1">
      <c r="A6" s="9">
        <v>4</v>
      </c>
      <c r="B6" s="9" t="str">
        <f>"50322023032109411863504"</f>
        <v>50322023032109411863504</v>
      </c>
      <c r="C6" s="9" t="s">
        <v>7</v>
      </c>
      <c r="D6" s="10" t="str">
        <f>"林明雯"</f>
        <v>林明雯</v>
      </c>
      <c r="E6" s="9" t="str">
        <f t="shared" si="0"/>
        <v>女</v>
      </c>
      <c r="F6" s="10"/>
    </row>
    <row r="7" spans="1:6" ht="30" customHeight="1">
      <c r="A7" s="9">
        <v>5</v>
      </c>
      <c r="B7" s="9" t="str">
        <f>"50322023032110233764184"</f>
        <v>50322023032110233764184</v>
      </c>
      <c r="C7" s="9" t="s">
        <v>7</v>
      </c>
      <c r="D7" s="10" t="str">
        <f>"钟海琪"</f>
        <v>钟海琪</v>
      </c>
      <c r="E7" s="9" t="str">
        <f t="shared" si="0"/>
        <v>女</v>
      </c>
      <c r="F7" s="10"/>
    </row>
    <row r="8" spans="1:6" ht="30" customHeight="1">
      <c r="A8" s="9">
        <v>6</v>
      </c>
      <c r="B8" s="9" t="str">
        <f>"50322023032110565164470"</f>
        <v>50322023032110565164470</v>
      </c>
      <c r="C8" s="9" t="s">
        <v>7</v>
      </c>
      <c r="D8" s="10" t="str">
        <f>"黄如露"</f>
        <v>黄如露</v>
      </c>
      <c r="E8" s="9" t="str">
        <f t="shared" si="0"/>
        <v>女</v>
      </c>
      <c r="F8" s="10"/>
    </row>
    <row r="9" spans="1:6" ht="30" customHeight="1">
      <c r="A9" s="9">
        <v>7</v>
      </c>
      <c r="B9" s="9" t="str">
        <f>"50322023032111135864632"</f>
        <v>50322023032111135864632</v>
      </c>
      <c r="C9" s="9" t="s">
        <v>7</v>
      </c>
      <c r="D9" s="10" t="str">
        <f>"周小玲"</f>
        <v>周小玲</v>
      </c>
      <c r="E9" s="9" t="str">
        <f t="shared" si="0"/>
        <v>女</v>
      </c>
      <c r="F9" s="10"/>
    </row>
    <row r="10" spans="1:6" ht="30" customHeight="1">
      <c r="A10" s="9">
        <v>8</v>
      </c>
      <c r="B10" s="9" t="str">
        <f>"50322023032111210564698"</f>
        <v>50322023032111210564698</v>
      </c>
      <c r="C10" s="9" t="s">
        <v>7</v>
      </c>
      <c r="D10" s="10" t="str">
        <f>"陈丽萍"</f>
        <v>陈丽萍</v>
      </c>
      <c r="E10" s="9" t="str">
        <f t="shared" si="0"/>
        <v>女</v>
      </c>
      <c r="F10" s="10"/>
    </row>
    <row r="11" spans="1:6" ht="30" customHeight="1">
      <c r="A11" s="9">
        <v>9</v>
      </c>
      <c r="B11" s="9" t="str">
        <f>"50322023032112212265127"</f>
        <v>50322023032112212265127</v>
      </c>
      <c r="C11" s="9" t="s">
        <v>7</v>
      </c>
      <c r="D11" s="10" t="str">
        <f>"谭雨"</f>
        <v>谭雨</v>
      </c>
      <c r="E11" s="9" t="str">
        <f t="shared" si="0"/>
        <v>女</v>
      </c>
      <c r="F11" s="10"/>
    </row>
    <row r="12" spans="1:6" ht="30" customHeight="1">
      <c r="A12" s="9">
        <v>10</v>
      </c>
      <c r="B12" s="9" t="str">
        <f>"50322023032113103265417"</f>
        <v>50322023032113103265417</v>
      </c>
      <c r="C12" s="9" t="s">
        <v>7</v>
      </c>
      <c r="D12" s="10" t="str">
        <f>"符玉涛"</f>
        <v>符玉涛</v>
      </c>
      <c r="E12" s="9" t="str">
        <f t="shared" si="0"/>
        <v>女</v>
      </c>
      <c r="F12" s="10"/>
    </row>
    <row r="13" spans="1:6" ht="30" customHeight="1">
      <c r="A13" s="9">
        <v>11</v>
      </c>
      <c r="B13" s="9" t="str">
        <f>"50322023032114365465952"</f>
        <v>50322023032114365465952</v>
      </c>
      <c r="C13" s="9" t="s">
        <v>7</v>
      </c>
      <c r="D13" s="10" t="str">
        <f>"莫晓树"</f>
        <v>莫晓树</v>
      </c>
      <c r="E13" s="9" t="str">
        <f t="shared" si="0"/>
        <v>女</v>
      </c>
      <c r="F13" s="10"/>
    </row>
    <row r="14" spans="1:6" ht="30" customHeight="1">
      <c r="A14" s="9">
        <v>12</v>
      </c>
      <c r="B14" s="9" t="str">
        <f>"50322023032115060566124"</f>
        <v>50322023032115060566124</v>
      </c>
      <c r="C14" s="9" t="s">
        <v>7</v>
      </c>
      <c r="D14" s="10" t="str">
        <f>"李梓豫"</f>
        <v>李梓豫</v>
      </c>
      <c r="E14" s="9" t="str">
        <f t="shared" si="0"/>
        <v>女</v>
      </c>
      <c r="F14" s="10"/>
    </row>
    <row r="15" spans="1:6" ht="30" customHeight="1">
      <c r="A15" s="9">
        <v>13</v>
      </c>
      <c r="B15" s="9" t="str">
        <f>"50322023032115465566398"</f>
        <v>50322023032115465566398</v>
      </c>
      <c r="C15" s="9" t="s">
        <v>7</v>
      </c>
      <c r="D15" s="10" t="str">
        <f>"杨芷"</f>
        <v>杨芷</v>
      </c>
      <c r="E15" s="9" t="str">
        <f t="shared" si="0"/>
        <v>女</v>
      </c>
      <c r="F15" s="10"/>
    </row>
    <row r="16" spans="1:6" ht="30" customHeight="1">
      <c r="A16" s="9">
        <v>14</v>
      </c>
      <c r="B16" s="9" t="str">
        <f>"50322023032117195567015"</f>
        <v>50322023032117195567015</v>
      </c>
      <c r="C16" s="9" t="s">
        <v>7</v>
      </c>
      <c r="D16" s="10" t="str">
        <f>"汤巧浪"</f>
        <v>汤巧浪</v>
      </c>
      <c r="E16" s="9" t="str">
        <f t="shared" si="0"/>
        <v>女</v>
      </c>
      <c r="F16" s="10"/>
    </row>
    <row r="17" spans="1:6" ht="30" customHeight="1">
      <c r="A17" s="9">
        <v>15</v>
      </c>
      <c r="B17" s="9" t="str">
        <f>"50322023032117451967143"</f>
        <v>50322023032117451967143</v>
      </c>
      <c r="C17" s="9" t="s">
        <v>7</v>
      </c>
      <c r="D17" s="10" t="str">
        <f>"钟建娜"</f>
        <v>钟建娜</v>
      </c>
      <c r="E17" s="9" t="str">
        <f t="shared" si="0"/>
        <v>女</v>
      </c>
      <c r="F17" s="10"/>
    </row>
    <row r="18" spans="1:6" ht="30" customHeight="1">
      <c r="A18" s="9">
        <v>16</v>
      </c>
      <c r="B18" s="9" t="str">
        <f>"50322023032123472369111"</f>
        <v>50322023032123472369111</v>
      </c>
      <c r="C18" s="9" t="s">
        <v>7</v>
      </c>
      <c r="D18" s="10" t="str">
        <f>"高元浪"</f>
        <v>高元浪</v>
      </c>
      <c r="E18" s="9" t="str">
        <f t="shared" si="0"/>
        <v>女</v>
      </c>
      <c r="F18" s="10"/>
    </row>
    <row r="19" spans="1:6" ht="30" customHeight="1">
      <c r="A19" s="9">
        <v>17</v>
      </c>
      <c r="B19" s="9" t="str">
        <f>"50322023032210383470100"</f>
        <v>50322023032210383470100</v>
      </c>
      <c r="C19" s="9" t="s">
        <v>7</v>
      </c>
      <c r="D19" s="10" t="str">
        <f>"赵楚薇"</f>
        <v>赵楚薇</v>
      </c>
      <c r="E19" s="9" t="str">
        <f t="shared" si="0"/>
        <v>女</v>
      </c>
      <c r="F19" s="10"/>
    </row>
    <row r="20" spans="1:6" ht="30" customHeight="1">
      <c r="A20" s="9">
        <v>18</v>
      </c>
      <c r="B20" s="9" t="str">
        <f>"50322023032211503970637"</f>
        <v>50322023032211503970637</v>
      </c>
      <c r="C20" s="9" t="s">
        <v>7</v>
      </c>
      <c r="D20" s="10" t="str">
        <f>"陈平国"</f>
        <v>陈平国</v>
      </c>
      <c r="E20" s="9" t="str">
        <f>"男"</f>
        <v>男</v>
      </c>
      <c r="F20" s="10"/>
    </row>
    <row r="21" spans="1:6" ht="30" customHeight="1">
      <c r="A21" s="9">
        <v>19</v>
      </c>
      <c r="B21" s="9" t="str">
        <f>"50322023032309410573954"</f>
        <v>50322023032309410573954</v>
      </c>
      <c r="C21" s="9" t="s">
        <v>7</v>
      </c>
      <c r="D21" s="10" t="str">
        <f>"曾夏婷"</f>
        <v>曾夏婷</v>
      </c>
      <c r="E21" s="9" t="str">
        <f aca="true" t="shared" si="1" ref="E21:E44">"女"</f>
        <v>女</v>
      </c>
      <c r="F21" s="10"/>
    </row>
    <row r="22" spans="1:6" ht="30" customHeight="1">
      <c r="A22" s="9">
        <v>20</v>
      </c>
      <c r="B22" s="9" t="str">
        <f>"50322023032320163475069"</f>
        <v>50322023032320163475069</v>
      </c>
      <c r="C22" s="9" t="s">
        <v>7</v>
      </c>
      <c r="D22" s="10" t="str">
        <f>"唐贤丽"</f>
        <v>唐贤丽</v>
      </c>
      <c r="E22" s="9" t="str">
        <f t="shared" si="1"/>
        <v>女</v>
      </c>
      <c r="F22" s="10"/>
    </row>
    <row r="23" spans="1:6" ht="30" customHeight="1">
      <c r="A23" s="9">
        <v>21</v>
      </c>
      <c r="B23" s="9" t="str">
        <f>"50322023032320463275106"</f>
        <v>50322023032320463275106</v>
      </c>
      <c r="C23" s="9" t="s">
        <v>7</v>
      </c>
      <c r="D23" s="10" t="str">
        <f>"邓净尹"</f>
        <v>邓净尹</v>
      </c>
      <c r="E23" s="9" t="str">
        <f t="shared" si="1"/>
        <v>女</v>
      </c>
      <c r="F23" s="10"/>
    </row>
    <row r="24" spans="1:6" ht="30" customHeight="1">
      <c r="A24" s="9">
        <v>22</v>
      </c>
      <c r="B24" s="9" t="str">
        <f>"50322023032415443576024"</f>
        <v>50322023032415443576024</v>
      </c>
      <c r="C24" s="9" t="s">
        <v>7</v>
      </c>
      <c r="D24" s="10" t="str">
        <f>"毛奕"</f>
        <v>毛奕</v>
      </c>
      <c r="E24" s="9" t="str">
        <f t="shared" si="1"/>
        <v>女</v>
      </c>
      <c r="F24" s="10"/>
    </row>
    <row r="25" spans="1:6" ht="30" customHeight="1">
      <c r="A25" s="9">
        <v>23</v>
      </c>
      <c r="B25" s="9" t="str">
        <f>"50322023032417113876140"</f>
        <v>50322023032417113876140</v>
      </c>
      <c r="C25" s="9" t="s">
        <v>7</v>
      </c>
      <c r="D25" s="10" t="str">
        <f>"邓海霞"</f>
        <v>邓海霞</v>
      </c>
      <c r="E25" s="9" t="str">
        <f t="shared" si="1"/>
        <v>女</v>
      </c>
      <c r="F25" s="10"/>
    </row>
    <row r="26" spans="1:6" ht="30" customHeight="1">
      <c r="A26" s="9">
        <v>24</v>
      </c>
      <c r="B26" s="9" t="str">
        <f>"50322023032417560476182"</f>
        <v>50322023032417560476182</v>
      </c>
      <c r="C26" s="9" t="s">
        <v>7</v>
      </c>
      <c r="D26" s="10" t="str">
        <f>"胡莹"</f>
        <v>胡莹</v>
      </c>
      <c r="E26" s="9" t="str">
        <f t="shared" si="1"/>
        <v>女</v>
      </c>
      <c r="F26" s="10"/>
    </row>
    <row r="27" spans="1:6" ht="30" customHeight="1">
      <c r="A27" s="9">
        <v>25</v>
      </c>
      <c r="B27" s="9" t="str">
        <f>"50322023032419245676262"</f>
        <v>50322023032419245676262</v>
      </c>
      <c r="C27" s="9" t="s">
        <v>7</v>
      </c>
      <c r="D27" s="10" t="str">
        <f>"黎蝶"</f>
        <v>黎蝶</v>
      </c>
      <c r="E27" s="9" t="str">
        <f t="shared" si="1"/>
        <v>女</v>
      </c>
      <c r="F27" s="10"/>
    </row>
    <row r="28" spans="1:6" ht="30" customHeight="1">
      <c r="A28" s="9">
        <v>26</v>
      </c>
      <c r="B28" s="9" t="str">
        <f>"50322023032513374976794"</f>
        <v>50322023032513374976794</v>
      </c>
      <c r="C28" s="9" t="s">
        <v>7</v>
      </c>
      <c r="D28" s="10" t="str">
        <f>"王玫"</f>
        <v>王玫</v>
      </c>
      <c r="E28" s="9" t="str">
        <f t="shared" si="1"/>
        <v>女</v>
      </c>
      <c r="F28" s="10"/>
    </row>
    <row r="29" spans="1:6" ht="30" customHeight="1">
      <c r="A29" s="9">
        <v>27</v>
      </c>
      <c r="B29" s="9" t="str">
        <f>"50322023032519051277076"</f>
        <v>50322023032519051277076</v>
      </c>
      <c r="C29" s="9" t="s">
        <v>7</v>
      </c>
      <c r="D29" s="10" t="str">
        <f>"熊建兰"</f>
        <v>熊建兰</v>
      </c>
      <c r="E29" s="9" t="str">
        <f t="shared" si="1"/>
        <v>女</v>
      </c>
      <c r="F29" s="10"/>
    </row>
    <row r="30" spans="1:6" ht="30" customHeight="1">
      <c r="A30" s="9">
        <v>28</v>
      </c>
      <c r="B30" s="9" t="str">
        <f>"50322023032523284577214"</f>
        <v>50322023032523284577214</v>
      </c>
      <c r="C30" s="9" t="s">
        <v>7</v>
      </c>
      <c r="D30" s="10" t="str">
        <f>"张丽薇"</f>
        <v>张丽薇</v>
      </c>
      <c r="E30" s="9" t="str">
        <f t="shared" si="1"/>
        <v>女</v>
      </c>
      <c r="F30" s="10"/>
    </row>
    <row r="31" spans="1:6" ht="30" customHeight="1">
      <c r="A31" s="9">
        <v>29</v>
      </c>
      <c r="B31" s="9" t="str">
        <f>"50322023032622132677700"</f>
        <v>50322023032622132677700</v>
      </c>
      <c r="C31" s="9" t="s">
        <v>7</v>
      </c>
      <c r="D31" s="10" t="str">
        <f>"张禹净"</f>
        <v>张禹净</v>
      </c>
      <c r="E31" s="9" t="str">
        <f t="shared" si="1"/>
        <v>女</v>
      </c>
      <c r="F31" s="10"/>
    </row>
    <row r="32" spans="1:6" ht="30" customHeight="1">
      <c r="A32" s="9">
        <v>30</v>
      </c>
      <c r="B32" s="9" t="str">
        <f>"50322023032711523878190"</f>
        <v>50322023032711523878190</v>
      </c>
      <c r="C32" s="9" t="s">
        <v>7</v>
      </c>
      <c r="D32" s="10" t="str">
        <f>"麦慧茜"</f>
        <v>麦慧茜</v>
      </c>
      <c r="E32" s="9" t="str">
        <f t="shared" si="1"/>
        <v>女</v>
      </c>
      <c r="F32" s="10"/>
    </row>
    <row r="33" spans="1:6" ht="30" customHeight="1">
      <c r="A33" s="9">
        <v>31</v>
      </c>
      <c r="B33" s="9" t="str">
        <f>"50322023032809000879104"</f>
        <v>50322023032809000879104</v>
      </c>
      <c r="C33" s="9" t="s">
        <v>7</v>
      </c>
      <c r="D33" s="10" t="str">
        <f>"陈好"</f>
        <v>陈好</v>
      </c>
      <c r="E33" s="9" t="str">
        <f t="shared" si="1"/>
        <v>女</v>
      </c>
      <c r="F33" s="10"/>
    </row>
    <row r="34" spans="1:6" ht="30" customHeight="1">
      <c r="A34" s="9">
        <v>32</v>
      </c>
      <c r="B34" s="9" t="str">
        <f>"50322023032810391879324"</f>
        <v>50322023032810391879324</v>
      </c>
      <c r="C34" s="9" t="s">
        <v>7</v>
      </c>
      <c r="D34" s="10" t="str">
        <f>"陈西锐"</f>
        <v>陈西锐</v>
      </c>
      <c r="E34" s="9" t="str">
        <f t="shared" si="1"/>
        <v>女</v>
      </c>
      <c r="F34" s="10"/>
    </row>
    <row r="35" spans="1:6" ht="30" customHeight="1">
      <c r="A35" s="9">
        <v>33</v>
      </c>
      <c r="B35" s="9" t="str">
        <f>"50322023032817345179837"</f>
        <v>50322023032817345179837</v>
      </c>
      <c r="C35" s="9" t="s">
        <v>7</v>
      </c>
      <c r="D35" s="10" t="str">
        <f>"韩亦菲"</f>
        <v>韩亦菲</v>
      </c>
      <c r="E35" s="9" t="str">
        <f t="shared" si="1"/>
        <v>女</v>
      </c>
      <c r="F35" s="10"/>
    </row>
    <row r="36" spans="1:6" ht="30" customHeight="1">
      <c r="A36" s="9">
        <v>34</v>
      </c>
      <c r="B36" s="9" t="str">
        <f>"50322023032818213179870"</f>
        <v>50322023032818213179870</v>
      </c>
      <c r="C36" s="9" t="s">
        <v>7</v>
      </c>
      <c r="D36" s="10" t="str">
        <f>"许文杰"</f>
        <v>许文杰</v>
      </c>
      <c r="E36" s="9" t="str">
        <f t="shared" si="1"/>
        <v>女</v>
      </c>
      <c r="F36" s="10"/>
    </row>
    <row r="37" spans="1:6" ht="30" customHeight="1">
      <c r="A37" s="9">
        <v>35</v>
      </c>
      <c r="B37" s="9" t="str">
        <f>"50322023032819540179965"</f>
        <v>50322023032819540179965</v>
      </c>
      <c r="C37" s="9" t="s">
        <v>7</v>
      </c>
      <c r="D37" s="10" t="str">
        <f>"孟璇"</f>
        <v>孟璇</v>
      </c>
      <c r="E37" s="9" t="str">
        <f t="shared" si="1"/>
        <v>女</v>
      </c>
      <c r="F37" s="10"/>
    </row>
    <row r="38" spans="1:6" ht="30" customHeight="1">
      <c r="A38" s="9">
        <v>36</v>
      </c>
      <c r="B38" s="9" t="str">
        <f>"50322023032900555780333"</f>
        <v>50322023032900555780333</v>
      </c>
      <c r="C38" s="9" t="s">
        <v>7</v>
      </c>
      <c r="D38" s="10" t="str">
        <f>"符有领"</f>
        <v>符有领</v>
      </c>
      <c r="E38" s="9" t="str">
        <f t="shared" si="1"/>
        <v>女</v>
      </c>
      <c r="F38" s="10"/>
    </row>
    <row r="39" spans="1:6" ht="30" customHeight="1">
      <c r="A39" s="9">
        <v>37</v>
      </c>
      <c r="B39" s="9" t="str">
        <f>"50322023032907205880358"</f>
        <v>50322023032907205880358</v>
      </c>
      <c r="C39" s="9" t="s">
        <v>7</v>
      </c>
      <c r="D39" s="10" t="str">
        <f>"冯淑钰"</f>
        <v>冯淑钰</v>
      </c>
      <c r="E39" s="9" t="str">
        <f t="shared" si="1"/>
        <v>女</v>
      </c>
      <c r="F39" s="10"/>
    </row>
    <row r="40" spans="1:6" ht="30" customHeight="1">
      <c r="A40" s="9">
        <v>38</v>
      </c>
      <c r="B40" s="9" t="str">
        <f>"50322023032910162281027"</f>
        <v>50322023032910162281027</v>
      </c>
      <c r="C40" s="9" t="s">
        <v>7</v>
      </c>
      <c r="D40" s="10" t="str">
        <f>"金雪"</f>
        <v>金雪</v>
      </c>
      <c r="E40" s="9" t="str">
        <f t="shared" si="1"/>
        <v>女</v>
      </c>
      <c r="F40" s="10"/>
    </row>
    <row r="41" spans="1:6" ht="30" customHeight="1">
      <c r="A41" s="9">
        <v>39</v>
      </c>
      <c r="B41" s="9" t="str">
        <f>"50322023032911582181564"</f>
        <v>50322023032911582181564</v>
      </c>
      <c r="C41" s="9" t="s">
        <v>7</v>
      </c>
      <c r="D41" s="10" t="str">
        <f>"梅雪晗"</f>
        <v>梅雪晗</v>
      </c>
      <c r="E41" s="9" t="str">
        <f t="shared" si="1"/>
        <v>女</v>
      </c>
      <c r="F41" s="10"/>
    </row>
    <row r="42" spans="1:6" ht="30" customHeight="1">
      <c r="A42" s="9">
        <v>40</v>
      </c>
      <c r="B42" s="9" t="str">
        <f>"50322023032913240681881"</f>
        <v>50322023032913240681881</v>
      </c>
      <c r="C42" s="9" t="s">
        <v>7</v>
      </c>
      <c r="D42" s="10" t="str">
        <f>"王花"</f>
        <v>王花</v>
      </c>
      <c r="E42" s="9" t="str">
        <f t="shared" si="1"/>
        <v>女</v>
      </c>
      <c r="F42" s="11" t="s">
        <v>8</v>
      </c>
    </row>
    <row r="43" spans="1:6" ht="30" customHeight="1">
      <c r="A43" s="9">
        <v>41</v>
      </c>
      <c r="B43" s="9" t="str">
        <f>"50322023032919391684404"</f>
        <v>50322023032919391684404</v>
      </c>
      <c r="C43" s="9" t="s">
        <v>7</v>
      </c>
      <c r="D43" s="10" t="str">
        <f>"陈倩雅"</f>
        <v>陈倩雅</v>
      </c>
      <c r="E43" s="9" t="str">
        <f t="shared" si="1"/>
        <v>女</v>
      </c>
      <c r="F43" s="10"/>
    </row>
    <row r="44" spans="1:6" ht="30" customHeight="1">
      <c r="A44" s="9">
        <v>42</v>
      </c>
      <c r="B44" s="9" t="str">
        <f>"50322023032109321363430"</f>
        <v>50322023032109321363430</v>
      </c>
      <c r="C44" s="9" t="s">
        <v>9</v>
      </c>
      <c r="D44" s="10" t="str">
        <f>"岑晓倩"</f>
        <v>岑晓倩</v>
      </c>
      <c r="E44" s="9" t="str">
        <f t="shared" si="1"/>
        <v>女</v>
      </c>
      <c r="F44" s="10"/>
    </row>
    <row r="45" spans="1:6" ht="30" customHeight="1">
      <c r="A45" s="9">
        <v>43</v>
      </c>
      <c r="B45" s="9" t="str">
        <f>"50322023032110204164161"</f>
        <v>50322023032110204164161</v>
      </c>
      <c r="C45" s="9" t="s">
        <v>9</v>
      </c>
      <c r="D45" s="10" t="str">
        <f>"何镇林"</f>
        <v>何镇林</v>
      </c>
      <c r="E45" s="9" t="str">
        <f>"男"</f>
        <v>男</v>
      </c>
      <c r="F45" s="10"/>
    </row>
    <row r="46" spans="1:6" ht="30" customHeight="1">
      <c r="A46" s="9">
        <v>44</v>
      </c>
      <c r="B46" s="9" t="str">
        <f>"50322023032111301364794"</f>
        <v>50322023032111301364794</v>
      </c>
      <c r="C46" s="9" t="s">
        <v>9</v>
      </c>
      <c r="D46" s="10" t="str">
        <f>"黄素素"</f>
        <v>黄素素</v>
      </c>
      <c r="E46" s="9" t="str">
        <f aca="true" t="shared" si="2" ref="E46:E70">"女"</f>
        <v>女</v>
      </c>
      <c r="F46" s="10"/>
    </row>
    <row r="47" spans="1:6" ht="30" customHeight="1">
      <c r="A47" s="9">
        <v>45</v>
      </c>
      <c r="B47" s="9" t="str">
        <f>"50322023032115024266103"</f>
        <v>50322023032115024266103</v>
      </c>
      <c r="C47" s="9" t="s">
        <v>9</v>
      </c>
      <c r="D47" s="10" t="str">
        <f>"吴秋云"</f>
        <v>吴秋云</v>
      </c>
      <c r="E47" s="9" t="str">
        <f t="shared" si="2"/>
        <v>女</v>
      </c>
      <c r="F47" s="10"/>
    </row>
    <row r="48" spans="1:6" ht="30" customHeight="1">
      <c r="A48" s="9">
        <v>46</v>
      </c>
      <c r="B48" s="9" t="str">
        <f>"50322023032116182266647"</f>
        <v>50322023032116182266647</v>
      </c>
      <c r="C48" s="9" t="s">
        <v>9</v>
      </c>
      <c r="D48" s="10" t="str">
        <f>"王玲"</f>
        <v>王玲</v>
      </c>
      <c r="E48" s="9" t="str">
        <f t="shared" si="2"/>
        <v>女</v>
      </c>
      <c r="F48" s="10"/>
    </row>
    <row r="49" spans="1:6" ht="30" customHeight="1">
      <c r="A49" s="9">
        <v>47</v>
      </c>
      <c r="B49" s="9" t="str">
        <f>"50322023032116203366664"</f>
        <v>50322023032116203366664</v>
      </c>
      <c r="C49" s="9" t="s">
        <v>9</v>
      </c>
      <c r="D49" s="10" t="str">
        <f>"符虹"</f>
        <v>符虹</v>
      </c>
      <c r="E49" s="9" t="str">
        <f t="shared" si="2"/>
        <v>女</v>
      </c>
      <c r="F49" s="10"/>
    </row>
    <row r="50" spans="1:6" ht="30" customHeight="1">
      <c r="A50" s="9">
        <v>48</v>
      </c>
      <c r="B50" s="9" t="str">
        <f>"50322023032120333267984"</f>
        <v>50322023032120333267984</v>
      </c>
      <c r="C50" s="9" t="s">
        <v>9</v>
      </c>
      <c r="D50" s="10" t="str">
        <f>"李小小"</f>
        <v>李小小</v>
      </c>
      <c r="E50" s="9" t="str">
        <f t="shared" si="2"/>
        <v>女</v>
      </c>
      <c r="F50" s="10"/>
    </row>
    <row r="51" spans="1:6" ht="30" customHeight="1">
      <c r="A51" s="9">
        <v>49</v>
      </c>
      <c r="B51" s="9" t="str">
        <f>"50322023032121025768153"</f>
        <v>50322023032121025768153</v>
      </c>
      <c r="C51" s="9" t="s">
        <v>9</v>
      </c>
      <c r="D51" s="10" t="str">
        <f>"陈巧花"</f>
        <v>陈巧花</v>
      </c>
      <c r="E51" s="9" t="str">
        <f t="shared" si="2"/>
        <v>女</v>
      </c>
      <c r="F51" s="10"/>
    </row>
    <row r="52" spans="1:6" ht="30" customHeight="1">
      <c r="A52" s="9">
        <v>50</v>
      </c>
      <c r="B52" s="9" t="str">
        <f>"50322023032122062868611"</f>
        <v>50322023032122062868611</v>
      </c>
      <c r="C52" s="9" t="s">
        <v>9</v>
      </c>
      <c r="D52" s="10" t="str">
        <f>"陈婷媚"</f>
        <v>陈婷媚</v>
      </c>
      <c r="E52" s="9" t="str">
        <f t="shared" si="2"/>
        <v>女</v>
      </c>
      <c r="F52" s="10"/>
    </row>
    <row r="53" spans="1:6" ht="30" customHeight="1">
      <c r="A53" s="9">
        <v>51</v>
      </c>
      <c r="B53" s="9" t="str">
        <f>"50322023032122182668692"</f>
        <v>50322023032122182668692</v>
      </c>
      <c r="C53" s="9" t="s">
        <v>9</v>
      </c>
      <c r="D53" s="10" t="str">
        <f>"王楠"</f>
        <v>王楠</v>
      </c>
      <c r="E53" s="9" t="str">
        <f t="shared" si="2"/>
        <v>女</v>
      </c>
      <c r="F53" s="11" t="s">
        <v>10</v>
      </c>
    </row>
    <row r="54" spans="1:6" ht="30" customHeight="1">
      <c r="A54" s="9">
        <v>52</v>
      </c>
      <c r="B54" s="9" t="str">
        <f>"50322023032210161869932"</f>
        <v>50322023032210161869932</v>
      </c>
      <c r="C54" s="9" t="s">
        <v>9</v>
      </c>
      <c r="D54" s="10" t="str">
        <f>"杨思莹"</f>
        <v>杨思莹</v>
      </c>
      <c r="E54" s="9" t="str">
        <f t="shared" si="2"/>
        <v>女</v>
      </c>
      <c r="F54" s="10"/>
    </row>
    <row r="55" spans="1:6" ht="30" customHeight="1">
      <c r="A55" s="9">
        <v>53</v>
      </c>
      <c r="B55" s="9" t="str">
        <f>"50322023032214432271776"</f>
        <v>50322023032214432271776</v>
      </c>
      <c r="C55" s="9" t="s">
        <v>9</v>
      </c>
      <c r="D55" s="10" t="str">
        <f>"冯梁丽"</f>
        <v>冯梁丽</v>
      </c>
      <c r="E55" s="9" t="str">
        <f t="shared" si="2"/>
        <v>女</v>
      </c>
      <c r="F55" s="10"/>
    </row>
    <row r="56" spans="1:6" ht="30" customHeight="1">
      <c r="A56" s="9">
        <v>54</v>
      </c>
      <c r="B56" s="9" t="str">
        <f>"50322023032218570873202"</f>
        <v>50322023032218570873202</v>
      </c>
      <c r="C56" s="9" t="s">
        <v>9</v>
      </c>
      <c r="D56" s="10" t="str">
        <f>"吴昱颖"</f>
        <v>吴昱颖</v>
      </c>
      <c r="E56" s="9" t="str">
        <f t="shared" si="2"/>
        <v>女</v>
      </c>
      <c r="F56" s="10"/>
    </row>
    <row r="57" spans="1:6" ht="30" customHeight="1">
      <c r="A57" s="9">
        <v>55</v>
      </c>
      <c r="B57" s="9" t="str">
        <f>"50322023032313244874434"</f>
        <v>50322023032313244874434</v>
      </c>
      <c r="C57" s="9" t="s">
        <v>9</v>
      </c>
      <c r="D57" s="10" t="str">
        <f>"马珍茹"</f>
        <v>马珍茹</v>
      </c>
      <c r="E57" s="9" t="str">
        <f t="shared" si="2"/>
        <v>女</v>
      </c>
      <c r="F57" s="10"/>
    </row>
    <row r="58" spans="1:6" ht="30" customHeight="1">
      <c r="A58" s="9">
        <v>56</v>
      </c>
      <c r="B58" s="9" t="str">
        <f>"50322023032319040374977"</f>
        <v>50322023032319040374977</v>
      </c>
      <c r="C58" s="9" t="s">
        <v>9</v>
      </c>
      <c r="D58" s="10" t="str">
        <f>"张雨荷"</f>
        <v>张雨荷</v>
      </c>
      <c r="E58" s="9" t="str">
        <f t="shared" si="2"/>
        <v>女</v>
      </c>
      <c r="F58" s="10"/>
    </row>
    <row r="59" spans="1:6" ht="30" customHeight="1">
      <c r="A59" s="9">
        <v>57</v>
      </c>
      <c r="B59" s="9" t="str">
        <f>"50322023032322120275226"</f>
        <v>50322023032322120275226</v>
      </c>
      <c r="C59" s="9" t="s">
        <v>9</v>
      </c>
      <c r="D59" s="10" t="str">
        <f>"赵浩羽"</f>
        <v>赵浩羽</v>
      </c>
      <c r="E59" s="9" t="str">
        <f t="shared" si="2"/>
        <v>女</v>
      </c>
      <c r="F59" s="10"/>
    </row>
    <row r="60" spans="1:6" ht="30" customHeight="1">
      <c r="A60" s="9">
        <v>58</v>
      </c>
      <c r="B60" s="9" t="str">
        <f>"50322023032410242475565"</f>
        <v>50322023032410242475565</v>
      </c>
      <c r="C60" s="9" t="s">
        <v>9</v>
      </c>
      <c r="D60" s="10" t="str">
        <f>"吕育莹"</f>
        <v>吕育莹</v>
      </c>
      <c r="E60" s="9" t="str">
        <f t="shared" si="2"/>
        <v>女</v>
      </c>
      <c r="F60" s="10"/>
    </row>
    <row r="61" spans="1:6" ht="30" customHeight="1">
      <c r="A61" s="9">
        <v>59</v>
      </c>
      <c r="B61" s="9" t="str">
        <f>"50322023032423182876454"</f>
        <v>50322023032423182876454</v>
      </c>
      <c r="C61" s="9" t="s">
        <v>9</v>
      </c>
      <c r="D61" s="10" t="str">
        <f>"陈娜"</f>
        <v>陈娜</v>
      </c>
      <c r="E61" s="9" t="str">
        <f t="shared" si="2"/>
        <v>女</v>
      </c>
      <c r="F61" s="10"/>
    </row>
    <row r="62" spans="1:6" ht="30" customHeight="1">
      <c r="A62" s="9">
        <v>60</v>
      </c>
      <c r="B62" s="9" t="str">
        <f>"50322023032701314877787"</f>
        <v>50322023032701314877787</v>
      </c>
      <c r="C62" s="9" t="s">
        <v>9</v>
      </c>
      <c r="D62" s="10" t="str">
        <f>"王蕊"</f>
        <v>王蕊</v>
      </c>
      <c r="E62" s="9" t="str">
        <f t="shared" si="2"/>
        <v>女</v>
      </c>
      <c r="F62" s="10"/>
    </row>
    <row r="63" spans="1:6" ht="30" customHeight="1">
      <c r="A63" s="9">
        <v>61</v>
      </c>
      <c r="B63" s="9" t="str">
        <f>"50322023032710323378044"</f>
        <v>50322023032710323378044</v>
      </c>
      <c r="C63" s="9" t="s">
        <v>9</v>
      </c>
      <c r="D63" s="10" t="str">
        <f>"王惠子"</f>
        <v>王惠子</v>
      </c>
      <c r="E63" s="9" t="str">
        <f t="shared" si="2"/>
        <v>女</v>
      </c>
      <c r="F63" s="10"/>
    </row>
    <row r="64" spans="1:6" ht="30" customHeight="1">
      <c r="A64" s="9">
        <v>62</v>
      </c>
      <c r="B64" s="9" t="str">
        <f>"50322023032810325879309"</f>
        <v>50322023032810325879309</v>
      </c>
      <c r="C64" s="9" t="s">
        <v>9</v>
      </c>
      <c r="D64" s="10" t="str">
        <f>"符会玉"</f>
        <v>符会玉</v>
      </c>
      <c r="E64" s="9" t="str">
        <f t="shared" si="2"/>
        <v>女</v>
      </c>
      <c r="F64" s="10"/>
    </row>
    <row r="65" spans="1:6" ht="30" customHeight="1">
      <c r="A65" s="9">
        <v>63</v>
      </c>
      <c r="B65" s="9" t="str">
        <f>"50322023032811040979375"</f>
        <v>50322023032811040979375</v>
      </c>
      <c r="C65" s="9" t="s">
        <v>9</v>
      </c>
      <c r="D65" s="10" t="str">
        <f>"宋倩"</f>
        <v>宋倩</v>
      </c>
      <c r="E65" s="9" t="str">
        <f t="shared" si="2"/>
        <v>女</v>
      </c>
      <c r="F65" s="10"/>
    </row>
    <row r="66" spans="1:6" ht="30" customHeight="1">
      <c r="A66" s="9">
        <v>64</v>
      </c>
      <c r="B66" s="9" t="str">
        <f>"50322023032819462779953"</f>
        <v>50322023032819462779953</v>
      </c>
      <c r="C66" s="9" t="s">
        <v>9</v>
      </c>
      <c r="D66" s="10" t="str">
        <f>"石萍"</f>
        <v>石萍</v>
      </c>
      <c r="E66" s="9" t="str">
        <f t="shared" si="2"/>
        <v>女</v>
      </c>
      <c r="F66" s="10"/>
    </row>
    <row r="67" spans="1:6" ht="30" customHeight="1">
      <c r="A67" s="9">
        <v>65</v>
      </c>
      <c r="B67" s="9" t="str">
        <f>"50322023032823225980278"</f>
        <v>50322023032823225980278</v>
      </c>
      <c r="C67" s="9" t="s">
        <v>9</v>
      </c>
      <c r="D67" s="10" t="str">
        <f>"符美艳"</f>
        <v>符美艳</v>
      </c>
      <c r="E67" s="9" t="str">
        <f t="shared" si="2"/>
        <v>女</v>
      </c>
      <c r="F67" s="10"/>
    </row>
    <row r="68" spans="1:6" ht="30" customHeight="1">
      <c r="A68" s="9">
        <v>66</v>
      </c>
      <c r="B68" s="9" t="str">
        <f>"50322023032823353580291"</f>
        <v>50322023032823353580291</v>
      </c>
      <c r="C68" s="9" t="s">
        <v>9</v>
      </c>
      <c r="D68" s="10" t="str">
        <f>"邱秋敏"</f>
        <v>邱秋敏</v>
      </c>
      <c r="E68" s="9" t="str">
        <f t="shared" si="2"/>
        <v>女</v>
      </c>
      <c r="F68" s="10"/>
    </row>
    <row r="69" spans="1:6" ht="30" customHeight="1">
      <c r="A69" s="9">
        <v>67</v>
      </c>
      <c r="B69" s="9" t="str">
        <f>"50322023032910204381057"</f>
        <v>50322023032910204381057</v>
      </c>
      <c r="C69" s="9" t="s">
        <v>9</v>
      </c>
      <c r="D69" s="10" t="str">
        <f>"郑秋香"</f>
        <v>郑秋香</v>
      </c>
      <c r="E69" s="9" t="str">
        <f t="shared" si="2"/>
        <v>女</v>
      </c>
      <c r="F69" s="10"/>
    </row>
    <row r="70" spans="1:6" ht="30" customHeight="1">
      <c r="A70" s="9">
        <v>68</v>
      </c>
      <c r="B70" s="9" t="str">
        <f>"50322023032912110881611"</f>
        <v>50322023032912110881611</v>
      </c>
      <c r="C70" s="9" t="s">
        <v>9</v>
      </c>
      <c r="D70" s="10" t="str">
        <f>"刘微微"</f>
        <v>刘微微</v>
      </c>
      <c r="E70" s="9" t="str">
        <f t="shared" si="2"/>
        <v>女</v>
      </c>
      <c r="F70" s="10"/>
    </row>
    <row r="71" spans="1:6" ht="30" customHeight="1">
      <c r="A71" s="9">
        <v>69</v>
      </c>
      <c r="B71" s="9" t="str">
        <f>"50322023032912325781692"</f>
        <v>50322023032912325781692</v>
      </c>
      <c r="C71" s="9" t="s">
        <v>9</v>
      </c>
      <c r="D71" s="10" t="str">
        <f>"曾亚海"</f>
        <v>曾亚海</v>
      </c>
      <c r="E71" s="9" t="str">
        <f>"男"</f>
        <v>男</v>
      </c>
      <c r="F71" s="10"/>
    </row>
    <row r="72" spans="1:6" ht="30" customHeight="1">
      <c r="A72" s="9">
        <v>70</v>
      </c>
      <c r="B72" s="9" t="str">
        <f>"50322023032917351283865"</f>
        <v>50322023032917351283865</v>
      </c>
      <c r="C72" s="9" t="s">
        <v>9</v>
      </c>
      <c r="D72" s="10" t="str">
        <f>"庄妤茜"</f>
        <v>庄妤茜</v>
      </c>
      <c r="E72" s="9" t="str">
        <f aca="true" t="shared" si="3" ref="E72:E101">"女"</f>
        <v>女</v>
      </c>
      <c r="F72" s="10"/>
    </row>
    <row r="73" spans="1:6" ht="30" customHeight="1">
      <c r="A73" s="9">
        <v>71</v>
      </c>
      <c r="B73" s="9" t="str">
        <f>"50322023032922572784968"</f>
        <v>50322023032922572784968</v>
      </c>
      <c r="C73" s="9" t="s">
        <v>9</v>
      </c>
      <c r="D73" s="10" t="str">
        <f>"符靖"</f>
        <v>符靖</v>
      </c>
      <c r="E73" s="9" t="str">
        <f t="shared" si="3"/>
        <v>女</v>
      </c>
      <c r="F73" s="10"/>
    </row>
    <row r="74" spans="1:6" ht="30" customHeight="1">
      <c r="A74" s="9">
        <v>72</v>
      </c>
      <c r="B74" s="9" t="str">
        <f>"50322023032111201364693"</f>
        <v>50322023032111201364693</v>
      </c>
      <c r="C74" s="9" t="s">
        <v>11</v>
      </c>
      <c r="D74" s="10" t="str">
        <f>"何颖"</f>
        <v>何颖</v>
      </c>
      <c r="E74" s="9" t="str">
        <f t="shared" si="3"/>
        <v>女</v>
      </c>
      <c r="F74" s="10"/>
    </row>
    <row r="75" spans="1:6" ht="30" customHeight="1">
      <c r="A75" s="9">
        <v>73</v>
      </c>
      <c r="B75" s="9" t="str">
        <f>"50322023032118470967384"</f>
        <v>50322023032118470967384</v>
      </c>
      <c r="C75" s="9" t="s">
        <v>11</v>
      </c>
      <c r="D75" s="10" t="str">
        <f>"赵清芳"</f>
        <v>赵清芳</v>
      </c>
      <c r="E75" s="9" t="str">
        <f t="shared" si="3"/>
        <v>女</v>
      </c>
      <c r="F75" s="10"/>
    </row>
    <row r="76" spans="1:6" ht="30" customHeight="1">
      <c r="A76" s="9">
        <v>74</v>
      </c>
      <c r="B76" s="9" t="str">
        <f>"50322023032912142181626"</f>
        <v>50322023032912142181626</v>
      </c>
      <c r="C76" s="9" t="s">
        <v>11</v>
      </c>
      <c r="D76" s="10" t="str">
        <f>"李品"</f>
        <v>李品</v>
      </c>
      <c r="E76" s="9" t="str">
        <f t="shared" si="3"/>
        <v>女</v>
      </c>
      <c r="F76" s="10"/>
    </row>
    <row r="77" spans="1:6" ht="30" customHeight="1">
      <c r="A77" s="9">
        <v>75</v>
      </c>
      <c r="B77" s="9" t="str">
        <f>"50322023032111575464996"</f>
        <v>50322023032111575464996</v>
      </c>
      <c r="C77" s="9" t="s">
        <v>12</v>
      </c>
      <c r="D77" s="10" t="str">
        <f>"陈丹丹"</f>
        <v>陈丹丹</v>
      </c>
      <c r="E77" s="9" t="str">
        <f t="shared" si="3"/>
        <v>女</v>
      </c>
      <c r="F77" s="10"/>
    </row>
    <row r="78" spans="1:6" ht="30" customHeight="1">
      <c r="A78" s="9">
        <v>76</v>
      </c>
      <c r="B78" s="9" t="str">
        <f>"50322023032418032976188"</f>
        <v>50322023032418032976188</v>
      </c>
      <c r="C78" s="9" t="s">
        <v>12</v>
      </c>
      <c r="D78" s="10" t="str">
        <f>"陈子娴"</f>
        <v>陈子娴</v>
      </c>
      <c r="E78" s="9" t="str">
        <f t="shared" si="3"/>
        <v>女</v>
      </c>
      <c r="F78" s="10"/>
    </row>
    <row r="79" spans="1:6" ht="30" customHeight="1">
      <c r="A79" s="9">
        <v>77</v>
      </c>
      <c r="B79" s="9" t="str">
        <f>"50322023032511082676651"</f>
        <v>50322023032511082676651</v>
      </c>
      <c r="C79" s="9" t="s">
        <v>12</v>
      </c>
      <c r="D79" s="10" t="str">
        <f>"李智勇"</f>
        <v>李智勇</v>
      </c>
      <c r="E79" s="9" t="str">
        <f t="shared" si="3"/>
        <v>女</v>
      </c>
      <c r="F79" s="10"/>
    </row>
    <row r="80" spans="1:6" ht="30" customHeight="1">
      <c r="A80" s="9">
        <v>78</v>
      </c>
      <c r="B80" s="9" t="str">
        <f>"50322023032710274078034"</f>
        <v>50322023032710274078034</v>
      </c>
      <c r="C80" s="9" t="s">
        <v>12</v>
      </c>
      <c r="D80" s="10" t="str">
        <f>"蒋璐佳"</f>
        <v>蒋璐佳</v>
      </c>
      <c r="E80" s="9" t="str">
        <f t="shared" si="3"/>
        <v>女</v>
      </c>
      <c r="F80" s="10"/>
    </row>
    <row r="81" spans="1:6" ht="30" customHeight="1">
      <c r="A81" s="9">
        <v>79</v>
      </c>
      <c r="B81" s="9" t="str">
        <f>"50322023032721075878847"</f>
        <v>50322023032721075878847</v>
      </c>
      <c r="C81" s="9" t="s">
        <v>12</v>
      </c>
      <c r="D81" s="10" t="str">
        <f>"白鸽"</f>
        <v>白鸽</v>
      </c>
      <c r="E81" s="9" t="str">
        <f t="shared" si="3"/>
        <v>女</v>
      </c>
      <c r="F81" s="10"/>
    </row>
    <row r="82" spans="1:6" ht="30" customHeight="1">
      <c r="A82" s="9">
        <v>80</v>
      </c>
      <c r="B82" s="9" t="str">
        <f>"50322023032808363979083"</f>
        <v>50322023032808363979083</v>
      </c>
      <c r="C82" s="9" t="s">
        <v>12</v>
      </c>
      <c r="D82" s="10" t="str">
        <f>"安杨"</f>
        <v>安杨</v>
      </c>
      <c r="E82" s="9" t="str">
        <f t="shared" si="3"/>
        <v>女</v>
      </c>
      <c r="F82" s="10"/>
    </row>
    <row r="83" spans="1:6" ht="30" customHeight="1">
      <c r="A83" s="9">
        <v>81</v>
      </c>
      <c r="B83" s="9" t="str">
        <f>"50322023032808561979099"</f>
        <v>50322023032808561979099</v>
      </c>
      <c r="C83" s="9" t="s">
        <v>12</v>
      </c>
      <c r="D83" s="10" t="str">
        <f>"高雅"</f>
        <v>高雅</v>
      </c>
      <c r="E83" s="9" t="str">
        <f t="shared" si="3"/>
        <v>女</v>
      </c>
      <c r="F83" s="10"/>
    </row>
    <row r="84" spans="1:6" ht="30" customHeight="1">
      <c r="A84" s="9">
        <v>82</v>
      </c>
      <c r="B84" s="9" t="str">
        <f>"50322023032813052679506"</f>
        <v>50322023032813052679506</v>
      </c>
      <c r="C84" s="9" t="s">
        <v>12</v>
      </c>
      <c r="D84" s="10" t="str">
        <f>"李聪景"</f>
        <v>李聪景</v>
      </c>
      <c r="E84" s="9" t="str">
        <f t="shared" si="3"/>
        <v>女</v>
      </c>
      <c r="F84" s="10"/>
    </row>
    <row r="85" spans="1:6" ht="30" customHeight="1">
      <c r="A85" s="9">
        <v>83</v>
      </c>
      <c r="B85" s="9" t="str">
        <f>"50322023032822231380204"</f>
        <v>50322023032822231380204</v>
      </c>
      <c r="C85" s="9" t="s">
        <v>12</v>
      </c>
      <c r="D85" s="10" t="str">
        <f>"靳雪娇"</f>
        <v>靳雪娇</v>
      </c>
      <c r="E85" s="9" t="str">
        <f t="shared" si="3"/>
        <v>女</v>
      </c>
      <c r="F85" s="10"/>
    </row>
    <row r="86" spans="1:6" ht="30" customHeight="1">
      <c r="A86" s="9">
        <v>84</v>
      </c>
      <c r="B86" s="9" t="str">
        <f>"50322023032923205485001"</f>
        <v>50322023032923205485001</v>
      </c>
      <c r="C86" s="9" t="s">
        <v>12</v>
      </c>
      <c r="D86" s="10" t="str">
        <f>"冯文佳"</f>
        <v>冯文佳</v>
      </c>
      <c r="E86" s="9" t="str">
        <f t="shared" si="3"/>
        <v>女</v>
      </c>
      <c r="F86" s="10"/>
    </row>
    <row r="87" spans="1:6" ht="30" customHeight="1">
      <c r="A87" s="9">
        <v>85</v>
      </c>
      <c r="B87" s="9" t="str">
        <f>"50322023032108444563111"</f>
        <v>50322023032108444563111</v>
      </c>
      <c r="C87" s="9" t="s">
        <v>13</v>
      </c>
      <c r="D87" s="10" t="str">
        <f>"王迎迎"</f>
        <v>王迎迎</v>
      </c>
      <c r="E87" s="9" t="str">
        <f t="shared" si="3"/>
        <v>女</v>
      </c>
      <c r="F87" s="10"/>
    </row>
    <row r="88" spans="1:6" ht="30" customHeight="1">
      <c r="A88" s="9">
        <v>86</v>
      </c>
      <c r="B88" s="9" t="str">
        <f>"50322023032110095364049"</f>
        <v>50322023032110095364049</v>
      </c>
      <c r="C88" s="9" t="s">
        <v>13</v>
      </c>
      <c r="D88" s="10" t="str">
        <f>"陈洁"</f>
        <v>陈洁</v>
      </c>
      <c r="E88" s="9" t="str">
        <f t="shared" si="3"/>
        <v>女</v>
      </c>
      <c r="F88" s="10"/>
    </row>
    <row r="89" spans="1:6" ht="30" customHeight="1">
      <c r="A89" s="9">
        <v>87</v>
      </c>
      <c r="B89" s="9" t="str">
        <f>"50322023032110373864305"</f>
        <v>50322023032110373864305</v>
      </c>
      <c r="C89" s="9" t="s">
        <v>13</v>
      </c>
      <c r="D89" s="10" t="str">
        <f>"苏茹"</f>
        <v>苏茹</v>
      </c>
      <c r="E89" s="9" t="str">
        <f t="shared" si="3"/>
        <v>女</v>
      </c>
      <c r="F89" s="10"/>
    </row>
    <row r="90" spans="1:6" ht="30" customHeight="1">
      <c r="A90" s="9">
        <v>88</v>
      </c>
      <c r="B90" s="9" t="str">
        <f>"50322023032111042364541"</f>
        <v>50322023032111042364541</v>
      </c>
      <c r="C90" s="9" t="s">
        <v>13</v>
      </c>
      <c r="D90" s="10" t="str">
        <f>"劳海丽"</f>
        <v>劳海丽</v>
      </c>
      <c r="E90" s="9" t="str">
        <f t="shared" si="3"/>
        <v>女</v>
      </c>
      <c r="F90" s="10"/>
    </row>
    <row r="91" spans="1:6" ht="30" customHeight="1">
      <c r="A91" s="9">
        <v>89</v>
      </c>
      <c r="B91" s="9" t="str">
        <f>"50322023032112401265247"</f>
        <v>50322023032112401265247</v>
      </c>
      <c r="C91" s="9" t="s">
        <v>13</v>
      </c>
      <c r="D91" s="10" t="str">
        <f>"仲启欣"</f>
        <v>仲启欣</v>
      </c>
      <c r="E91" s="9" t="str">
        <f t="shared" si="3"/>
        <v>女</v>
      </c>
      <c r="F91" s="10"/>
    </row>
    <row r="92" spans="1:6" ht="30" customHeight="1">
      <c r="A92" s="9">
        <v>90</v>
      </c>
      <c r="B92" s="9" t="str">
        <f>"50322023032113431765630"</f>
        <v>50322023032113431765630</v>
      </c>
      <c r="C92" s="9" t="s">
        <v>13</v>
      </c>
      <c r="D92" s="10" t="str">
        <f>"黄天姿"</f>
        <v>黄天姿</v>
      </c>
      <c r="E92" s="9" t="str">
        <f t="shared" si="3"/>
        <v>女</v>
      </c>
      <c r="F92" s="10"/>
    </row>
    <row r="93" spans="1:6" ht="30" customHeight="1">
      <c r="A93" s="9">
        <v>91</v>
      </c>
      <c r="B93" s="9" t="str">
        <f>"50322023032114462766009"</f>
        <v>50322023032114462766009</v>
      </c>
      <c r="C93" s="9" t="s">
        <v>13</v>
      </c>
      <c r="D93" s="10" t="str">
        <f>"周茹"</f>
        <v>周茹</v>
      </c>
      <c r="E93" s="9" t="str">
        <f t="shared" si="3"/>
        <v>女</v>
      </c>
      <c r="F93" s="10"/>
    </row>
    <row r="94" spans="1:6" ht="30" customHeight="1">
      <c r="A94" s="9">
        <v>92</v>
      </c>
      <c r="B94" s="9" t="str">
        <f>"50322023032118283767313"</f>
        <v>50322023032118283767313</v>
      </c>
      <c r="C94" s="9" t="s">
        <v>13</v>
      </c>
      <c r="D94" s="10" t="str">
        <f>"葛婷玉"</f>
        <v>葛婷玉</v>
      </c>
      <c r="E94" s="9" t="str">
        <f t="shared" si="3"/>
        <v>女</v>
      </c>
      <c r="F94" s="10"/>
    </row>
    <row r="95" spans="1:6" ht="30" customHeight="1">
      <c r="A95" s="9">
        <v>93</v>
      </c>
      <c r="B95" s="9" t="str">
        <f>"50322023032119520967715"</f>
        <v>50322023032119520967715</v>
      </c>
      <c r="C95" s="9" t="s">
        <v>13</v>
      </c>
      <c r="D95" s="10" t="str">
        <f>"羊芷依"</f>
        <v>羊芷依</v>
      </c>
      <c r="E95" s="9" t="str">
        <f t="shared" si="3"/>
        <v>女</v>
      </c>
      <c r="F95" s="10"/>
    </row>
    <row r="96" spans="1:6" ht="30" customHeight="1">
      <c r="A96" s="9">
        <v>94</v>
      </c>
      <c r="B96" s="9" t="str">
        <f>"50322023032200014269159"</f>
        <v>50322023032200014269159</v>
      </c>
      <c r="C96" s="9" t="s">
        <v>13</v>
      </c>
      <c r="D96" s="10" t="str">
        <f>"蔡文秀"</f>
        <v>蔡文秀</v>
      </c>
      <c r="E96" s="9" t="str">
        <f t="shared" si="3"/>
        <v>女</v>
      </c>
      <c r="F96" s="10"/>
    </row>
    <row r="97" spans="1:6" ht="30" customHeight="1">
      <c r="A97" s="9">
        <v>95</v>
      </c>
      <c r="B97" s="9" t="str">
        <f>"50322023032209264069621"</f>
        <v>50322023032209264069621</v>
      </c>
      <c r="C97" s="9" t="s">
        <v>13</v>
      </c>
      <c r="D97" s="10" t="str">
        <f>"王茜"</f>
        <v>王茜</v>
      </c>
      <c r="E97" s="9" t="str">
        <f t="shared" si="3"/>
        <v>女</v>
      </c>
      <c r="F97" s="11" t="s">
        <v>14</v>
      </c>
    </row>
    <row r="98" spans="1:6" ht="30" customHeight="1">
      <c r="A98" s="9">
        <v>96</v>
      </c>
      <c r="B98" s="9" t="str">
        <f>"50322023032210142269916"</f>
        <v>50322023032210142269916</v>
      </c>
      <c r="C98" s="9" t="s">
        <v>13</v>
      </c>
      <c r="D98" s="10" t="str">
        <f>"刘璐"</f>
        <v>刘璐</v>
      </c>
      <c r="E98" s="9" t="str">
        <f t="shared" si="3"/>
        <v>女</v>
      </c>
      <c r="F98" s="11" t="s">
        <v>15</v>
      </c>
    </row>
    <row r="99" spans="1:6" ht="30" customHeight="1">
      <c r="A99" s="9">
        <v>97</v>
      </c>
      <c r="B99" s="9" t="str">
        <f>"50322023032210474270177"</f>
        <v>50322023032210474270177</v>
      </c>
      <c r="C99" s="9" t="s">
        <v>13</v>
      </c>
      <c r="D99" s="10" t="str">
        <f>"林欣"</f>
        <v>林欣</v>
      </c>
      <c r="E99" s="9" t="str">
        <f t="shared" si="3"/>
        <v>女</v>
      </c>
      <c r="F99" s="10"/>
    </row>
    <row r="100" spans="1:6" ht="30" customHeight="1">
      <c r="A100" s="9">
        <v>98</v>
      </c>
      <c r="B100" s="9" t="str">
        <f>"50322023032211502870635"</f>
        <v>50322023032211502870635</v>
      </c>
      <c r="C100" s="9" t="s">
        <v>13</v>
      </c>
      <c r="D100" s="10" t="str">
        <f>"翟宏柳"</f>
        <v>翟宏柳</v>
      </c>
      <c r="E100" s="9" t="str">
        <f t="shared" si="3"/>
        <v>女</v>
      </c>
      <c r="F100" s="10"/>
    </row>
    <row r="101" spans="1:6" ht="30" customHeight="1">
      <c r="A101" s="9">
        <v>99</v>
      </c>
      <c r="B101" s="9" t="str">
        <f>"50322023032212423270970"</f>
        <v>50322023032212423270970</v>
      </c>
      <c r="C101" s="9" t="s">
        <v>13</v>
      </c>
      <c r="D101" s="10" t="str">
        <f>"苑倩倩"</f>
        <v>苑倩倩</v>
      </c>
      <c r="E101" s="9" t="str">
        <f t="shared" si="3"/>
        <v>女</v>
      </c>
      <c r="F101" s="10"/>
    </row>
    <row r="102" spans="1:6" ht="30" customHeight="1">
      <c r="A102" s="9">
        <v>100</v>
      </c>
      <c r="B102" s="9" t="str">
        <f>"50322023032213552571438"</f>
        <v>50322023032213552571438</v>
      </c>
      <c r="C102" s="9" t="s">
        <v>13</v>
      </c>
      <c r="D102" s="10" t="str">
        <f>"王金盾"</f>
        <v>王金盾</v>
      </c>
      <c r="E102" s="9" t="str">
        <f>"男"</f>
        <v>男</v>
      </c>
      <c r="F102" s="10"/>
    </row>
    <row r="103" spans="1:6" ht="30" customHeight="1">
      <c r="A103" s="9">
        <v>101</v>
      </c>
      <c r="B103" s="9" t="str">
        <f>"50322023032221320473489"</f>
        <v>50322023032221320473489</v>
      </c>
      <c r="C103" s="9" t="s">
        <v>13</v>
      </c>
      <c r="D103" s="10" t="str">
        <f>"符丽妹"</f>
        <v>符丽妹</v>
      </c>
      <c r="E103" s="9" t="str">
        <f aca="true" t="shared" si="4" ref="E103:E148">"女"</f>
        <v>女</v>
      </c>
      <c r="F103" s="10"/>
    </row>
    <row r="104" spans="1:6" ht="30" customHeight="1">
      <c r="A104" s="9">
        <v>102</v>
      </c>
      <c r="B104" s="9" t="str">
        <f>"50322023032222453373660"</f>
        <v>50322023032222453373660</v>
      </c>
      <c r="C104" s="9" t="s">
        <v>13</v>
      </c>
      <c r="D104" s="10" t="str">
        <f>"卢小湉"</f>
        <v>卢小湉</v>
      </c>
      <c r="E104" s="9" t="str">
        <f t="shared" si="4"/>
        <v>女</v>
      </c>
      <c r="F104" s="10"/>
    </row>
    <row r="105" spans="1:6" ht="30" customHeight="1">
      <c r="A105" s="9">
        <v>103</v>
      </c>
      <c r="B105" s="9" t="str">
        <f>"50322023032308483673847"</f>
        <v>50322023032308483673847</v>
      </c>
      <c r="C105" s="9" t="s">
        <v>13</v>
      </c>
      <c r="D105" s="10" t="str">
        <f>"许婉"</f>
        <v>许婉</v>
      </c>
      <c r="E105" s="9" t="str">
        <f t="shared" si="4"/>
        <v>女</v>
      </c>
      <c r="F105" s="10"/>
    </row>
    <row r="106" spans="1:6" ht="30" customHeight="1">
      <c r="A106" s="9">
        <v>104</v>
      </c>
      <c r="B106" s="9" t="str">
        <f>"50322023032308554173857"</f>
        <v>50322023032308554173857</v>
      </c>
      <c r="C106" s="9" t="s">
        <v>13</v>
      </c>
      <c r="D106" s="10" t="str">
        <f>"付云"</f>
        <v>付云</v>
      </c>
      <c r="E106" s="9" t="str">
        <f t="shared" si="4"/>
        <v>女</v>
      </c>
      <c r="F106" s="10"/>
    </row>
    <row r="107" spans="1:6" ht="30" customHeight="1">
      <c r="A107" s="9">
        <v>105</v>
      </c>
      <c r="B107" s="9" t="str">
        <f>"50322023032311250274219"</f>
        <v>50322023032311250274219</v>
      </c>
      <c r="C107" s="9" t="s">
        <v>13</v>
      </c>
      <c r="D107" s="10" t="str">
        <f>"雷淑娟"</f>
        <v>雷淑娟</v>
      </c>
      <c r="E107" s="9" t="str">
        <f t="shared" si="4"/>
        <v>女</v>
      </c>
      <c r="F107" s="10"/>
    </row>
    <row r="108" spans="1:6" ht="30" customHeight="1">
      <c r="A108" s="9">
        <v>106</v>
      </c>
      <c r="B108" s="9" t="str">
        <f>"50322023032311252174222"</f>
        <v>50322023032311252174222</v>
      </c>
      <c r="C108" s="9" t="s">
        <v>13</v>
      </c>
      <c r="D108" s="10" t="str">
        <f>"董朝咪"</f>
        <v>董朝咪</v>
      </c>
      <c r="E108" s="9" t="str">
        <f t="shared" si="4"/>
        <v>女</v>
      </c>
      <c r="F108" s="10"/>
    </row>
    <row r="109" spans="1:6" ht="30" customHeight="1">
      <c r="A109" s="9">
        <v>107</v>
      </c>
      <c r="B109" s="9" t="str">
        <f>"50322023032316333074772"</f>
        <v>50322023032316333074772</v>
      </c>
      <c r="C109" s="9" t="s">
        <v>13</v>
      </c>
      <c r="D109" s="10" t="str">
        <f>"高雨萌"</f>
        <v>高雨萌</v>
      </c>
      <c r="E109" s="9" t="str">
        <f t="shared" si="4"/>
        <v>女</v>
      </c>
      <c r="F109" s="10"/>
    </row>
    <row r="110" spans="1:6" ht="30" customHeight="1">
      <c r="A110" s="9">
        <v>108</v>
      </c>
      <c r="B110" s="9" t="str">
        <f>"50322023032316572674819"</f>
        <v>50322023032316572674819</v>
      </c>
      <c r="C110" s="9" t="s">
        <v>13</v>
      </c>
      <c r="D110" s="10" t="str">
        <f>"符艺羚"</f>
        <v>符艺羚</v>
      </c>
      <c r="E110" s="9" t="str">
        <f t="shared" si="4"/>
        <v>女</v>
      </c>
      <c r="F110" s="10"/>
    </row>
    <row r="111" spans="1:6" ht="30" customHeight="1">
      <c r="A111" s="9">
        <v>109</v>
      </c>
      <c r="B111" s="9" t="str">
        <f>"50322023032321212675157"</f>
        <v>50322023032321212675157</v>
      </c>
      <c r="C111" s="9" t="s">
        <v>13</v>
      </c>
      <c r="D111" s="10" t="str">
        <f>"何慧冰"</f>
        <v>何慧冰</v>
      </c>
      <c r="E111" s="9" t="str">
        <f t="shared" si="4"/>
        <v>女</v>
      </c>
      <c r="F111" s="10"/>
    </row>
    <row r="112" spans="1:6" ht="30" customHeight="1">
      <c r="A112" s="9">
        <v>110</v>
      </c>
      <c r="B112" s="9" t="str">
        <f>"50322023032321223575158"</f>
        <v>50322023032321223575158</v>
      </c>
      <c r="C112" s="9" t="s">
        <v>13</v>
      </c>
      <c r="D112" s="10" t="str">
        <f>"李小菲"</f>
        <v>李小菲</v>
      </c>
      <c r="E112" s="9" t="str">
        <f t="shared" si="4"/>
        <v>女</v>
      </c>
      <c r="F112" s="10"/>
    </row>
    <row r="113" spans="1:6" ht="30" customHeight="1">
      <c r="A113" s="9">
        <v>111</v>
      </c>
      <c r="B113" s="9" t="str">
        <f>"50322023032321284975166"</f>
        <v>50322023032321284975166</v>
      </c>
      <c r="C113" s="9" t="s">
        <v>13</v>
      </c>
      <c r="D113" s="10" t="str">
        <f>"姚翠菁"</f>
        <v>姚翠菁</v>
      </c>
      <c r="E113" s="9" t="str">
        <f t="shared" si="4"/>
        <v>女</v>
      </c>
      <c r="F113" s="10"/>
    </row>
    <row r="114" spans="1:6" ht="30" customHeight="1">
      <c r="A114" s="9">
        <v>112</v>
      </c>
      <c r="B114" s="9" t="str">
        <f>"50322023032410590775611"</f>
        <v>50322023032410590775611</v>
      </c>
      <c r="C114" s="9" t="s">
        <v>13</v>
      </c>
      <c r="D114" s="10" t="str">
        <f>"曾晓莉"</f>
        <v>曾晓莉</v>
      </c>
      <c r="E114" s="9" t="str">
        <f t="shared" si="4"/>
        <v>女</v>
      </c>
      <c r="F114" s="10"/>
    </row>
    <row r="115" spans="1:6" ht="30" customHeight="1">
      <c r="A115" s="9">
        <v>113</v>
      </c>
      <c r="B115" s="9" t="str">
        <f>"50322023032413011575796"</f>
        <v>50322023032413011575796</v>
      </c>
      <c r="C115" s="9" t="s">
        <v>13</v>
      </c>
      <c r="D115" s="10" t="str">
        <f>"黄金怡"</f>
        <v>黄金怡</v>
      </c>
      <c r="E115" s="9" t="str">
        <f t="shared" si="4"/>
        <v>女</v>
      </c>
      <c r="F115" s="10"/>
    </row>
    <row r="116" spans="1:6" ht="30" customHeight="1">
      <c r="A116" s="9">
        <v>114</v>
      </c>
      <c r="B116" s="9" t="str">
        <f>"50322023032416210576070"</f>
        <v>50322023032416210576070</v>
      </c>
      <c r="C116" s="9" t="s">
        <v>13</v>
      </c>
      <c r="D116" s="10" t="str">
        <f>"王花"</f>
        <v>王花</v>
      </c>
      <c r="E116" s="9" t="str">
        <f t="shared" si="4"/>
        <v>女</v>
      </c>
      <c r="F116" s="11" t="s">
        <v>16</v>
      </c>
    </row>
    <row r="117" spans="1:6" ht="30" customHeight="1">
      <c r="A117" s="9">
        <v>115</v>
      </c>
      <c r="B117" s="9" t="str">
        <f>"50322023032509385176546"</f>
        <v>50322023032509385176546</v>
      </c>
      <c r="C117" s="9" t="s">
        <v>13</v>
      </c>
      <c r="D117" s="10" t="str">
        <f>"李盼盼"</f>
        <v>李盼盼</v>
      </c>
      <c r="E117" s="9" t="str">
        <f t="shared" si="4"/>
        <v>女</v>
      </c>
      <c r="F117" s="10"/>
    </row>
    <row r="118" spans="1:6" ht="30" customHeight="1">
      <c r="A118" s="9">
        <v>116</v>
      </c>
      <c r="B118" s="9" t="str">
        <f>"50322023032517185377024"</f>
        <v>50322023032517185377024</v>
      </c>
      <c r="C118" s="9" t="s">
        <v>13</v>
      </c>
      <c r="D118" s="10" t="str">
        <f>"丁丹"</f>
        <v>丁丹</v>
      </c>
      <c r="E118" s="9" t="str">
        <f t="shared" si="4"/>
        <v>女</v>
      </c>
      <c r="F118" s="10"/>
    </row>
    <row r="119" spans="1:6" ht="30" customHeight="1">
      <c r="A119" s="9">
        <v>117</v>
      </c>
      <c r="B119" s="9" t="str">
        <f>"50322023032617462077534"</f>
        <v>50322023032617462077534</v>
      </c>
      <c r="C119" s="9" t="s">
        <v>13</v>
      </c>
      <c r="D119" s="10" t="str">
        <f>"王家宁"</f>
        <v>王家宁</v>
      </c>
      <c r="E119" s="9" t="str">
        <f t="shared" si="4"/>
        <v>女</v>
      </c>
      <c r="F119" s="10"/>
    </row>
    <row r="120" spans="1:6" ht="30" customHeight="1">
      <c r="A120" s="9">
        <v>118</v>
      </c>
      <c r="B120" s="9" t="str">
        <f>"50322023032621545477682"</f>
        <v>50322023032621545477682</v>
      </c>
      <c r="C120" s="9" t="s">
        <v>13</v>
      </c>
      <c r="D120" s="10" t="str">
        <f>"李璐瑶"</f>
        <v>李璐瑶</v>
      </c>
      <c r="E120" s="9" t="str">
        <f t="shared" si="4"/>
        <v>女</v>
      </c>
      <c r="F120" s="10"/>
    </row>
    <row r="121" spans="1:6" ht="30" customHeight="1">
      <c r="A121" s="9">
        <v>119</v>
      </c>
      <c r="B121" s="9" t="str">
        <f>"50322023032709014377832"</f>
        <v>50322023032709014377832</v>
      </c>
      <c r="C121" s="9" t="s">
        <v>13</v>
      </c>
      <c r="D121" s="10" t="str">
        <f>"陈楚楚"</f>
        <v>陈楚楚</v>
      </c>
      <c r="E121" s="9" t="str">
        <f t="shared" si="4"/>
        <v>女</v>
      </c>
      <c r="F121" s="10"/>
    </row>
    <row r="122" spans="1:6" ht="30" customHeight="1">
      <c r="A122" s="9">
        <v>120</v>
      </c>
      <c r="B122" s="9" t="str">
        <f>"50322023032712542978268"</f>
        <v>50322023032712542978268</v>
      </c>
      <c r="C122" s="9" t="s">
        <v>13</v>
      </c>
      <c r="D122" s="10" t="str">
        <f>"房学舒"</f>
        <v>房学舒</v>
      </c>
      <c r="E122" s="9" t="str">
        <f t="shared" si="4"/>
        <v>女</v>
      </c>
      <c r="F122" s="10"/>
    </row>
    <row r="123" spans="1:6" ht="30" customHeight="1">
      <c r="A123" s="9">
        <v>121</v>
      </c>
      <c r="B123" s="9" t="str">
        <f>"50322023032715162478431"</f>
        <v>50322023032715162478431</v>
      </c>
      <c r="C123" s="9" t="s">
        <v>13</v>
      </c>
      <c r="D123" s="10" t="str">
        <f>"江萍"</f>
        <v>江萍</v>
      </c>
      <c r="E123" s="9" t="str">
        <f t="shared" si="4"/>
        <v>女</v>
      </c>
      <c r="F123" s="10"/>
    </row>
    <row r="124" spans="1:6" ht="30" customHeight="1">
      <c r="A124" s="9">
        <v>122</v>
      </c>
      <c r="B124" s="9" t="str">
        <f>"50322023032718394078694"</f>
        <v>50322023032718394078694</v>
      </c>
      <c r="C124" s="9" t="s">
        <v>13</v>
      </c>
      <c r="D124" s="10" t="str">
        <f>"王东雯"</f>
        <v>王东雯</v>
      </c>
      <c r="E124" s="9" t="str">
        <f t="shared" si="4"/>
        <v>女</v>
      </c>
      <c r="F124" s="10"/>
    </row>
    <row r="125" spans="1:6" ht="30" customHeight="1">
      <c r="A125" s="9">
        <v>123</v>
      </c>
      <c r="B125" s="9" t="str">
        <f>"50322023032719430678749"</f>
        <v>50322023032719430678749</v>
      </c>
      <c r="C125" s="9" t="s">
        <v>13</v>
      </c>
      <c r="D125" s="10" t="str">
        <f>"王芳婷"</f>
        <v>王芳婷</v>
      </c>
      <c r="E125" s="9" t="str">
        <f t="shared" si="4"/>
        <v>女</v>
      </c>
      <c r="F125" s="10"/>
    </row>
    <row r="126" spans="1:6" ht="30" customHeight="1">
      <c r="A126" s="9">
        <v>124</v>
      </c>
      <c r="B126" s="9" t="str">
        <f>"50322023032719472678754"</f>
        <v>50322023032719472678754</v>
      </c>
      <c r="C126" s="9" t="s">
        <v>13</v>
      </c>
      <c r="D126" s="10" t="str">
        <f>"杜桂清"</f>
        <v>杜桂清</v>
      </c>
      <c r="E126" s="9" t="str">
        <f t="shared" si="4"/>
        <v>女</v>
      </c>
      <c r="F126" s="10"/>
    </row>
    <row r="127" spans="1:6" ht="30" customHeight="1">
      <c r="A127" s="9">
        <v>125</v>
      </c>
      <c r="B127" s="9" t="str">
        <f>"50322023032721012478842"</f>
        <v>50322023032721012478842</v>
      </c>
      <c r="C127" s="9" t="s">
        <v>13</v>
      </c>
      <c r="D127" s="10" t="str">
        <f>"王鑫"</f>
        <v>王鑫</v>
      </c>
      <c r="E127" s="9" t="str">
        <f t="shared" si="4"/>
        <v>女</v>
      </c>
      <c r="F127" s="10"/>
    </row>
    <row r="128" spans="1:6" ht="30" customHeight="1">
      <c r="A128" s="9">
        <v>126</v>
      </c>
      <c r="B128" s="9" t="str">
        <f>"50322023032800524179045"</f>
        <v>50322023032800524179045</v>
      </c>
      <c r="C128" s="9" t="s">
        <v>13</v>
      </c>
      <c r="D128" s="10" t="str">
        <f>"余珍娟"</f>
        <v>余珍娟</v>
      </c>
      <c r="E128" s="9" t="str">
        <f t="shared" si="4"/>
        <v>女</v>
      </c>
      <c r="F128" s="10"/>
    </row>
    <row r="129" spans="1:6" ht="30" customHeight="1">
      <c r="A129" s="9">
        <v>127</v>
      </c>
      <c r="B129" s="9" t="str">
        <f>"50322023032801423579049"</f>
        <v>50322023032801423579049</v>
      </c>
      <c r="C129" s="9" t="s">
        <v>13</v>
      </c>
      <c r="D129" s="10" t="str">
        <f>"黎俊希"</f>
        <v>黎俊希</v>
      </c>
      <c r="E129" s="9" t="str">
        <f t="shared" si="4"/>
        <v>女</v>
      </c>
      <c r="F129" s="10"/>
    </row>
    <row r="130" spans="1:6" ht="30" customHeight="1">
      <c r="A130" s="9">
        <v>128</v>
      </c>
      <c r="B130" s="9" t="str">
        <f>"50322023032809264679168"</f>
        <v>50322023032809264679168</v>
      </c>
      <c r="C130" s="9" t="s">
        <v>13</v>
      </c>
      <c r="D130" s="10" t="str">
        <f>"蔡媚"</f>
        <v>蔡媚</v>
      </c>
      <c r="E130" s="9" t="str">
        <f t="shared" si="4"/>
        <v>女</v>
      </c>
      <c r="F130" s="10"/>
    </row>
    <row r="131" spans="1:6" ht="30" customHeight="1">
      <c r="A131" s="9">
        <v>129</v>
      </c>
      <c r="B131" s="9" t="str">
        <f>"50322023032813470179550"</f>
        <v>50322023032813470179550</v>
      </c>
      <c r="C131" s="9" t="s">
        <v>13</v>
      </c>
      <c r="D131" s="10" t="str">
        <f>"苏乐"</f>
        <v>苏乐</v>
      </c>
      <c r="E131" s="9" t="str">
        <f t="shared" si="4"/>
        <v>女</v>
      </c>
      <c r="F131" s="10"/>
    </row>
    <row r="132" spans="1:6" ht="30" customHeight="1">
      <c r="A132" s="9">
        <v>130</v>
      </c>
      <c r="B132" s="9" t="str">
        <f>"50322023032815402679694"</f>
        <v>50322023032815402679694</v>
      </c>
      <c r="C132" s="9" t="s">
        <v>13</v>
      </c>
      <c r="D132" s="10" t="str">
        <f>"梅文雪"</f>
        <v>梅文雪</v>
      </c>
      <c r="E132" s="9" t="str">
        <f t="shared" si="4"/>
        <v>女</v>
      </c>
      <c r="F132" s="10"/>
    </row>
    <row r="133" spans="1:6" ht="30" customHeight="1">
      <c r="A133" s="9">
        <v>131</v>
      </c>
      <c r="B133" s="9" t="str">
        <f>"50322023032819384779942"</f>
        <v>50322023032819384779942</v>
      </c>
      <c r="C133" s="9" t="s">
        <v>13</v>
      </c>
      <c r="D133" s="10" t="str">
        <f>"李官杏"</f>
        <v>李官杏</v>
      </c>
      <c r="E133" s="9" t="str">
        <f t="shared" si="4"/>
        <v>女</v>
      </c>
      <c r="F133" s="10"/>
    </row>
    <row r="134" spans="1:6" ht="30" customHeight="1">
      <c r="A134" s="9">
        <v>132</v>
      </c>
      <c r="B134" s="9" t="str">
        <f>"50322023032822534380255"</f>
        <v>50322023032822534380255</v>
      </c>
      <c r="C134" s="9" t="s">
        <v>13</v>
      </c>
      <c r="D134" s="10" t="str">
        <f>"刘青青"</f>
        <v>刘青青</v>
      </c>
      <c r="E134" s="9" t="str">
        <f t="shared" si="4"/>
        <v>女</v>
      </c>
      <c r="F134" s="10"/>
    </row>
    <row r="135" spans="1:6" ht="30" customHeight="1">
      <c r="A135" s="9">
        <v>133</v>
      </c>
      <c r="B135" s="9" t="str">
        <f>"50322023032900341480325"</f>
        <v>50322023032900341480325</v>
      </c>
      <c r="C135" s="9" t="s">
        <v>13</v>
      </c>
      <c r="D135" s="10" t="str">
        <f>"梅文娴"</f>
        <v>梅文娴</v>
      </c>
      <c r="E135" s="9" t="str">
        <f t="shared" si="4"/>
        <v>女</v>
      </c>
      <c r="F135" s="10"/>
    </row>
    <row r="136" spans="1:6" ht="30" customHeight="1">
      <c r="A136" s="9">
        <v>134</v>
      </c>
      <c r="B136" s="9" t="str">
        <f>"50322023032909363680764"</f>
        <v>50322023032909363680764</v>
      </c>
      <c r="C136" s="9" t="s">
        <v>13</v>
      </c>
      <c r="D136" s="10" t="str">
        <f>"林小湾"</f>
        <v>林小湾</v>
      </c>
      <c r="E136" s="9" t="str">
        <f t="shared" si="4"/>
        <v>女</v>
      </c>
      <c r="F136" s="10"/>
    </row>
    <row r="137" spans="1:6" ht="30" customHeight="1">
      <c r="A137" s="9">
        <v>135</v>
      </c>
      <c r="B137" s="9" t="str">
        <f>"50322023032911573781558"</f>
        <v>50322023032911573781558</v>
      </c>
      <c r="C137" s="9" t="s">
        <v>13</v>
      </c>
      <c r="D137" s="10" t="str">
        <f>"陆寅"</f>
        <v>陆寅</v>
      </c>
      <c r="E137" s="9" t="str">
        <f t="shared" si="4"/>
        <v>女</v>
      </c>
      <c r="F137" s="10"/>
    </row>
    <row r="138" spans="1:6" ht="30" customHeight="1">
      <c r="A138" s="9">
        <v>136</v>
      </c>
      <c r="B138" s="9" t="str">
        <f>"50322023032912071881592"</f>
        <v>50322023032912071881592</v>
      </c>
      <c r="C138" s="9" t="s">
        <v>13</v>
      </c>
      <c r="D138" s="10" t="str">
        <f>"卞卡娜"</f>
        <v>卞卡娜</v>
      </c>
      <c r="E138" s="9" t="str">
        <f t="shared" si="4"/>
        <v>女</v>
      </c>
      <c r="F138" s="10"/>
    </row>
    <row r="139" spans="1:6" ht="30" customHeight="1">
      <c r="A139" s="9">
        <v>137</v>
      </c>
      <c r="B139" s="9" t="str">
        <f>"50322023032915103482238"</f>
        <v>50322023032915103482238</v>
      </c>
      <c r="C139" s="9" t="s">
        <v>13</v>
      </c>
      <c r="D139" s="10" t="str">
        <f>"潘蕴文"</f>
        <v>潘蕴文</v>
      </c>
      <c r="E139" s="9" t="str">
        <f t="shared" si="4"/>
        <v>女</v>
      </c>
      <c r="F139" s="10"/>
    </row>
    <row r="140" spans="1:6" ht="30" customHeight="1">
      <c r="A140" s="9">
        <v>138</v>
      </c>
      <c r="B140" s="9" t="str">
        <f>"50322023032917152183601"</f>
        <v>50322023032917152183601</v>
      </c>
      <c r="C140" s="9" t="s">
        <v>13</v>
      </c>
      <c r="D140" s="10" t="str">
        <f>"林巧添"</f>
        <v>林巧添</v>
      </c>
      <c r="E140" s="9" t="str">
        <f t="shared" si="4"/>
        <v>女</v>
      </c>
      <c r="F140" s="10"/>
    </row>
    <row r="141" spans="1:6" ht="30" customHeight="1">
      <c r="A141" s="9">
        <v>139</v>
      </c>
      <c r="B141" s="9" t="str">
        <f>"50322023032920084184505"</f>
        <v>50322023032920084184505</v>
      </c>
      <c r="C141" s="9" t="s">
        <v>13</v>
      </c>
      <c r="D141" s="10" t="str">
        <f>"冯群"</f>
        <v>冯群</v>
      </c>
      <c r="E141" s="9" t="str">
        <f t="shared" si="4"/>
        <v>女</v>
      </c>
      <c r="F141" s="10"/>
    </row>
    <row r="142" spans="1:6" ht="30" customHeight="1">
      <c r="A142" s="9">
        <v>140</v>
      </c>
      <c r="B142" s="9" t="str">
        <f>"50322023032920304984568"</f>
        <v>50322023032920304984568</v>
      </c>
      <c r="C142" s="9" t="s">
        <v>13</v>
      </c>
      <c r="D142" s="10" t="str">
        <f>"徐婷"</f>
        <v>徐婷</v>
      </c>
      <c r="E142" s="9" t="str">
        <f t="shared" si="4"/>
        <v>女</v>
      </c>
      <c r="F142" s="10"/>
    </row>
    <row r="143" spans="1:6" ht="30" customHeight="1">
      <c r="A143" s="9">
        <v>141</v>
      </c>
      <c r="B143" s="9" t="str">
        <f>"50322023032922164884870"</f>
        <v>50322023032922164884870</v>
      </c>
      <c r="C143" s="9" t="s">
        <v>13</v>
      </c>
      <c r="D143" s="10" t="str">
        <f>"刘秋颖"</f>
        <v>刘秋颖</v>
      </c>
      <c r="E143" s="9" t="str">
        <f t="shared" si="4"/>
        <v>女</v>
      </c>
      <c r="F143" s="10"/>
    </row>
    <row r="144" spans="1:6" ht="30" customHeight="1">
      <c r="A144" s="9">
        <v>142</v>
      </c>
      <c r="B144" s="9" t="str">
        <f>"50322023032923355885031"</f>
        <v>50322023032923355885031</v>
      </c>
      <c r="C144" s="9" t="s">
        <v>13</v>
      </c>
      <c r="D144" s="10" t="str">
        <f>"符慕蓉蓉"</f>
        <v>符慕蓉蓉</v>
      </c>
      <c r="E144" s="9" t="str">
        <f t="shared" si="4"/>
        <v>女</v>
      </c>
      <c r="F144" s="10"/>
    </row>
    <row r="145" spans="1:6" ht="30" customHeight="1">
      <c r="A145" s="9">
        <v>143</v>
      </c>
      <c r="B145" s="9" t="str">
        <f>"50322023033011402585982"</f>
        <v>50322023033011402585982</v>
      </c>
      <c r="C145" s="9" t="s">
        <v>13</v>
      </c>
      <c r="D145" s="10" t="str">
        <f>"林淀"</f>
        <v>林淀</v>
      </c>
      <c r="E145" s="9" t="str">
        <f t="shared" si="4"/>
        <v>女</v>
      </c>
      <c r="F145" s="10"/>
    </row>
    <row r="146" spans="1:6" ht="30" customHeight="1">
      <c r="A146" s="9">
        <v>144</v>
      </c>
      <c r="B146" s="9" t="str">
        <f>"50322023032110003263958"</f>
        <v>50322023032110003263958</v>
      </c>
      <c r="C146" s="9" t="s">
        <v>17</v>
      </c>
      <c r="D146" s="10" t="str">
        <f>"庄艳"</f>
        <v>庄艳</v>
      </c>
      <c r="E146" s="9" t="str">
        <f t="shared" si="4"/>
        <v>女</v>
      </c>
      <c r="F146" s="10"/>
    </row>
    <row r="147" spans="1:6" ht="30" customHeight="1">
      <c r="A147" s="9">
        <v>145</v>
      </c>
      <c r="B147" s="9" t="str">
        <f>"50322023032110184364140"</f>
        <v>50322023032110184364140</v>
      </c>
      <c r="C147" s="9" t="s">
        <v>17</v>
      </c>
      <c r="D147" s="10" t="str">
        <f>"符茵茵"</f>
        <v>符茵茵</v>
      </c>
      <c r="E147" s="9" t="str">
        <f t="shared" si="4"/>
        <v>女</v>
      </c>
      <c r="F147" s="10"/>
    </row>
    <row r="148" spans="1:6" ht="30" customHeight="1">
      <c r="A148" s="9">
        <v>146</v>
      </c>
      <c r="B148" s="9" t="str">
        <f>"50322023032110595264496"</f>
        <v>50322023032110595264496</v>
      </c>
      <c r="C148" s="9" t="s">
        <v>17</v>
      </c>
      <c r="D148" s="10" t="str">
        <f>"苏光日"</f>
        <v>苏光日</v>
      </c>
      <c r="E148" s="9" t="str">
        <f t="shared" si="4"/>
        <v>女</v>
      </c>
      <c r="F148" s="10"/>
    </row>
    <row r="149" spans="1:6" ht="30" customHeight="1">
      <c r="A149" s="9">
        <v>147</v>
      </c>
      <c r="B149" s="9" t="str">
        <f>"50322023032111071164565"</f>
        <v>50322023032111071164565</v>
      </c>
      <c r="C149" s="9" t="s">
        <v>17</v>
      </c>
      <c r="D149" s="10" t="str">
        <f>"任文晋"</f>
        <v>任文晋</v>
      </c>
      <c r="E149" s="9" t="str">
        <f>"男"</f>
        <v>男</v>
      </c>
      <c r="F149" s="10"/>
    </row>
    <row r="150" spans="1:6" ht="30" customHeight="1">
      <c r="A150" s="9">
        <v>148</v>
      </c>
      <c r="B150" s="9" t="str">
        <f>"50322023032115392566351"</f>
        <v>50322023032115392566351</v>
      </c>
      <c r="C150" s="9" t="s">
        <v>17</v>
      </c>
      <c r="D150" s="10" t="str">
        <f>"罗孙娜"</f>
        <v>罗孙娜</v>
      </c>
      <c r="E150" s="9" t="str">
        <f>"女"</f>
        <v>女</v>
      </c>
      <c r="F150" s="10"/>
    </row>
    <row r="151" spans="1:6" ht="30" customHeight="1">
      <c r="A151" s="9">
        <v>149</v>
      </c>
      <c r="B151" s="9" t="str">
        <f>"50322023032119544567735"</f>
        <v>50322023032119544567735</v>
      </c>
      <c r="C151" s="9" t="s">
        <v>17</v>
      </c>
      <c r="D151" s="10" t="str">
        <f>"梁如意"</f>
        <v>梁如意</v>
      </c>
      <c r="E151" s="9" t="str">
        <f>"女"</f>
        <v>女</v>
      </c>
      <c r="F151" s="10"/>
    </row>
    <row r="152" spans="1:6" ht="30" customHeight="1">
      <c r="A152" s="9">
        <v>150</v>
      </c>
      <c r="B152" s="9" t="str">
        <f>"50322023032122493168877"</f>
        <v>50322023032122493168877</v>
      </c>
      <c r="C152" s="9" t="s">
        <v>17</v>
      </c>
      <c r="D152" s="10" t="str">
        <f>"关义侠"</f>
        <v>关义侠</v>
      </c>
      <c r="E152" s="9" t="str">
        <f>"女"</f>
        <v>女</v>
      </c>
      <c r="F152" s="10"/>
    </row>
    <row r="153" spans="1:6" ht="30" customHeight="1">
      <c r="A153" s="9">
        <v>151</v>
      </c>
      <c r="B153" s="9" t="str">
        <f>"50322023032123134068994"</f>
        <v>50322023032123134068994</v>
      </c>
      <c r="C153" s="9" t="s">
        <v>17</v>
      </c>
      <c r="D153" s="10" t="str">
        <f>"林必瑶"</f>
        <v>林必瑶</v>
      </c>
      <c r="E153" s="9" t="str">
        <f>"女"</f>
        <v>女</v>
      </c>
      <c r="F153" s="10"/>
    </row>
    <row r="154" spans="1:6" ht="30" customHeight="1">
      <c r="A154" s="9">
        <v>152</v>
      </c>
      <c r="B154" s="9" t="str">
        <f>"50322023032211430270586"</f>
        <v>50322023032211430270586</v>
      </c>
      <c r="C154" s="9" t="s">
        <v>17</v>
      </c>
      <c r="D154" s="10" t="str">
        <f>"刘强"</f>
        <v>刘强</v>
      </c>
      <c r="E154" s="9" t="str">
        <f>"男"</f>
        <v>男</v>
      </c>
      <c r="F154" s="10"/>
    </row>
    <row r="155" spans="1:6" ht="30" customHeight="1">
      <c r="A155" s="9">
        <v>153</v>
      </c>
      <c r="B155" s="9" t="str">
        <f>"50322023032213513871415"</f>
        <v>50322023032213513871415</v>
      </c>
      <c r="C155" s="9" t="s">
        <v>17</v>
      </c>
      <c r="D155" s="10" t="str">
        <f>"郝彦琼"</f>
        <v>郝彦琼</v>
      </c>
      <c r="E155" s="9" t="str">
        <f>"女"</f>
        <v>女</v>
      </c>
      <c r="F155" s="10"/>
    </row>
    <row r="156" spans="1:6" ht="30" customHeight="1">
      <c r="A156" s="9">
        <v>154</v>
      </c>
      <c r="B156" s="9" t="str">
        <f>"50322023032216044172485"</f>
        <v>50322023032216044172485</v>
      </c>
      <c r="C156" s="9" t="s">
        <v>17</v>
      </c>
      <c r="D156" s="10" t="str">
        <f>"李佳芸"</f>
        <v>李佳芸</v>
      </c>
      <c r="E156" s="9" t="str">
        <f>"女"</f>
        <v>女</v>
      </c>
      <c r="F156" s="10"/>
    </row>
    <row r="157" spans="1:6" ht="30" customHeight="1">
      <c r="A157" s="9">
        <v>155</v>
      </c>
      <c r="B157" s="9" t="str">
        <f>"50322023032218250773141"</f>
        <v>50322023032218250773141</v>
      </c>
      <c r="C157" s="9" t="s">
        <v>17</v>
      </c>
      <c r="D157" s="10" t="str">
        <f>"欧如妙"</f>
        <v>欧如妙</v>
      </c>
      <c r="E157" s="9" t="str">
        <f>"女"</f>
        <v>女</v>
      </c>
      <c r="F157" s="10"/>
    </row>
    <row r="158" spans="1:6" ht="30" customHeight="1">
      <c r="A158" s="9">
        <v>156</v>
      </c>
      <c r="B158" s="9" t="str">
        <f>"50322023032308564173860"</f>
        <v>50322023032308564173860</v>
      </c>
      <c r="C158" s="9" t="s">
        <v>17</v>
      </c>
      <c r="D158" s="10" t="str">
        <f>"麦丽翠"</f>
        <v>麦丽翠</v>
      </c>
      <c r="E158" s="9" t="str">
        <f>"女"</f>
        <v>女</v>
      </c>
      <c r="F158" s="10"/>
    </row>
    <row r="159" spans="1:6" ht="30" customHeight="1">
      <c r="A159" s="9">
        <v>157</v>
      </c>
      <c r="B159" s="9" t="str">
        <f>"50322023032320090675055"</f>
        <v>50322023032320090675055</v>
      </c>
      <c r="C159" s="9" t="s">
        <v>17</v>
      </c>
      <c r="D159" s="10" t="str">
        <f>"吴世雍"</f>
        <v>吴世雍</v>
      </c>
      <c r="E159" s="9" t="str">
        <f>"男"</f>
        <v>男</v>
      </c>
      <c r="F159" s="10"/>
    </row>
    <row r="160" spans="1:6" ht="30" customHeight="1">
      <c r="A160" s="9">
        <v>158</v>
      </c>
      <c r="B160" s="9" t="str">
        <f>"50322023032322284775247"</f>
        <v>50322023032322284775247</v>
      </c>
      <c r="C160" s="9" t="s">
        <v>17</v>
      </c>
      <c r="D160" s="10" t="str">
        <f>"李倩"</f>
        <v>李倩</v>
      </c>
      <c r="E160" s="9" t="str">
        <f>"女"</f>
        <v>女</v>
      </c>
      <c r="F160" s="10"/>
    </row>
    <row r="161" spans="1:6" ht="30" customHeight="1">
      <c r="A161" s="9">
        <v>159</v>
      </c>
      <c r="B161" s="9" t="str">
        <f>"50322023032400494075369"</f>
        <v>50322023032400494075369</v>
      </c>
      <c r="C161" s="9" t="s">
        <v>17</v>
      </c>
      <c r="D161" s="10" t="str">
        <f>"翟巍巍"</f>
        <v>翟巍巍</v>
      </c>
      <c r="E161" s="9" t="str">
        <f>"女"</f>
        <v>女</v>
      </c>
      <c r="F161" s="10"/>
    </row>
    <row r="162" spans="1:6" ht="30" customHeight="1">
      <c r="A162" s="9">
        <v>160</v>
      </c>
      <c r="B162" s="9" t="str">
        <f>"50322023032407424975394"</f>
        <v>50322023032407424975394</v>
      </c>
      <c r="C162" s="9" t="s">
        <v>17</v>
      </c>
      <c r="D162" s="10" t="str">
        <f>"唐琳琳"</f>
        <v>唐琳琳</v>
      </c>
      <c r="E162" s="9" t="str">
        <f>"女"</f>
        <v>女</v>
      </c>
      <c r="F162" s="10"/>
    </row>
    <row r="163" spans="1:6" ht="30" customHeight="1">
      <c r="A163" s="9">
        <v>161</v>
      </c>
      <c r="B163" s="9" t="str">
        <f>"50322023032409265175483"</f>
        <v>50322023032409265175483</v>
      </c>
      <c r="C163" s="9" t="s">
        <v>17</v>
      </c>
      <c r="D163" s="10" t="str">
        <f>"纪新龙"</f>
        <v>纪新龙</v>
      </c>
      <c r="E163" s="9" t="str">
        <f>"男"</f>
        <v>男</v>
      </c>
      <c r="F163" s="10"/>
    </row>
    <row r="164" spans="1:6" ht="30" customHeight="1">
      <c r="A164" s="9">
        <v>162</v>
      </c>
      <c r="B164" s="9" t="str">
        <f>"50322023032410241375564"</f>
        <v>50322023032410241375564</v>
      </c>
      <c r="C164" s="9" t="s">
        <v>17</v>
      </c>
      <c r="D164" s="10" t="str">
        <f>"林明桐"</f>
        <v>林明桐</v>
      </c>
      <c r="E164" s="9" t="str">
        <f>"男"</f>
        <v>男</v>
      </c>
      <c r="F164" s="10"/>
    </row>
    <row r="165" spans="1:6" ht="30" customHeight="1">
      <c r="A165" s="9">
        <v>163</v>
      </c>
      <c r="B165" s="9" t="str">
        <f>"50322023032413351575851"</f>
        <v>50322023032413351575851</v>
      </c>
      <c r="C165" s="9" t="s">
        <v>17</v>
      </c>
      <c r="D165" s="10" t="str">
        <f>"符诗琪"</f>
        <v>符诗琪</v>
      </c>
      <c r="E165" s="9" t="str">
        <f aca="true" t="shared" si="5" ref="E165:E182">"女"</f>
        <v>女</v>
      </c>
      <c r="F165" s="10"/>
    </row>
    <row r="166" spans="1:6" ht="30" customHeight="1">
      <c r="A166" s="9">
        <v>164</v>
      </c>
      <c r="B166" s="9" t="str">
        <f>"50322023032417245976153"</f>
        <v>50322023032417245976153</v>
      </c>
      <c r="C166" s="9" t="s">
        <v>17</v>
      </c>
      <c r="D166" s="10" t="str">
        <f>"陈红敏"</f>
        <v>陈红敏</v>
      </c>
      <c r="E166" s="9" t="str">
        <f t="shared" si="5"/>
        <v>女</v>
      </c>
      <c r="F166" s="10"/>
    </row>
    <row r="167" spans="1:6" ht="30" customHeight="1">
      <c r="A167" s="9">
        <v>165</v>
      </c>
      <c r="B167" s="9" t="str">
        <f>"50322023032420483976338"</f>
        <v>50322023032420483976338</v>
      </c>
      <c r="C167" s="9" t="s">
        <v>17</v>
      </c>
      <c r="D167" s="10" t="str">
        <f>"孙璐"</f>
        <v>孙璐</v>
      </c>
      <c r="E167" s="9" t="str">
        <f t="shared" si="5"/>
        <v>女</v>
      </c>
      <c r="F167" s="10"/>
    </row>
    <row r="168" spans="1:6" ht="30" customHeight="1">
      <c r="A168" s="9">
        <v>166</v>
      </c>
      <c r="B168" s="9" t="str">
        <f>"50322023032511121076654"</f>
        <v>50322023032511121076654</v>
      </c>
      <c r="C168" s="9" t="s">
        <v>17</v>
      </c>
      <c r="D168" s="10" t="str">
        <f>"龙婷"</f>
        <v>龙婷</v>
      </c>
      <c r="E168" s="9" t="str">
        <f t="shared" si="5"/>
        <v>女</v>
      </c>
      <c r="F168" s="10"/>
    </row>
    <row r="169" spans="1:6" ht="30" customHeight="1">
      <c r="A169" s="9">
        <v>167</v>
      </c>
      <c r="B169" s="9" t="str">
        <f>"50322023032615580077478"</f>
        <v>50322023032615580077478</v>
      </c>
      <c r="C169" s="9" t="s">
        <v>17</v>
      </c>
      <c r="D169" s="10" t="str">
        <f>"黄潘蝶"</f>
        <v>黄潘蝶</v>
      </c>
      <c r="E169" s="9" t="str">
        <f t="shared" si="5"/>
        <v>女</v>
      </c>
      <c r="F169" s="10"/>
    </row>
    <row r="170" spans="1:6" ht="30" customHeight="1">
      <c r="A170" s="9">
        <v>168</v>
      </c>
      <c r="B170" s="9" t="str">
        <f>"50322023032622531577732"</f>
        <v>50322023032622531577732</v>
      </c>
      <c r="C170" s="9" t="s">
        <v>17</v>
      </c>
      <c r="D170" s="10" t="str">
        <f>"李晶晶"</f>
        <v>李晶晶</v>
      </c>
      <c r="E170" s="9" t="str">
        <f t="shared" si="5"/>
        <v>女</v>
      </c>
      <c r="F170" s="10"/>
    </row>
    <row r="171" spans="1:6" ht="30" customHeight="1">
      <c r="A171" s="9">
        <v>169</v>
      </c>
      <c r="B171" s="9" t="str">
        <f>"50322023032622563677737"</f>
        <v>50322023032622563677737</v>
      </c>
      <c r="C171" s="9" t="s">
        <v>17</v>
      </c>
      <c r="D171" s="10" t="str">
        <f>"盛萌"</f>
        <v>盛萌</v>
      </c>
      <c r="E171" s="9" t="str">
        <f t="shared" si="5"/>
        <v>女</v>
      </c>
      <c r="F171" s="10"/>
    </row>
    <row r="172" spans="1:6" ht="30" customHeight="1">
      <c r="A172" s="9">
        <v>170</v>
      </c>
      <c r="B172" s="9" t="str">
        <f>"50322023032623582077772"</f>
        <v>50322023032623582077772</v>
      </c>
      <c r="C172" s="9" t="s">
        <v>17</v>
      </c>
      <c r="D172" s="10" t="str">
        <f>"周影"</f>
        <v>周影</v>
      </c>
      <c r="E172" s="9" t="str">
        <f t="shared" si="5"/>
        <v>女</v>
      </c>
      <c r="F172" s="10"/>
    </row>
    <row r="173" spans="1:6" ht="30" customHeight="1">
      <c r="A173" s="9">
        <v>171</v>
      </c>
      <c r="B173" s="9" t="str">
        <f>"50322023032700052077775"</f>
        <v>50322023032700052077775</v>
      </c>
      <c r="C173" s="9" t="s">
        <v>17</v>
      </c>
      <c r="D173" s="10" t="str">
        <f>"蒙荧"</f>
        <v>蒙荧</v>
      </c>
      <c r="E173" s="9" t="str">
        <f t="shared" si="5"/>
        <v>女</v>
      </c>
      <c r="F173" s="10"/>
    </row>
    <row r="174" spans="1:6" ht="30" customHeight="1">
      <c r="A174" s="9">
        <v>172</v>
      </c>
      <c r="B174" s="9" t="str">
        <f>"50322023032712372278246"</f>
        <v>50322023032712372278246</v>
      </c>
      <c r="C174" s="9" t="s">
        <v>17</v>
      </c>
      <c r="D174" s="10" t="str">
        <f>"黄玲"</f>
        <v>黄玲</v>
      </c>
      <c r="E174" s="9" t="str">
        <f t="shared" si="5"/>
        <v>女</v>
      </c>
      <c r="F174" s="10"/>
    </row>
    <row r="175" spans="1:6" ht="30" customHeight="1">
      <c r="A175" s="9">
        <v>173</v>
      </c>
      <c r="B175" s="9" t="str">
        <f>"50322023032717360578633"</f>
        <v>50322023032717360578633</v>
      </c>
      <c r="C175" s="9" t="s">
        <v>17</v>
      </c>
      <c r="D175" s="10" t="str">
        <f>"王少玮"</f>
        <v>王少玮</v>
      </c>
      <c r="E175" s="9" t="str">
        <f t="shared" si="5"/>
        <v>女</v>
      </c>
      <c r="F175" s="10"/>
    </row>
    <row r="176" spans="1:6" ht="30" customHeight="1">
      <c r="A176" s="9">
        <v>174</v>
      </c>
      <c r="B176" s="9" t="str">
        <f>"50322023032810584379361"</f>
        <v>50322023032810584379361</v>
      </c>
      <c r="C176" s="9" t="s">
        <v>17</v>
      </c>
      <c r="D176" s="10" t="str">
        <f>"王淑平"</f>
        <v>王淑平</v>
      </c>
      <c r="E176" s="9" t="str">
        <f t="shared" si="5"/>
        <v>女</v>
      </c>
      <c r="F176" s="10"/>
    </row>
    <row r="177" spans="1:6" ht="30" customHeight="1">
      <c r="A177" s="9">
        <v>175</v>
      </c>
      <c r="B177" s="9" t="str">
        <f>"50322023032817525779849"</f>
        <v>50322023032817525779849</v>
      </c>
      <c r="C177" s="9" t="s">
        <v>17</v>
      </c>
      <c r="D177" s="10" t="str">
        <f>"钟瑶"</f>
        <v>钟瑶</v>
      </c>
      <c r="E177" s="9" t="str">
        <f t="shared" si="5"/>
        <v>女</v>
      </c>
      <c r="F177" s="10"/>
    </row>
    <row r="178" spans="1:6" ht="30" customHeight="1">
      <c r="A178" s="9">
        <v>176</v>
      </c>
      <c r="B178" s="9" t="str">
        <f>"50322023032913054481818"</f>
        <v>50322023032913054481818</v>
      </c>
      <c r="C178" s="9" t="s">
        <v>17</v>
      </c>
      <c r="D178" s="10" t="str">
        <f>"兰海燕"</f>
        <v>兰海燕</v>
      </c>
      <c r="E178" s="9" t="str">
        <f t="shared" si="5"/>
        <v>女</v>
      </c>
      <c r="F178" s="10"/>
    </row>
    <row r="179" spans="1:6" ht="30" customHeight="1">
      <c r="A179" s="9">
        <v>177</v>
      </c>
      <c r="B179" s="9" t="str">
        <f>"50322023032913144181851"</f>
        <v>50322023032913144181851</v>
      </c>
      <c r="C179" s="9" t="s">
        <v>17</v>
      </c>
      <c r="D179" s="10" t="str">
        <f>"吴丽"</f>
        <v>吴丽</v>
      </c>
      <c r="E179" s="9" t="str">
        <f t="shared" si="5"/>
        <v>女</v>
      </c>
      <c r="F179" s="10"/>
    </row>
    <row r="180" spans="1:6" ht="30" customHeight="1">
      <c r="A180" s="9">
        <v>178</v>
      </c>
      <c r="B180" s="9" t="str">
        <f>"50322023032916483482674"</f>
        <v>50322023032916483482674</v>
      </c>
      <c r="C180" s="9" t="s">
        <v>17</v>
      </c>
      <c r="D180" s="10" t="str">
        <f>"孙蒙恩"</f>
        <v>孙蒙恩</v>
      </c>
      <c r="E180" s="9" t="str">
        <f t="shared" si="5"/>
        <v>女</v>
      </c>
      <c r="F180" s="10"/>
    </row>
    <row r="181" spans="1:6" ht="30" customHeight="1">
      <c r="A181" s="9">
        <v>179</v>
      </c>
      <c r="B181" s="9" t="str">
        <f>"50322023032918462084257"</f>
        <v>50322023032918462084257</v>
      </c>
      <c r="C181" s="9" t="s">
        <v>17</v>
      </c>
      <c r="D181" s="10" t="str">
        <f>"谭海慧"</f>
        <v>谭海慧</v>
      </c>
      <c r="E181" s="9" t="str">
        <f t="shared" si="5"/>
        <v>女</v>
      </c>
      <c r="F181" s="10"/>
    </row>
    <row r="182" spans="1:6" ht="30" customHeight="1">
      <c r="A182" s="9">
        <v>180</v>
      </c>
      <c r="B182" s="9" t="str">
        <f>"50322023032921054184666"</f>
        <v>50322023032921054184666</v>
      </c>
      <c r="C182" s="9" t="s">
        <v>17</v>
      </c>
      <c r="D182" s="10" t="str">
        <f>"杨清然"</f>
        <v>杨清然</v>
      </c>
      <c r="E182" s="9" t="str">
        <f t="shared" si="5"/>
        <v>女</v>
      </c>
      <c r="F182" s="10"/>
    </row>
    <row r="183" spans="1:6" ht="30" customHeight="1">
      <c r="A183" s="9">
        <v>181</v>
      </c>
      <c r="B183" s="9" t="str">
        <f>"50322023032108114062981"</f>
        <v>50322023032108114062981</v>
      </c>
      <c r="C183" s="9" t="s">
        <v>18</v>
      </c>
      <c r="D183" s="10" t="str">
        <f>"付鑫"</f>
        <v>付鑫</v>
      </c>
      <c r="E183" s="9" t="str">
        <f>"男"</f>
        <v>男</v>
      </c>
      <c r="F183" s="10"/>
    </row>
    <row r="184" spans="1:6" ht="30" customHeight="1">
      <c r="A184" s="9">
        <v>182</v>
      </c>
      <c r="B184" s="9" t="str">
        <f>"50322023032108270563032"</f>
        <v>50322023032108270563032</v>
      </c>
      <c r="C184" s="9" t="s">
        <v>18</v>
      </c>
      <c r="D184" s="10" t="str">
        <f>"符裕诚"</f>
        <v>符裕诚</v>
      </c>
      <c r="E184" s="9" t="str">
        <f>"男"</f>
        <v>男</v>
      </c>
      <c r="F184" s="10"/>
    </row>
    <row r="185" spans="1:6" ht="30" customHeight="1">
      <c r="A185" s="9">
        <v>183</v>
      </c>
      <c r="B185" s="9" t="str">
        <f>"50322023032118555067424"</f>
        <v>50322023032118555067424</v>
      </c>
      <c r="C185" s="9" t="s">
        <v>18</v>
      </c>
      <c r="D185" s="10" t="str">
        <f>"裴恩华"</f>
        <v>裴恩华</v>
      </c>
      <c r="E185" s="9" t="str">
        <f>"女"</f>
        <v>女</v>
      </c>
      <c r="F185" s="10"/>
    </row>
    <row r="186" spans="1:6" ht="30" customHeight="1">
      <c r="A186" s="9">
        <v>184</v>
      </c>
      <c r="B186" s="9" t="str">
        <f>"50322023032200012469158"</f>
        <v>50322023032200012469158</v>
      </c>
      <c r="C186" s="9" t="s">
        <v>18</v>
      </c>
      <c r="D186" s="10" t="str">
        <f>"王虎林"</f>
        <v>王虎林</v>
      </c>
      <c r="E186" s="9" t="str">
        <f>"男"</f>
        <v>男</v>
      </c>
      <c r="F186" s="10"/>
    </row>
    <row r="187" spans="1:6" ht="30" customHeight="1">
      <c r="A187" s="9">
        <v>185</v>
      </c>
      <c r="B187" s="9" t="str">
        <f>"50322023032322280375246"</f>
        <v>50322023032322280375246</v>
      </c>
      <c r="C187" s="9" t="s">
        <v>18</v>
      </c>
      <c r="D187" s="10" t="str">
        <f>"李荣兴"</f>
        <v>李荣兴</v>
      </c>
      <c r="E187" s="9" t="str">
        <f>"男"</f>
        <v>男</v>
      </c>
      <c r="F187" s="10"/>
    </row>
    <row r="188" spans="1:6" ht="30" customHeight="1">
      <c r="A188" s="9">
        <v>186</v>
      </c>
      <c r="B188" s="9" t="str">
        <f>"50322023032410335775581"</f>
        <v>50322023032410335775581</v>
      </c>
      <c r="C188" s="9" t="s">
        <v>18</v>
      </c>
      <c r="D188" s="10" t="str">
        <f>"谢向东"</f>
        <v>谢向东</v>
      </c>
      <c r="E188" s="9" t="str">
        <f>"男"</f>
        <v>男</v>
      </c>
      <c r="F188" s="10"/>
    </row>
    <row r="189" spans="1:6" ht="30" customHeight="1">
      <c r="A189" s="9">
        <v>187</v>
      </c>
      <c r="B189" s="9" t="str">
        <f>"50322023032517322377032"</f>
        <v>50322023032517322377032</v>
      </c>
      <c r="C189" s="9" t="s">
        <v>18</v>
      </c>
      <c r="D189" s="10" t="str">
        <f>"孙皓然"</f>
        <v>孙皓然</v>
      </c>
      <c r="E189" s="9" t="str">
        <f>"男"</f>
        <v>男</v>
      </c>
      <c r="F189" s="10"/>
    </row>
    <row r="190" spans="1:6" ht="30" customHeight="1">
      <c r="A190" s="9">
        <v>188</v>
      </c>
      <c r="B190" s="9" t="str">
        <f>"50322023032612321777365"</f>
        <v>50322023032612321777365</v>
      </c>
      <c r="C190" s="9" t="s">
        <v>18</v>
      </c>
      <c r="D190" s="10" t="str">
        <f>"张琪"</f>
        <v>张琪</v>
      </c>
      <c r="E190" s="9" t="str">
        <f>"女"</f>
        <v>女</v>
      </c>
      <c r="F190" s="10"/>
    </row>
    <row r="191" spans="1:6" ht="30" customHeight="1">
      <c r="A191" s="9">
        <v>189</v>
      </c>
      <c r="B191" s="9" t="str">
        <f>"50322023032622285477717"</f>
        <v>50322023032622285477717</v>
      </c>
      <c r="C191" s="9" t="s">
        <v>18</v>
      </c>
      <c r="D191" s="10" t="str">
        <f>"黄亚家"</f>
        <v>黄亚家</v>
      </c>
      <c r="E191" s="9" t="str">
        <f>"男"</f>
        <v>男</v>
      </c>
      <c r="F191" s="10"/>
    </row>
    <row r="192" spans="1:6" ht="30" customHeight="1">
      <c r="A192" s="9">
        <v>190</v>
      </c>
      <c r="B192" s="9" t="str">
        <f>"50322023032808445479090"</f>
        <v>50322023032808445479090</v>
      </c>
      <c r="C192" s="9" t="s">
        <v>18</v>
      </c>
      <c r="D192" s="10" t="str">
        <f>"杜鑫涛"</f>
        <v>杜鑫涛</v>
      </c>
      <c r="E192" s="9" t="str">
        <f>"男"</f>
        <v>男</v>
      </c>
      <c r="F192" s="10"/>
    </row>
    <row r="193" spans="1:6" ht="30" customHeight="1">
      <c r="A193" s="9">
        <v>191</v>
      </c>
      <c r="B193" s="9" t="str">
        <f>"50322023033010452585746"</f>
        <v>50322023033010452585746</v>
      </c>
      <c r="C193" s="9" t="s">
        <v>18</v>
      </c>
      <c r="D193" s="10" t="str">
        <f>"戴宇航"</f>
        <v>戴宇航</v>
      </c>
      <c r="E193" s="9" t="str">
        <f>"男"</f>
        <v>男</v>
      </c>
      <c r="F193" s="10"/>
    </row>
    <row r="194" spans="1:6" ht="30" customHeight="1">
      <c r="A194" s="9">
        <v>192</v>
      </c>
      <c r="B194" s="9" t="str">
        <f>"50322023032115544966455"</f>
        <v>50322023032115544966455</v>
      </c>
      <c r="C194" s="9" t="s">
        <v>19</v>
      </c>
      <c r="D194" s="10" t="str">
        <f>"陈友慧"</f>
        <v>陈友慧</v>
      </c>
      <c r="E194" s="9" t="str">
        <f>"女"</f>
        <v>女</v>
      </c>
      <c r="F194" s="10"/>
    </row>
    <row r="195" spans="1:6" ht="30" customHeight="1">
      <c r="A195" s="9">
        <v>193</v>
      </c>
      <c r="B195" s="9" t="str">
        <f>"50322023032219292473252"</f>
        <v>50322023032219292473252</v>
      </c>
      <c r="C195" s="9" t="s">
        <v>19</v>
      </c>
      <c r="D195" s="10" t="str">
        <f>"吴学丽"</f>
        <v>吴学丽</v>
      </c>
      <c r="E195" s="9" t="str">
        <f>"女"</f>
        <v>女</v>
      </c>
      <c r="F195" s="10"/>
    </row>
    <row r="196" spans="1:6" ht="30" customHeight="1">
      <c r="A196" s="9">
        <v>194</v>
      </c>
      <c r="B196" s="9" t="str">
        <f>"50322023032513085576763"</f>
        <v>50322023032513085576763</v>
      </c>
      <c r="C196" s="9" t="s">
        <v>19</v>
      </c>
      <c r="D196" s="10" t="str">
        <f>"何凯慧"</f>
        <v>何凯慧</v>
      </c>
      <c r="E196" s="9" t="str">
        <f>"女"</f>
        <v>女</v>
      </c>
      <c r="F196" s="10"/>
    </row>
    <row r="197" spans="1:6" ht="30" customHeight="1">
      <c r="A197" s="9">
        <v>195</v>
      </c>
      <c r="B197" s="9" t="str">
        <f>"50322023032222065673581"</f>
        <v>50322023032222065673581</v>
      </c>
      <c r="C197" s="9" t="s">
        <v>20</v>
      </c>
      <c r="D197" s="10" t="str">
        <f>"李欣姝"</f>
        <v>李欣姝</v>
      </c>
      <c r="E197" s="9" t="str">
        <f aca="true" t="shared" si="6" ref="E197:E204">"女"</f>
        <v>女</v>
      </c>
      <c r="F197" s="10"/>
    </row>
    <row r="198" spans="1:6" ht="30" customHeight="1">
      <c r="A198" s="9">
        <v>196</v>
      </c>
      <c r="B198" s="9" t="str">
        <f>"50322023032311054474161"</f>
        <v>50322023032311054474161</v>
      </c>
      <c r="C198" s="9" t="s">
        <v>20</v>
      </c>
      <c r="D198" s="10" t="str">
        <f>"于龙妹"</f>
        <v>于龙妹</v>
      </c>
      <c r="E198" s="9" t="str">
        <f t="shared" si="6"/>
        <v>女</v>
      </c>
      <c r="F198" s="10"/>
    </row>
    <row r="199" spans="1:6" ht="30" customHeight="1">
      <c r="A199" s="9">
        <v>197</v>
      </c>
      <c r="B199" s="9" t="str">
        <f>"50322023032910554481259"</f>
        <v>50322023032910554481259</v>
      </c>
      <c r="C199" s="9" t="s">
        <v>20</v>
      </c>
      <c r="D199" s="10" t="str">
        <f>"王香懿"</f>
        <v>王香懿</v>
      </c>
      <c r="E199" s="9" t="str">
        <f t="shared" si="6"/>
        <v>女</v>
      </c>
      <c r="F199" s="10"/>
    </row>
    <row r="200" spans="1:6" ht="30" customHeight="1">
      <c r="A200" s="9">
        <v>198</v>
      </c>
      <c r="B200" s="9" t="str">
        <f>"50322023033007333785135"</f>
        <v>50322023033007333785135</v>
      </c>
      <c r="C200" s="9" t="s">
        <v>20</v>
      </c>
      <c r="D200" s="10" t="str">
        <f>"张杰"</f>
        <v>张杰</v>
      </c>
      <c r="E200" s="9" t="str">
        <f t="shared" si="6"/>
        <v>女</v>
      </c>
      <c r="F200" s="10"/>
    </row>
    <row r="201" spans="1:6" ht="30" customHeight="1">
      <c r="A201" s="9">
        <v>199</v>
      </c>
      <c r="B201" s="9" t="str">
        <f>"50322023032109015063207"</f>
        <v>50322023032109015063207</v>
      </c>
      <c r="C201" s="9" t="s">
        <v>21</v>
      </c>
      <c r="D201" s="10" t="str">
        <f>"饶江雪"</f>
        <v>饶江雪</v>
      </c>
      <c r="E201" s="9" t="str">
        <f t="shared" si="6"/>
        <v>女</v>
      </c>
      <c r="F201" s="10"/>
    </row>
    <row r="202" spans="1:6" ht="30" customHeight="1">
      <c r="A202" s="9">
        <v>200</v>
      </c>
      <c r="B202" s="9" t="str">
        <f>"50322023032109360163461"</f>
        <v>50322023032109360163461</v>
      </c>
      <c r="C202" s="9" t="s">
        <v>21</v>
      </c>
      <c r="D202" s="10" t="str">
        <f>"罗艳梨"</f>
        <v>罗艳梨</v>
      </c>
      <c r="E202" s="9" t="str">
        <f t="shared" si="6"/>
        <v>女</v>
      </c>
      <c r="F202" s="10"/>
    </row>
    <row r="203" spans="1:6" ht="30" customHeight="1">
      <c r="A203" s="9">
        <v>201</v>
      </c>
      <c r="B203" s="9" t="str">
        <f>"50322023032213385871347"</f>
        <v>50322023032213385871347</v>
      </c>
      <c r="C203" s="9" t="s">
        <v>21</v>
      </c>
      <c r="D203" s="10" t="str">
        <f>"李琳"</f>
        <v>李琳</v>
      </c>
      <c r="E203" s="9" t="str">
        <f t="shared" si="6"/>
        <v>女</v>
      </c>
      <c r="F203" s="10"/>
    </row>
    <row r="204" spans="1:6" ht="30" customHeight="1">
      <c r="A204" s="9">
        <v>202</v>
      </c>
      <c r="B204" s="9" t="str">
        <f>"50322023032221572173552"</f>
        <v>50322023032221572173552</v>
      </c>
      <c r="C204" s="9" t="s">
        <v>21</v>
      </c>
      <c r="D204" s="10" t="str">
        <f>"唐雨婷"</f>
        <v>唐雨婷</v>
      </c>
      <c r="E204" s="9" t="str">
        <f t="shared" si="6"/>
        <v>女</v>
      </c>
      <c r="F204" s="10"/>
    </row>
    <row r="205" spans="1:6" ht="30" customHeight="1">
      <c r="A205" s="9">
        <v>203</v>
      </c>
      <c r="B205" s="9" t="str">
        <f>"50322023032317121074847"</f>
        <v>50322023032317121074847</v>
      </c>
      <c r="C205" s="9" t="s">
        <v>21</v>
      </c>
      <c r="D205" s="10" t="str">
        <f>"张靖"</f>
        <v>张靖</v>
      </c>
      <c r="E205" s="9" t="str">
        <f>"女"</f>
        <v>女</v>
      </c>
      <c r="F205" s="10"/>
    </row>
    <row r="206" spans="1:6" ht="30" customHeight="1">
      <c r="A206" s="9">
        <v>204</v>
      </c>
      <c r="B206" s="9" t="str">
        <f>"50322023032317420974887"</f>
        <v>50322023032317420974887</v>
      </c>
      <c r="C206" s="9" t="s">
        <v>21</v>
      </c>
      <c r="D206" s="10" t="str">
        <f>"高健"</f>
        <v>高健</v>
      </c>
      <c r="E206" s="9" t="str">
        <f>"女"</f>
        <v>女</v>
      </c>
      <c r="F206" s="10"/>
    </row>
    <row r="207" spans="1:6" ht="30" customHeight="1">
      <c r="A207" s="9">
        <v>205</v>
      </c>
      <c r="B207" s="9" t="str">
        <f>"50322023032110060464017"</f>
        <v>50322023032110060464017</v>
      </c>
      <c r="C207" s="9" t="s">
        <v>22</v>
      </c>
      <c r="D207" s="10" t="str">
        <f>"符杰贤"</f>
        <v>符杰贤</v>
      </c>
      <c r="E207" s="9" t="str">
        <f>"男"</f>
        <v>男</v>
      </c>
      <c r="F207" s="10"/>
    </row>
    <row r="208" spans="1:6" ht="30" customHeight="1">
      <c r="A208" s="9">
        <v>206</v>
      </c>
      <c r="B208" s="9" t="str">
        <f>"50322023032115380366344"</f>
        <v>50322023032115380366344</v>
      </c>
      <c r="C208" s="9" t="s">
        <v>22</v>
      </c>
      <c r="D208" s="10" t="str">
        <f>"崔可人"</f>
        <v>崔可人</v>
      </c>
      <c r="E208" s="9" t="str">
        <f aca="true" t="shared" si="7" ref="E208:E228">"女"</f>
        <v>女</v>
      </c>
      <c r="F208" s="10"/>
    </row>
    <row r="209" spans="1:6" ht="30" customHeight="1">
      <c r="A209" s="9">
        <v>207</v>
      </c>
      <c r="B209" s="9" t="str">
        <f>"50322023032121211968282"</f>
        <v>50322023032121211968282</v>
      </c>
      <c r="C209" s="9" t="s">
        <v>22</v>
      </c>
      <c r="D209" s="10" t="str">
        <f>"张雪轩"</f>
        <v>张雪轩</v>
      </c>
      <c r="E209" s="9" t="str">
        <f t="shared" si="7"/>
        <v>女</v>
      </c>
      <c r="F209" s="10"/>
    </row>
    <row r="210" spans="1:6" ht="30" customHeight="1">
      <c r="A210" s="9">
        <v>208</v>
      </c>
      <c r="B210" s="9" t="str">
        <f>"50322023032209321469655"</f>
        <v>50322023032209321469655</v>
      </c>
      <c r="C210" s="9" t="s">
        <v>22</v>
      </c>
      <c r="D210" s="10" t="str">
        <f>"张鸿飞"</f>
        <v>张鸿飞</v>
      </c>
      <c r="E210" s="9" t="str">
        <f t="shared" si="7"/>
        <v>女</v>
      </c>
      <c r="F210" s="10"/>
    </row>
    <row r="211" spans="1:6" ht="30" customHeight="1">
      <c r="A211" s="9">
        <v>209</v>
      </c>
      <c r="B211" s="9" t="str">
        <f>"50322023032210171069941"</f>
        <v>50322023032210171069941</v>
      </c>
      <c r="C211" s="9" t="s">
        <v>22</v>
      </c>
      <c r="D211" s="10" t="str">
        <f>"王艺淇"</f>
        <v>王艺淇</v>
      </c>
      <c r="E211" s="9" t="str">
        <f t="shared" si="7"/>
        <v>女</v>
      </c>
      <c r="F211" s="10"/>
    </row>
    <row r="212" spans="1:6" ht="30" customHeight="1">
      <c r="A212" s="9">
        <v>210</v>
      </c>
      <c r="B212" s="9" t="str">
        <f>"50322023032211183670404"</f>
        <v>50322023032211183670404</v>
      </c>
      <c r="C212" s="9" t="s">
        <v>22</v>
      </c>
      <c r="D212" s="10" t="str">
        <f>"文婷"</f>
        <v>文婷</v>
      </c>
      <c r="E212" s="9" t="str">
        <f t="shared" si="7"/>
        <v>女</v>
      </c>
      <c r="F212" s="10"/>
    </row>
    <row r="213" spans="1:6" ht="30" customHeight="1">
      <c r="A213" s="9">
        <v>211</v>
      </c>
      <c r="B213" s="9" t="str">
        <f>"50322023032216215272654"</f>
        <v>50322023032216215272654</v>
      </c>
      <c r="C213" s="9" t="s">
        <v>22</v>
      </c>
      <c r="D213" s="10" t="str">
        <f>"冯锦春"</f>
        <v>冯锦春</v>
      </c>
      <c r="E213" s="9" t="str">
        <f t="shared" si="7"/>
        <v>女</v>
      </c>
      <c r="F213" s="10"/>
    </row>
    <row r="214" spans="1:6" ht="30" customHeight="1">
      <c r="A214" s="9">
        <v>212</v>
      </c>
      <c r="B214" s="9" t="str">
        <f>"50322023032223410473734"</f>
        <v>50322023032223410473734</v>
      </c>
      <c r="C214" s="9" t="s">
        <v>22</v>
      </c>
      <c r="D214" s="10" t="str">
        <f>"吴显慧"</f>
        <v>吴显慧</v>
      </c>
      <c r="E214" s="9" t="str">
        <f t="shared" si="7"/>
        <v>女</v>
      </c>
      <c r="F214" s="10"/>
    </row>
    <row r="215" spans="1:6" ht="30" customHeight="1">
      <c r="A215" s="9">
        <v>213</v>
      </c>
      <c r="B215" s="9" t="str">
        <f>"50322023032315153474598"</f>
        <v>50322023032315153474598</v>
      </c>
      <c r="C215" s="9" t="s">
        <v>22</v>
      </c>
      <c r="D215" s="10" t="str">
        <f>"文俞涵"</f>
        <v>文俞涵</v>
      </c>
      <c r="E215" s="9" t="str">
        <f t="shared" si="7"/>
        <v>女</v>
      </c>
      <c r="F215" s="10"/>
    </row>
    <row r="216" spans="1:6" ht="30" customHeight="1">
      <c r="A216" s="9">
        <v>214</v>
      </c>
      <c r="B216" s="9" t="str">
        <f>"50322023032315412274649"</f>
        <v>50322023032315412274649</v>
      </c>
      <c r="C216" s="9" t="s">
        <v>22</v>
      </c>
      <c r="D216" s="10" t="str">
        <f>"邓如环"</f>
        <v>邓如环</v>
      </c>
      <c r="E216" s="9" t="str">
        <f t="shared" si="7"/>
        <v>女</v>
      </c>
      <c r="F216" s="10"/>
    </row>
    <row r="217" spans="1:6" ht="30" customHeight="1">
      <c r="A217" s="9">
        <v>215</v>
      </c>
      <c r="B217" s="9" t="str">
        <f>"50322023032316310074766"</f>
        <v>50322023032316310074766</v>
      </c>
      <c r="C217" s="9" t="s">
        <v>22</v>
      </c>
      <c r="D217" s="10" t="str">
        <f>"陈清柳"</f>
        <v>陈清柳</v>
      </c>
      <c r="E217" s="9" t="str">
        <f t="shared" si="7"/>
        <v>女</v>
      </c>
      <c r="F217" s="10"/>
    </row>
    <row r="218" spans="1:6" ht="30" customHeight="1">
      <c r="A218" s="9">
        <v>216</v>
      </c>
      <c r="B218" s="9" t="str">
        <f>"50322023032319503475028"</f>
        <v>50322023032319503475028</v>
      </c>
      <c r="C218" s="9" t="s">
        <v>22</v>
      </c>
      <c r="D218" s="10" t="str">
        <f>"何佳芸"</f>
        <v>何佳芸</v>
      </c>
      <c r="E218" s="9" t="str">
        <f t="shared" si="7"/>
        <v>女</v>
      </c>
      <c r="F218" s="10"/>
    </row>
    <row r="219" spans="1:6" ht="30" customHeight="1">
      <c r="A219" s="9">
        <v>217</v>
      </c>
      <c r="B219" s="9" t="str">
        <f>"50322023032415393976012"</f>
        <v>50322023032415393976012</v>
      </c>
      <c r="C219" s="9" t="s">
        <v>22</v>
      </c>
      <c r="D219" s="10" t="str">
        <f>"肖萧"</f>
        <v>肖萧</v>
      </c>
      <c r="E219" s="9" t="str">
        <f t="shared" si="7"/>
        <v>女</v>
      </c>
      <c r="F219" s="10"/>
    </row>
    <row r="220" spans="1:6" ht="30" customHeight="1">
      <c r="A220" s="9">
        <v>218</v>
      </c>
      <c r="B220" s="9" t="str">
        <f>"50322023032619022377575"</f>
        <v>50322023032619022377575</v>
      </c>
      <c r="C220" s="9" t="s">
        <v>22</v>
      </c>
      <c r="D220" s="10" t="str">
        <f>"陈娇凤"</f>
        <v>陈娇凤</v>
      </c>
      <c r="E220" s="9" t="str">
        <f t="shared" si="7"/>
        <v>女</v>
      </c>
      <c r="F220" s="10"/>
    </row>
    <row r="221" spans="1:6" ht="30" customHeight="1">
      <c r="A221" s="9">
        <v>219</v>
      </c>
      <c r="B221" s="9" t="str">
        <f>"50322023032710115978008"</f>
        <v>50322023032710115978008</v>
      </c>
      <c r="C221" s="9" t="s">
        <v>22</v>
      </c>
      <c r="D221" s="10" t="str">
        <f>"苏娇雪"</f>
        <v>苏娇雪</v>
      </c>
      <c r="E221" s="9" t="str">
        <f t="shared" si="7"/>
        <v>女</v>
      </c>
      <c r="F221" s="10"/>
    </row>
    <row r="222" spans="1:6" ht="30" customHeight="1">
      <c r="A222" s="9">
        <v>220</v>
      </c>
      <c r="B222" s="9" t="str">
        <f>"50322023032716031178502"</f>
        <v>50322023032716031178502</v>
      </c>
      <c r="C222" s="9" t="s">
        <v>22</v>
      </c>
      <c r="D222" s="10" t="str">
        <f>"莫小凤"</f>
        <v>莫小凤</v>
      </c>
      <c r="E222" s="9" t="str">
        <f t="shared" si="7"/>
        <v>女</v>
      </c>
      <c r="F222" s="10"/>
    </row>
    <row r="223" spans="1:6" ht="30" customHeight="1">
      <c r="A223" s="9">
        <v>221</v>
      </c>
      <c r="B223" s="9" t="str">
        <f>"50322023032808195379073"</f>
        <v>50322023032808195379073</v>
      </c>
      <c r="C223" s="9" t="s">
        <v>22</v>
      </c>
      <c r="D223" s="10" t="str">
        <f>"毛芳芷"</f>
        <v>毛芳芷</v>
      </c>
      <c r="E223" s="9" t="str">
        <f t="shared" si="7"/>
        <v>女</v>
      </c>
      <c r="F223" s="10"/>
    </row>
    <row r="224" spans="1:6" ht="30" customHeight="1">
      <c r="A224" s="9">
        <v>222</v>
      </c>
      <c r="B224" s="9" t="str">
        <f>"50322023032812024879449"</f>
        <v>50322023032812024879449</v>
      </c>
      <c r="C224" s="9" t="s">
        <v>22</v>
      </c>
      <c r="D224" s="10" t="str">
        <f>"左春燕"</f>
        <v>左春燕</v>
      </c>
      <c r="E224" s="9" t="str">
        <f t="shared" si="7"/>
        <v>女</v>
      </c>
      <c r="F224" s="10"/>
    </row>
    <row r="225" spans="1:6" ht="30" customHeight="1">
      <c r="A225" s="9">
        <v>223</v>
      </c>
      <c r="B225" s="9" t="str">
        <f>"50322023032822411680237"</f>
        <v>50322023032822411680237</v>
      </c>
      <c r="C225" s="9" t="s">
        <v>22</v>
      </c>
      <c r="D225" s="10" t="str">
        <f>"吴思颖"</f>
        <v>吴思颖</v>
      </c>
      <c r="E225" s="9" t="str">
        <f t="shared" si="7"/>
        <v>女</v>
      </c>
      <c r="F225" s="10"/>
    </row>
    <row r="226" spans="1:6" ht="30" customHeight="1">
      <c r="A226" s="9">
        <v>224</v>
      </c>
      <c r="B226" s="9" t="str">
        <f>"50322023032910272381097"</f>
        <v>50322023032910272381097</v>
      </c>
      <c r="C226" s="9" t="s">
        <v>22</v>
      </c>
      <c r="D226" s="10" t="str">
        <f>"王莹菁"</f>
        <v>王莹菁</v>
      </c>
      <c r="E226" s="9" t="str">
        <f t="shared" si="7"/>
        <v>女</v>
      </c>
      <c r="F226" s="10"/>
    </row>
    <row r="227" spans="1:6" ht="30" customHeight="1">
      <c r="A227" s="9">
        <v>225</v>
      </c>
      <c r="B227" s="9" t="str">
        <f>"50322023032922353284915"</f>
        <v>50322023032922353284915</v>
      </c>
      <c r="C227" s="9" t="s">
        <v>22</v>
      </c>
      <c r="D227" s="10" t="str">
        <f>"洪海花"</f>
        <v>洪海花</v>
      </c>
      <c r="E227" s="9" t="str">
        <f t="shared" si="7"/>
        <v>女</v>
      </c>
      <c r="F227" s="10"/>
    </row>
    <row r="228" spans="1:6" ht="30" customHeight="1">
      <c r="A228" s="9">
        <v>226</v>
      </c>
      <c r="B228" s="9" t="str">
        <f>"50322023033008325085198"</f>
        <v>50322023033008325085198</v>
      </c>
      <c r="C228" s="9" t="s">
        <v>22</v>
      </c>
      <c r="D228" s="10" t="str">
        <f>"王小雪"</f>
        <v>王小雪</v>
      </c>
      <c r="E228" s="9" t="str">
        <f t="shared" si="7"/>
        <v>女</v>
      </c>
      <c r="F228" s="10"/>
    </row>
    <row r="229" spans="1:6" ht="30" customHeight="1">
      <c r="A229" s="9">
        <v>227</v>
      </c>
      <c r="B229" s="9" t="str">
        <f>"50322023032611164577323"</f>
        <v>50322023032611164577323</v>
      </c>
      <c r="C229" s="9" t="s">
        <v>23</v>
      </c>
      <c r="D229" s="10" t="str">
        <f>"邹健峰"</f>
        <v>邹健峰</v>
      </c>
      <c r="E229" s="9" t="str">
        <f>"男"</f>
        <v>男</v>
      </c>
      <c r="F229" s="10"/>
    </row>
    <row r="230" spans="1:6" ht="30" customHeight="1">
      <c r="A230" s="9">
        <v>228</v>
      </c>
      <c r="B230" s="9" t="str">
        <f>"50322023032815525479709"</f>
        <v>50322023032815525479709</v>
      </c>
      <c r="C230" s="9" t="s">
        <v>23</v>
      </c>
      <c r="D230" s="10" t="str">
        <f>"朱乃正"</f>
        <v>朱乃正</v>
      </c>
      <c r="E230" s="9" t="str">
        <f>"男"</f>
        <v>男</v>
      </c>
      <c r="F230" s="10"/>
    </row>
    <row r="231" spans="1:6" ht="30" customHeight="1">
      <c r="A231" s="9">
        <v>229</v>
      </c>
      <c r="B231" s="9" t="str">
        <f>"50322023032919255184372"</f>
        <v>50322023032919255184372</v>
      </c>
      <c r="C231" s="9" t="s">
        <v>23</v>
      </c>
      <c r="D231" s="10" t="str">
        <f>"韩晴"</f>
        <v>韩晴</v>
      </c>
      <c r="E231" s="9" t="str">
        <f aca="true" t="shared" si="8" ref="E231:E241">"女"</f>
        <v>女</v>
      </c>
      <c r="F231" s="10"/>
    </row>
    <row r="232" spans="1:6" ht="30" customHeight="1">
      <c r="A232" s="9">
        <v>230</v>
      </c>
      <c r="B232" s="9" t="str">
        <f>"50322023032115055166123"</f>
        <v>50322023032115055166123</v>
      </c>
      <c r="C232" s="9" t="s">
        <v>24</v>
      </c>
      <c r="D232" s="10" t="str">
        <f>"王美乐"</f>
        <v>王美乐</v>
      </c>
      <c r="E232" s="9" t="str">
        <f t="shared" si="8"/>
        <v>女</v>
      </c>
      <c r="F232" s="10"/>
    </row>
    <row r="233" spans="1:6" ht="30" customHeight="1">
      <c r="A233" s="9">
        <v>231</v>
      </c>
      <c r="B233" s="9" t="str">
        <f>"50322023032117474267154"</f>
        <v>50322023032117474267154</v>
      </c>
      <c r="C233" s="9" t="s">
        <v>24</v>
      </c>
      <c r="D233" s="10" t="str">
        <f>"杜慧琴"</f>
        <v>杜慧琴</v>
      </c>
      <c r="E233" s="9" t="str">
        <f t="shared" si="8"/>
        <v>女</v>
      </c>
      <c r="F233" s="10"/>
    </row>
    <row r="234" spans="1:6" ht="30" customHeight="1">
      <c r="A234" s="9">
        <v>232</v>
      </c>
      <c r="B234" s="9" t="str">
        <f>"50322023032213205371228"</f>
        <v>50322023032213205371228</v>
      </c>
      <c r="C234" s="9" t="s">
        <v>24</v>
      </c>
      <c r="D234" s="10" t="str">
        <f>"杜婧姝"</f>
        <v>杜婧姝</v>
      </c>
      <c r="E234" s="9" t="str">
        <f t="shared" si="8"/>
        <v>女</v>
      </c>
      <c r="F234" s="10"/>
    </row>
    <row r="235" spans="1:6" ht="30" customHeight="1">
      <c r="A235" s="9">
        <v>233</v>
      </c>
      <c r="B235" s="9" t="str">
        <f>"50322023032218324973158"</f>
        <v>50322023032218324973158</v>
      </c>
      <c r="C235" s="9" t="s">
        <v>24</v>
      </c>
      <c r="D235" s="10" t="str">
        <f>"韩晓霜"</f>
        <v>韩晓霜</v>
      </c>
      <c r="E235" s="9" t="str">
        <f t="shared" si="8"/>
        <v>女</v>
      </c>
      <c r="F235" s="10"/>
    </row>
    <row r="236" spans="1:6" ht="30" customHeight="1">
      <c r="A236" s="9">
        <v>234</v>
      </c>
      <c r="B236" s="9" t="str">
        <f>"50322023032222283573624"</f>
        <v>50322023032222283573624</v>
      </c>
      <c r="C236" s="9" t="s">
        <v>24</v>
      </c>
      <c r="D236" s="10" t="str">
        <f>"李丽芳"</f>
        <v>李丽芳</v>
      </c>
      <c r="E236" s="9" t="str">
        <f t="shared" si="8"/>
        <v>女</v>
      </c>
      <c r="F236" s="10"/>
    </row>
    <row r="237" spans="1:6" ht="30" customHeight="1">
      <c r="A237" s="9">
        <v>235</v>
      </c>
      <c r="B237" s="9" t="str">
        <f>"50322023032309005573865"</f>
        <v>50322023032309005573865</v>
      </c>
      <c r="C237" s="9" t="s">
        <v>24</v>
      </c>
      <c r="D237" s="10" t="str">
        <f>"李思羽"</f>
        <v>李思羽</v>
      </c>
      <c r="E237" s="9" t="str">
        <f t="shared" si="8"/>
        <v>女</v>
      </c>
      <c r="F237" s="10"/>
    </row>
    <row r="238" spans="1:6" ht="30" customHeight="1">
      <c r="A238" s="9">
        <v>236</v>
      </c>
      <c r="B238" s="9" t="str">
        <f>"50322023032720350578808"</f>
        <v>50322023032720350578808</v>
      </c>
      <c r="C238" s="9" t="s">
        <v>24</v>
      </c>
      <c r="D238" s="10" t="str">
        <f>"高欣"</f>
        <v>高欣</v>
      </c>
      <c r="E238" s="9" t="str">
        <f t="shared" si="8"/>
        <v>女</v>
      </c>
      <c r="F238" s="10"/>
    </row>
    <row r="239" spans="1:6" ht="30" customHeight="1">
      <c r="A239" s="9">
        <v>237</v>
      </c>
      <c r="B239" s="9" t="str">
        <f>"50322023032821081680088"</f>
        <v>50322023032821081680088</v>
      </c>
      <c r="C239" s="9" t="s">
        <v>24</v>
      </c>
      <c r="D239" s="10" t="str">
        <f>"廖飞凤"</f>
        <v>廖飞凤</v>
      </c>
      <c r="E239" s="9" t="str">
        <f t="shared" si="8"/>
        <v>女</v>
      </c>
      <c r="F239" s="10"/>
    </row>
    <row r="240" spans="1:6" ht="30" customHeight="1">
      <c r="A240" s="9">
        <v>238</v>
      </c>
      <c r="B240" s="9" t="str">
        <f>"50322023032911345581467"</f>
        <v>50322023032911345581467</v>
      </c>
      <c r="C240" s="9" t="s">
        <v>24</v>
      </c>
      <c r="D240" s="10" t="str">
        <f>"林师"</f>
        <v>林师</v>
      </c>
      <c r="E240" s="9" t="str">
        <f t="shared" si="8"/>
        <v>女</v>
      </c>
      <c r="F240" s="10"/>
    </row>
    <row r="241" spans="1:6" ht="30" customHeight="1">
      <c r="A241" s="9">
        <v>239</v>
      </c>
      <c r="B241" s="9" t="str">
        <f>"50322023032922142984863"</f>
        <v>50322023032922142984863</v>
      </c>
      <c r="C241" s="9" t="s">
        <v>24</v>
      </c>
      <c r="D241" s="10" t="str">
        <f>"张维"</f>
        <v>张维</v>
      </c>
      <c r="E241" s="9" t="str">
        <f t="shared" si="8"/>
        <v>女</v>
      </c>
      <c r="F241" s="10"/>
    </row>
    <row r="242" spans="1:6" ht="30" customHeight="1">
      <c r="A242" s="9">
        <v>240</v>
      </c>
      <c r="B242" s="9" t="str">
        <f>"50322023032110363664286"</f>
        <v>50322023032110363664286</v>
      </c>
      <c r="C242" s="9" t="s">
        <v>25</v>
      </c>
      <c r="D242" s="11" t="str">
        <f>"何建波"</f>
        <v>何建波</v>
      </c>
      <c r="E242" s="9" t="str">
        <f>"男"</f>
        <v>男</v>
      </c>
      <c r="F242" s="10"/>
    </row>
    <row r="243" spans="1:6" ht="30" customHeight="1">
      <c r="A243" s="9">
        <v>241</v>
      </c>
      <c r="B243" s="9" t="str">
        <f>"50322023032112441265261"</f>
        <v>50322023032112441265261</v>
      </c>
      <c r="C243" s="9" t="s">
        <v>25</v>
      </c>
      <c r="D243" s="10" t="str">
        <f>"吉秋靓"</f>
        <v>吉秋靓</v>
      </c>
      <c r="E243" s="9" t="str">
        <f>"女"</f>
        <v>女</v>
      </c>
      <c r="F243" s="10"/>
    </row>
    <row r="244" spans="1:6" ht="30" customHeight="1">
      <c r="A244" s="9">
        <v>242</v>
      </c>
      <c r="B244" s="9" t="str">
        <f>"50322023032113444465639"</f>
        <v>50322023032113444465639</v>
      </c>
      <c r="C244" s="9" t="s">
        <v>25</v>
      </c>
      <c r="D244" s="10" t="str">
        <f>"樊丽红"</f>
        <v>樊丽红</v>
      </c>
      <c r="E244" s="9" t="str">
        <f>"女"</f>
        <v>女</v>
      </c>
      <c r="F244" s="10"/>
    </row>
    <row r="245" spans="1:6" ht="30" customHeight="1">
      <c r="A245" s="9">
        <v>243</v>
      </c>
      <c r="B245" s="9" t="str">
        <f>"50322023032114535666052"</f>
        <v>50322023032114535666052</v>
      </c>
      <c r="C245" s="9" t="s">
        <v>25</v>
      </c>
      <c r="D245" s="10" t="str">
        <f>"麦汝婷"</f>
        <v>麦汝婷</v>
      </c>
      <c r="E245" s="9" t="str">
        <f>"女"</f>
        <v>女</v>
      </c>
      <c r="F245" s="10"/>
    </row>
    <row r="246" spans="1:6" ht="30" customHeight="1">
      <c r="A246" s="9">
        <v>244</v>
      </c>
      <c r="B246" s="9" t="str">
        <f>"50322023032214524371843"</f>
        <v>50322023032214524371843</v>
      </c>
      <c r="C246" s="9" t="s">
        <v>25</v>
      </c>
      <c r="D246" s="10" t="str">
        <f>"奇晓鹏"</f>
        <v>奇晓鹏</v>
      </c>
      <c r="E246" s="9" t="str">
        <f>"男"</f>
        <v>男</v>
      </c>
      <c r="F246" s="10"/>
    </row>
    <row r="247" spans="1:6" ht="30" customHeight="1">
      <c r="A247" s="9">
        <v>245</v>
      </c>
      <c r="B247" s="9" t="str">
        <f>"50322023032215005671916"</f>
        <v>50322023032215005671916</v>
      </c>
      <c r="C247" s="9" t="s">
        <v>25</v>
      </c>
      <c r="D247" s="10" t="str">
        <f>"林硕"</f>
        <v>林硕</v>
      </c>
      <c r="E247" s="9" t="str">
        <f>"男"</f>
        <v>男</v>
      </c>
      <c r="F247" s="10"/>
    </row>
    <row r="248" spans="1:6" ht="30" customHeight="1">
      <c r="A248" s="9">
        <v>246</v>
      </c>
      <c r="B248" s="9" t="str">
        <f>"50322023032222413173651"</f>
        <v>50322023032222413173651</v>
      </c>
      <c r="C248" s="9" t="s">
        <v>25</v>
      </c>
      <c r="D248" s="10" t="str">
        <f>"段英杰"</f>
        <v>段英杰</v>
      </c>
      <c r="E248" s="9" t="str">
        <f>"男"</f>
        <v>男</v>
      </c>
      <c r="F248" s="10"/>
    </row>
    <row r="249" spans="1:6" ht="30" customHeight="1">
      <c r="A249" s="9">
        <v>247</v>
      </c>
      <c r="B249" s="9" t="str">
        <f>"50322023032317484174896"</f>
        <v>50322023032317484174896</v>
      </c>
      <c r="C249" s="9" t="s">
        <v>25</v>
      </c>
      <c r="D249" s="10" t="str">
        <f>"王丽秧"</f>
        <v>王丽秧</v>
      </c>
      <c r="E249" s="9" t="str">
        <f>"女"</f>
        <v>女</v>
      </c>
      <c r="F249" s="10"/>
    </row>
    <row r="250" spans="1:6" ht="30" customHeight="1">
      <c r="A250" s="9">
        <v>248</v>
      </c>
      <c r="B250" s="9" t="str">
        <f>"50322023032320513675114"</f>
        <v>50322023032320513675114</v>
      </c>
      <c r="C250" s="9" t="s">
        <v>25</v>
      </c>
      <c r="D250" s="10" t="str">
        <f>"符秀弯"</f>
        <v>符秀弯</v>
      </c>
      <c r="E250" s="9" t="str">
        <f>"女"</f>
        <v>女</v>
      </c>
      <c r="F250" s="10"/>
    </row>
    <row r="251" spans="1:6" ht="30" customHeight="1">
      <c r="A251" s="9">
        <v>249</v>
      </c>
      <c r="B251" s="9" t="str">
        <f>"50322023032408104275404"</f>
        <v>50322023032408104275404</v>
      </c>
      <c r="C251" s="9" t="s">
        <v>25</v>
      </c>
      <c r="D251" s="10" t="str">
        <f>"周鸿祯"</f>
        <v>周鸿祯</v>
      </c>
      <c r="E251" s="9" t="str">
        <f>"男"</f>
        <v>男</v>
      </c>
      <c r="F251" s="10"/>
    </row>
    <row r="252" spans="1:6" ht="30" customHeight="1">
      <c r="A252" s="9">
        <v>250</v>
      </c>
      <c r="B252" s="9" t="str">
        <f>"50322023032515163676912"</f>
        <v>50322023032515163676912</v>
      </c>
      <c r="C252" s="9" t="s">
        <v>25</v>
      </c>
      <c r="D252" s="10" t="str">
        <f>"宁可诚"</f>
        <v>宁可诚</v>
      </c>
      <c r="E252" s="9" t="str">
        <f>"男"</f>
        <v>男</v>
      </c>
      <c r="F252" s="10"/>
    </row>
    <row r="253" spans="1:6" ht="30" customHeight="1">
      <c r="A253" s="9">
        <v>251</v>
      </c>
      <c r="B253" s="9" t="str">
        <f>"50322023032522291177189"</f>
        <v>50322023032522291177189</v>
      </c>
      <c r="C253" s="9" t="s">
        <v>25</v>
      </c>
      <c r="D253" s="10" t="str">
        <f>"张茜"</f>
        <v>张茜</v>
      </c>
      <c r="E253" s="9" t="str">
        <f>"女"</f>
        <v>女</v>
      </c>
      <c r="F253" s="10"/>
    </row>
    <row r="254" spans="1:6" ht="30" customHeight="1">
      <c r="A254" s="9">
        <v>252</v>
      </c>
      <c r="B254" s="9" t="str">
        <f>"50322023032710023677993"</f>
        <v>50322023032710023677993</v>
      </c>
      <c r="C254" s="9" t="s">
        <v>25</v>
      </c>
      <c r="D254" s="10" t="str">
        <f>"王会影"</f>
        <v>王会影</v>
      </c>
      <c r="E254" s="9" t="str">
        <f>"女"</f>
        <v>女</v>
      </c>
      <c r="F254" s="10"/>
    </row>
    <row r="255" spans="1:6" ht="30" customHeight="1">
      <c r="A255" s="9">
        <v>253</v>
      </c>
      <c r="B255" s="9" t="str">
        <f>"50322023032900195780320"</f>
        <v>50322023032900195780320</v>
      </c>
      <c r="C255" s="9" t="s">
        <v>25</v>
      </c>
      <c r="D255" s="10" t="str">
        <f>"谢是良"</f>
        <v>谢是良</v>
      </c>
      <c r="E255" s="9" t="str">
        <f>"男"</f>
        <v>男</v>
      </c>
      <c r="F255" s="10"/>
    </row>
    <row r="256" spans="1:6" ht="30" customHeight="1">
      <c r="A256" s="9">
        <v>254</v>
      </c>
      <c r="B256" s="9" t="str">
        <f>"50322023032915382282337"</f>
        <v>50322023032915382282337</v>
      </c>
      <c r="C256" s="9" t="s">
        <v>25</v>
      </c>
      <c r="D256" s="11" t="str">
        <f>"王晶晶"</f>
        <v>王晶晶</v>
      </c>
      <c r="E256" s="9" t="str">
        <f>"女"</f>
        <v>女</v>
      </c>
      <c r="F256" s="10"/>
    </row>
    <row r="257" spans="1:6" ht="30" customHeight="1">
      <c r="A257" s="9">
        <v>255</v>
      </c>
      <c r="B257" s="9" t="str">
        <f>"50322023032921355584757"</f>
        <v>50322023032921355584757</v>
      </c>
      <c r="C257" s="9" t="s">
        <v>25</v>
      </c>
      <c r="D257" s="10" t="str">
        <f>"李静文"</f>
        <v>李静文</v>
      </c>
      <c r="E257" s="9" t="str">
        <f>"女"</f>
        <v>女</v>
      </c>
      <c r="F257" s="10"/>
    </row>
    <row r="258" spans="1:6" ht="30" customHeight="1">
      <c r="A258" s="9">
        <v>256</v>
      </c>
      <c r="B258" s="9" t="str">
        <f>"50322023032922254684897"</f>
        <v>50322023032922254684897</v>
      </c>
      <c r="C258" s="9" t="s">
        <v>25</v>
      </c>
      <c r="D258" s="10" t="str">
        <f>"吴桃坤"</f>
        <v>吴桃坤</v>
      </c>
      <c r="E258" s="9" t="str">
        <f>"女"</f>
        <v>女</v>
      </c>
      <c r="F258" s="10"/>
    </row>
    <row r="259" spans="1:6" ht="30" customHeight="1">
      <c r="A259" s="9">
        <v>257</v>
      </c>
      <c r="B259" s="9" t="str">
        <f>"50322023032923575185060"</f>
        <v>50322023032923575185060</v>
      </c>
      <c r="C259" s="9" t="s">
        <v>25</v>
      </c>
      <c r="D259" s="10" t="str">
        <f>"王小清"</f>
        <v>王小清</v>
      </c>
      <c r="E259" s="9" t="str">
        <f>"男"</f>
        <v>男</v>
      </c>
      <c r="F259" s="10"/>
    </row>
    <row r="260" spans="1:6" ht="30" customHeight="1">
      <c r="A260" s="9">
        <v>258</v>
      </c>
      <c r="B260" s="9" t="str">
        <f>"50322023033011393885975"</f>
        <v>50322023033011393885975</v>
      </c>
      <c r="C260" s="9" t="s">
        <v>25</v>
      </c>
      <c r="D260" s="10" t="str">
        <f>"陈言玲"</f>
        <v>陈言玲</v>
      </c>
      <c r="E260" s="9" t="str">
        <f>"女"</f>
        <v>女</v>
      </c>
      <c r="F260" s="10"/>
    </row>
    <row r="261" spans="1:6" ht="30" customHeight="1">
      <c r="A261" s="9">
        <v>259</v>
      </c>
      <c r="B261" s="9" t="str">
        <f>"50322023032120502868086"</f>
        <v>50322023032120502868086</v>
      </c>
      <c r="C261" s="9" t="s">
        <v>26</v>
      </c>
      <c r="D261" s="10" t="str">
        <f>"周潮敏"</f>
        <v>周潮敏</v>
      </c>
      <c r="E261" s="9" t="str">
        <f>"女"</f>
        <v>女</v>
      </c>
      <c r="F261" s="10"/>
    </row>
    <row r="262" spans="1:6" ht="30" customHeight="1">
      <c r="A262" s="9">
        <v>260</v>
      </c>
      <c r="B262" s="9" t="str">
        <f>"50322023032210205769977"</f>
        <v>50322023032210205769977</v>
      </c>
      <c r="C262" s="9" t="s">
        <v>26</v>
      </c>
      <c r="D262" s="10" t="str">
        <f>"吴宏亮"</f>
        <v>吴宏亮</v>
      </c>
      <c r="E262" s="9" t="str">
        <f>"男"</f>
        <v>男</v>
      </c>
      <c r="F262" s="10"/>
    </row>
    <row r="263" spans="1:6" ht="30" customHeight="1">
      <c r="A263" s="9">
        <v>261</v>
      </c>
      <c r="B263" s="9" t="str">
        <f>"50322023032217135773016"</f>
        <v>50322023032217135773016</v>
      </c>
      <c r="C263" s="9" t="s">
        <v>26</v>
      </c>
      <c r="D263" s="10" t="str">
        <f>"马燕妮"</f>
        <v>马燕妮</v>
      </c>
      <c r="E263" s="9" t="str">
        <f>"女"</f>
        <v>女</v>
      </c>
      <c r="F263" s="10"/>
    </row>
    <row r="264" spans="1:6" ht="30" customHeight="1">
      <c r="A264" s="9">
        <v>262</v>
      </c>
      <c r="B264" s="9" t="str">
        <f>"50322023032222112273593"</f>
        <v>50322023032222112273593</v>
      </c>
      <c r="C264" s="9" t="s">
        <v>26</v>
      </c>
      <c r="D264" s="10" t="str">
        <f>"徐澜心"</f>
        <v>徐澜心</v>
      </c>
      <c r="E264" s="9" t="str">
        <f>"女"</f>
        <v>女</v>
      </c>
      <c r="F264" s="10"/>
    </row>
    <row r="265" spans="1:6" ht="30" customHeight="1">
      <c r="A265" s="9">
        <v>263</v>
      </c>
      <c r="B265" s="9" t="str">
        <f>"50322023032716485478562"</f>
        <v>50322023032716485478562</v>
      </c>
      <c r="C265" s="9" t="s">
        <v>26</v>
      </c>
      <c r="D265" s="10" t="str">
        <f>"陈荣烹"</f>
        <v>陈荣烹</v>
      </c>
      <c r="E265" s="9" t="str">
        <f>"女"</f>
        <v>女</v>
      </c>
      <c r="F265" s="10"/>
    </row>
    <row r="266" spans="1:6" ht="30" customHeight="1">
      <c r="A266" s="9">
        <v>264</v>
      </c>
      <c r="B266" s="9" t="str">
        <f>"50322023032909092180528"</f>
        <v>50322023032909092180528</v>
      </c>
      <c r="C266" s="9" t="s">
        <v>26</v>
      </c>
      <c r="D266" s="10" t="str">
        <f>"冯琳"</f>
        <v>冯琳</v>
      </c>
      <c r="E266" s="9" t="str">
        <f>"女"</f>
        <v>女</v>
      </c>
      <c r="F266" s="11" t="s">
        <v>27</v>
      </c>
    </row>
    <row r="267" spans="1:6" ht="30" customHeight="1">
      <c r="A267" s="9">
        <v>265</v>
      </c>
      <c r="B267" s="9" t="str">
        <f>"50322023032909415080804"</f>
        <v>50322023032909415080804</v>
      </c>
      <c r="C267" s="9" t="s">
        <v>26</v>
      </c>
      <c r="D267" s="10" t="str">
        <f>"吕昭慧"</f>
        <v>吕昭慧</v>
      </c>
      <c r="E267" s="9" t="str">
        <f>"女"</f>
        <v>女</v>
      </c>
      <c r="F267" s="10"/>
    </row>
    <row r="268" spans="1:6" ht="30" customHeight="1">
      <c r="A268" s="9">
        <v>266</v>
      </c>
      <c r="B268" s="9" t="str">
        <f>"50322023033009220985396"</f>
        <v>50322023033009220985396</v>
      </c>
      <c r="C268" s="9" t="s">
        <v>26</v>
      </c>
      <c r="D268" s="10" t="str">
        <f>"童东"</f>
        <v>童东</v>
      </c>
      <c r="E268" s="9" t="str">
        <f>"男"</f>
        <v>男</v>
      </c>
      <c r="F268" s="10"/>
    </row>
    <row r="269" spans="1:6" ht="30" customHeight="1">
      <c r="A269" s="9">
        <v>267</v>
      </c>
      <c r="B269" s="9" t="str">
        <f>"50322023032115543766451"</f>
        <v>50322023032115543766451</v>
      </c>
      <c r="C269" s="9" t="s">
        <v>28</v>
      </c>
      <c r="D269" s="10" t="str">
        <f>"谢凤妹"</f>
        <v>谢凤妹</v>
      </c>
      <c r="E269" s="9" t="str">
        <f>"女"</f>
        <v>女</v>
      </c>
      <c r="F269" s="10"/>
    </row>
    <row r="270" spans="1:6" ht="30" customHeight="1">
      <c r="A270" s="9">
        <v>268</v>
      </c>
      <c r="B270" s="9" t="str">
        <f>"50322023032200551969246"</f>
        <v>50322023032200551969246</v>
      </c>
      <c r="C270" s="9" t="s">
        <v>28</v>
      </c>
      <c r="D270" s="10" t="str">
        <f>"陈日东"</f>
        <v>陈日东</v>
      </c>
      <c r="E270" s="9" t="str">
        <f>"男"</f>
        <v>男</v>
      </c>
      <c r="F270" s="10"/>
    </row>
    <row r="271" spans="1:6" ht="30" customHeight="1">
      <c r="A271" s="9">
        <v>269</v>
      </c>
      <c r="B271" s="9" t="str">
        <f>"50322023032320360175093"</f>
        <v>50322023032320360175093</v>
      </c>
      <c r="C271" s="9" t="s">
        <v>28</v>
      </c>
      <c r="D271" s="10" t="str">
        <f>"钟云"</f>
        <v>钟云</v>
      </c>
      <c r="E271" s="9" t="str">
        <f aca="true" t="shared" si="9" ref="E271:E278">"女"</f>
        <v>女</v>
      </c>
      <c r="F271" s="10"/>
    </row>
    <row r="272" spans="1:6" ht="30" customHeight="1">
      <c r="A272" s="9">
        <v>270</v>
      </c>
      <c r="B272" s="9" t="str">
        <f>"50322023032510090876583"</f>
        <v>50322023032510090876583</v>
      </c>
      <c r="C272" s="9" t="s">
        <v>28</v>
      </c>
      <c r="D272" s="10" t="str">
        <f>"谭乐园"</f>
        <v>谭乐园</v>
      </c>
      <c r="E272" s="9" t="str">
        <f t="shared" si="9"/>
        <v>女</v>
      </c>
      <c r="F272" s="10"/>
    </row>
    <row r="273" spans="1:6" ht="30" customHeight="1">
      <c r="A273" s="9">
        <v>271</v>
      </c>
      <c r="B273" s="9" t="str">
        <f>"50322023032809182379153"</f>
        <v>50322023032809182379153</v>
      </c>
      <c r="C273" s="9" t="s">
        <v>28</v>
      </c>
      <c r="D273" s="10" t="str">
        <f>"牛莉"</f>
        <v>牛莉</v>
      </c>
      <c r="E273" s="9" t="str">
        <f t="shared" si="9"/>
        <v>女</v>
      </c>
      <c r="F273" s="10"/>
    </row>
    <row r="274" spans="1:6" ht="30" customHeight="1">
      <c r="A274" s="9">
        <v>272</v>
      </c>
      <c r="B274" s="9" t="str">
        <f>"50322023032822304980221"</f>
        <v>50322023032822304980221</v>
      </c>
      <c r="C274" s="9" t="s">
        <v>28</v>
      </c>
      <c r="D274" s="10" t="str">
        <f>"郑学彩"</f>
        <v>郑学彩</v>
      </c>
      <c r="E274" s="9" t="str">
        <f t="shared" si="9"/>
        <v>女</v>
      </c>
      <c r="F274" s="10"/>
    </row>
    <row r="275" spans="1:6" ht="30" customHeight="1">
      <c r="A275" s="9">
        <v>273</v>
      </c>
      <c r="B275" s="9" t="str">
        <f>"50322023033009263585408"</f>
        <v>50322023033009263585408</v>
      </c>
      <c r="C275" s="9" t="s">
        <v>28</v>
      </c>
      <c r="D275" s="10" t="str">
        <f>"吴清爽"</f>
        <v>吴清爽</v>
      </c>
      <c r="E275" s="9" t="str">
        <f t="shared" si="9"/>
        <v>女</v>
      </c>
      <c r="F275" s="10"/>
    </row>
    <row r="276" spans="1:6" ht="30" customHeight="1">
      <c r="A276" s="9">
        <v>274</v>
      </c>
      <c r="B276" s="9" t="str">
        <f>"50322023032111123364615"</f>
        <v>50322023032111123364615</v>
      </c>
      <c r="C276" s="9" t="s">
        <v>29</v>
      </c>
      <c r="D276" s="10" t="str">
        <f>"陈青慧"</f>
        <v>陈青慧</v>
      </c>
      <c r="E276" s="9" t="str">
        <f t="shared" si="9"/>
        <v>女</v>
      </c>
      <c r="F276" s="10"/>
    </row>
    <row r="277" spans="1:6" ht="30" customHeight="1">
      <c r="A277" s="9">
        <v>275</v>
      </c>
      <c r="B277" s="9" t="str">
        <f>"50322023032209525369782"</f>
        <v>50322023032209525369782</v>
      </c>
      <c r="C277" s="9" t="s">
        <v>29</v>
      </c>
      <c r="D277" s="10" t="str">
        <f>"林美伶"</f>
        <v>林美伶</v>
      </c>
      <c r="E277" s="9" t="str">
        <f t="shared" si="9"/>
        <v>女</v>
      </c>
      <c r="F277" s="10"/>
    </row>
    <row r="278" spans="1:6" ht="30" customHeight="1">
      <c r="A278" s="9">
        <v>276</v>
      </c>
      <c r="B278" s="9" t="str">
        <f>"50322023032717505778656"</f>
        <v>50322023032717505778656</v>
      </c>
      <c r="C278" s="9" t="s">
        <v>29</v>
      </c>
      <c r="D278" s="10" t="str">
        <f>"尚玥"</f>
        <v>尚玥</v>
      </c>
      <c r="E278" s="9" t="str">
        <f t="shared" si="9"/>
        <v>女</v>
      </c>
      <c r="F278" s="10"/>
    </row>
    <row r="279" spans="1:6" ht="30" customHeight="1">
      <c r="A279" s="9">
        <v>277</v>
      </c>
      <c r="B279" s="9" t="str">
        <f>"50322023032221092573454"</f>
        <v>50322023032221092573454</v>
      </c>
      <c r="C279" s="9" t="s">
        <v>30</v>
      </c>
      <c r="D279" s="10" t="str">
        <f>"周凤源"</f>
        <v>周凤源</v>
      </c>
      <c r="E279" s="9" t="str">
        <f>"男"</f>
        <v>男</v>
      </c>
      <c r="F279" s="10"/>
    </row>
    <row r="280" spans="1:6" ht="30" customHeight="1">
      <c r="A280" s="9">
        <v>278</v>
      </c>
      <c r="B280" s="9" t="str">
        <f>"50322023032223065273691"</f>
        <v>50322023032223065273691</v>
      </c>
      <c r="C280" s="9" t="s">
        <v>30</v>
      </c>
      <c r="D280" s="10" t="str">
        <f>"陈春伶"</f>
        <v>陈春伶</v>
      </c>
      <c r="E280" s="9" t="str">
        <f aca="true" t="shared" si="10" ref="E280:E299">"女"</f>
        <v>女</v>
      </c>
      <c r="F280" s="10"/>
    </row>
    <row r="281" spans="1:6" ht="30" customHeight="1">
      <c r="A281" s="9">
        <v>279</v>
      </c>
      <c r="B281" s="9" t="str">
        <f>"50322023032300095673753"</f>
        <v>50322023032300095673753</v>
      </c>
      <c r="C281" s="9" t="s">
        <v>30</v>
      </c>
      <c r="D281" s="10" t="str">
        <f>"吉才雨"</f>
        <v>吉才雨</v>
      </c>
      <c r="E281" s="9" t="str">
        <f t="shared" si="10"/>
        <v>女</v>
      </c>
      <c r="F281" s="10"/>
    </row>
    <row r="282" spans="1:6" ht="30" customHeight="1">
      <c r="A282" s="9">
        <v>280</v>
      </c>
      <c r="B282" s="9" t="str">
        <f>"50322023032308120173815"</f>
        <v>50322023032308120173815</v>
      </c>
      <c r="C282" s="9" t="s">
        <v>30</v>
      </c>
      <c r="D282" s="10" t="str">
        <f>"李树梅"</f>
        <v>李树梅</v>
      </c>
      <c r="E282" s="9" t="str">
        <f t="shared" si="10"/>
        <v>女</v>
      </c>
      <c r="F282" s="10"/>
    </row>
    <row r="283" spans="1:6" ht="30" customHeight="1">
      <c r="A283" s="9">
        <v>281</v>
      </c>
      <c r="B283" s="9" t="str">
        <f>"50322023032723470579015"</f>
        <v>50322023032723470579015</v>
      </c>
      <c r="C283" s="9" t="s">
        <v>30</v>
      </c>
      <c r="D283" s="10" t="str">
        <f>"李芳"</f>
        <v>李芳</v>
      </c>
      <c r="E283" s="9" t="str">
        <f t="shared" si="10"/>
        <v>女</v>
      </c>
      <c r="F283" s="10"/>
    </row>
    <row r="284" spans="1:6" ht="30" customHeight="1">
      <c r="A284" s="9">
        <v>282</v>
      </c>
      <c r="B284" s="9" t="str">
        <f>"50322023032900245480321"</f>
        <v>50322023032900245480321</v>
      </c>
      <c r="C284" s="9" t="s">
        <v>30</v>
      </c>
      <c r="D284" s="10" t="str">
        <f>"吕敏"</f>
        <v>吕敏</v>
      </c>
      <c r="E284" s="9" t="str">
        <f t="shared" si="10"/>
        <v>女</v>
      </c>
      <c r="F284" s="10"/>
    </row>
    <row r="285" spans="1:6" ht="30" customHeight="1">
      <c r="A285" s="9">
        <v>283</v>
      </c>
      <c r="B285" s="9" t="str">
        <f>"50322023032919155084341"</f>
        <v>50322023032919155084341</v>
      </c>
      <c r="C285" s="9" t="s">
        <v>30</v>
      </c>
      <c r="D285" s="10" t="str">
        <f>"邵秋语"</f>
        <v>邵秋语</v>
      </c>
      <c r="E285" s="9" t="str">
        <f t="shared" si="10"/>
        <v>女</v>
      </c>
      <c r="F285" s="10"/>
    </row>
    <row r="286" spans="1:6" ht="30" customHeight="1">
      <c r="A286" s="9">
        <v>284</v>
      </c>
      <c r="B286" s="9" t="str">
        <f>"50322023032110511464416"</f>
        <v>50322023032110511464416</v>
      </c>
      <c r="C286" s="9" t="s">
        <v>31</v>
      </c>
      <c r="D286" s="10" t="str">
        <f>"温婷婷"</f>
        <v>温婷婷</v>
      </c>
      <c r="E286" s="9" t="str">
        <f t="shared" si="10"/>
        <v>女</v>
      </c>
      <c r="F286" s="10"/>
    </row>
    <row r="287" spans="1:6" ht="30" customHeight="1">
      <c r="A287" s="9">
        <v>285</v>
      </c>
      <c r="B287" s="9" t="str">
        <f>"50322023032210050669855"</f>
        <v>50322023032210050669855</v>
      </c>
      <c r="C287" s="9" t="s">
        <v>31</v>
      </c>
      <c r="D287" s="10" t="str">
        <f>"胡欣"</f>
        <v>胡欣</v>
      </c>
      <c r="E287" s="9" t="str">
        <f t="shared" si="10"/>
        <v>女</v>
      </c>
      <c r="F287" s="10"/>
    </row>
    <row r="288" spans="1:6" ht="30" customHeight="1">
      <c r="A288" s="9">
        <v>286</v>
      </c>
      <c r="B288" s="9" t="str">
        <f>"50322023032316173774733"</f>
        <v>50322023032316173774733</v>
      </c>
      <c r="C288" s="9" t="s">
        <v>31</v>
      </c>
      <c r="D288" s="10" t="str">
        <f>"薛琳珊"</f>
        <v>薛琳珊</v>
      </c>
      <c r="E288" s="9" t="str">
        <f t="shared" si="10"/>
        <v>女</v>
      </c>
      <c r="F288" s="10"/>
    </row>
    <row r="289" spans="1:6" ht="30" customHeight="1">
      <c r="A289" s="9">
        <v>287</v>
      </c>
      <c r="B289" s="9" t="str">
        <f>"50322023032415021075960"</f>
        <v>50322023032415021075960</v>
      </c>
      <c r="C289" s="9" t="s">
        <v>31</v>
      </c>
      <c r="D289" s="10" t="str">
        <f>"陆彩云"</f>
        <v>陆彩云</v>
      </c>
      <c r="E289" s="9" t="str">
        <f t="shared" si="10"/>
        <v>女</v>
      </c>
      <c r="F289" s="10"/>
    </row>
    <row r="290" spans="1:6" ht="30" customHeight="1">
      <c r="A290" s="9">
        <v>288</v>
      </c>
      <c r="B290" s="9" t="str">
        <f>"50322023032510492776634"</f>
        <v>50322023032510492776634</v>
      </c>
      <c r="C290" s="9" t="s">
        <v>31</v>
      </c>
      <c r="D290" s="10" t="str">
        <f>"郭华飞"</f>
        <v>郭华飞</v>
      </c>
      <c r="E290" s="9" t="str">
        <f t="shared" si="10"/>
        <v>女</v>
      </c>
      <c r="F290" s="10"/>
    </row>
    <row r="291" spans="1:6" ht="30" customHeight="1">
      <c r="A291" s="9">
        <v>289</v>
      </c>
      <c r="B291" s="9" t="str">
        <f>"50322023032614261977418"</f>
        <v>50322023032614261977418</v>
      </c>
      <c r="C291" s="9" t="s">
        <v>31</v>
      </c>
      <c r="D291" s="10" t="str">
        <f>"林福余"</f>
        <v>林福余</v>
      </c>
      <c r="E291" s="9" t="str">
        <f t="shared" si="10"/>
        <v>女</v>
      </c>
      <c r="F291" s="10"/>
    </row>
    <row r="292" spans="1:6" ht="30" customHeight="1">
      <c r="A292" s="9">
        <v>290</v>
      </c>
      <c r="B292" s="9" t="str">
        <f>"50322023032714112478343"</f>
        <v>50322023032714112478343</v>
      </c>
      <c r="C292" s="9" t="s">
        <v>31</v>
      </c>
      <c r="D292" s="10" t="str">
        <f>"吕芳菲"</f>
        <v>吕芳菲</v>
      </c>
      <c r="E292" s="9" t="str">
        <f t="shared" si="10"/>
        <v>女</v>
      </c>
      <c r="F292" s="10"/>
    </row>
    <row r="293" spans="1:6" ht="30" customHeight="1">
      <c r="A293" s="9">
        <v>291</v>
      </c>
      <c r="B293" s="9" t="str">
        <f>"50322023032719581078771"</f>
        <v>50322023032719581078771</v>
      </c>
      <c r="C293" s="9" t="s">
        <v>31</v>
      </c>
      <c r="D293" s="10" t="str">
        <f>"符冬婷"</f>
        <v>符冬婷</v>
      </c>
      <c r="E293" s="9" t="str">
        <f t="shared" si="10"/>
        <v>女</v>
      </c>
      <c r="F293" s="10"/>
    </row>
    <row r="294" spans="1:6" ht="30" customHeight="1">
      <c r="A294" s="9">
        <v>292</v>
      </c>
      <c r="B294" s="9" t="str">
        <f>"50322023032810260179295"</f>
        <v>50322023032810260179295</v>
      </c>
      <c r="C294" s="9" t="s">
        <v>31</v>
      </c>
      <c r="D294" s="10" t="str">
        <f>"李选娜"</f>
        <v>李选娜</v>
      </c>
      <c r="E294" s="9" t="str">
        <f t="shared" si="10"/>
        <v>女</v>
      </c>
      <c r="F294" s="10"/>
    </row>
    <row r="295" spans="1:6" ht="30" customHeight="1">
      <c r="A295" s="9">
        <v>293</v>
      </c>
      <c r="B295" s="9" t="str">
        <f>"50322023032910320481119"</f>
        <v>50322023032910320481119</v>
      </c>
      <c r="C295" s="9" t="s">
        <v>31</v>
      </c>
      <c r="D295" s="10" t="str">
        <f>"符坤梅"</f>
        <v>符坤梅</v>
      </c>
      <c r="E295" s="9" t="str">
        <f t="shared" si="10"/>
        <v>女</v>
      </c>
      <c r="F295" s="10"/>
    </row>
    <row r="296" spans="1:6" ht="30" customHeight="1">
      <c r="A296" s="9">
        <v>294</v>
      </c>
      <c r="B296" s="9" t="str">
        <f>"50322023032912585981787"</f>
        <v>50322023032912585981787</v>
      </c>
      <c r="C296" s="9" t="s">
        <v>31</v>
      </c>
      <c r="D296" s="10" t="str">
        <f>"符永秀"</f>
        <v>符永秀</v>
      </c>
      <c r="E296" s="9" t="str">
        <f t="shared" si="10"/>
        <v>女</v>
      </c>
      <c r="F296" s="10"/>
    </row>
    <row r="297" spans="1:6" ht="30" customHeight="1">
      <c r="A297" s="9">
        <v>295</v>
      </c>
      <c r="B297" s="9" t="str">
        <f>"50322023033001263085102"</f>
        <v>50322023033001263085102</v>
      </c>
      <c r="C297" s="9" t="s">
        <v>31</v>
      </c>
      <c r="D297" s="10" t="str">
        <f>"吴秋"</f>
        <v>吴秋</v>
      </c>
      <c r="E297" s="9" t="str">
        <f t="shared" si="10"/>
        <v>女</v>
      </c>
      <c r="F297" s="10"/>
    </row>
    <row r="298" spans="1:6" ht="30" customHeight="1">
      <c r="A298" s="9">
        <v>296</v>
      </c>
      <c r="B298" s="9" t="str">
        <f>"50322023033010021885577"</f>
        <v>50322023033010021885577</v>
      </c>
      <c r="C298" s="9" t="s">
        <v>31</v>
      </c>
      <c r="D298" s="10" t="str">
        <f>"孙晓琦"</f>
        <v>孙晓琦</v>
      </c>
      <c r="E298" s="9" t="str">
        <f t="shared" si="10"/>
        <v>女</v>
      </c>
      <c r="F298" s="10"/>
    </row>
    <row r="299" spans="1:6" ht="30" customHeight="1">
      <c r="A299" s="9">
        <v>297</v>
      </c>
      <c r="B299" s="9" t="str">
        <f>"50322023033011344685950"</f>
        <v>50322023033011344685950</v>
      </c>
      <c r="C299" s="9" t="s">
        <v>31</v>
      </c>
      <c r="D299" s="10" t="str">
        <f>"向舒琪"</f>
        <v>向舒琪</v>
      </c>
      <c r="E299" s="9" t="str">
        <f t="shared" si="10"/>
        <v>女</v>
      </c>
      <c r="F299" s="10"/>
    </row>
    <row r="300" spans="1:6" ht="30" customHeight="1">
      <c r="A300" s="9">
        <v>298</v>
      </c>
      <c r="B300" s="9" t="str">
        <f>"50322023032111061064557"</f>
        <v>50322023032111061064557</v>
      </c>
      <c r="C300" s="9" t="s">
        <v>32</v>
      </c>
      <c r="D300" s="10" t="str">
        <f>"苏明明"</f>
        <v>苏明明</v>
      </c>
      <c r="E300" s="9" t="str">
        <f>"男"</f>
        <v>男</v>
      </c>
      <c r="F300" s="10"/>
    </row>
    <row r="301" spans="1:6" ht="30" customHeight="1">
      <c r="A301" s="9">
        <v>299</v>
      </c>
      <c r="B301" s="9" t="str">
        <f>"50322023032217263273043"</f>
        <v>50322023032217263273043</v>
      </c>
      <c r="C301" s="9" t="s">
        <v>32</v>
      </c>
      <c r="D301" s="10" t="str">
        <f>"吕晴"</f>
        <v>吕晴</v>
      </c>
      <c r="E301" s="9" t="str">
        <f>"女"</f>
        <v>女</v>
      </c>
      <c r="F301" s="10"/>
    </row>
    <row r="302" spans="1:6" ht="30" customHeight="1">
      <c r="A302" s="9">
        <v>300</v>
      </c>
      <c r="B302" s="9" t="str">
        <f>"50322023032321410375178"</f>
        <v>50322023032321410375178</v>
      </c>
      <c r="C302" s="9" t="s">
        <v>32</v>
      </c>
      <c r="D302" s="10" t="str">
        <f>"赵彩伶"</f>
        <v>赵彩伶</v>
      </c>
      <c r="E302" s="9" t="str">
        <f>"女"</f>
        <v>女</v>
      </c>
      <c r="F302" s="10"/>
    </row>
    <row r="303" spans="1:6" ht="30" customHeight="1">
      <c r="A303" s="9">
        <v>301</v>
      </c>
      <c r="B303" s="9" t="str">
        <f>"50322023032716214978524"</f>
        <v>50322023032716214978524</v>
      </c>
      <c r="C303" s="9" t="s">
        <v>32</v>
      </c>
      <c r="D303" s="10" t="str">
        <f>"王林超"</f>
        <v>王林超</v>
      </c>
      <c r="E303" s="9" t="str">
        <f>"女"</f>
        <v>女</v>
      </c>
      <c r="F303" s="10"/>
    </row>
    <row r="304" spans="1:6" ht="30" customHeight="1">
      <c r="A304" s="9">
        <v>302</v>
      </c>
      <c r="B304" s="9" t="str">
        <f>"50322023032121460868483"</f>
        <v>50322023032121460868483</v>
      </c>
      <c r="C304" s="9" t="s">
        <v>33</v>
      </c>
      <c r="D304" s="10" t="str">
        <f>"何家行"</f>
        <v>何家行</v>
      </c>
      <c r="E304" s="9" t="str">
        <f>"男"</f>
        <v>男</v>
      </c>
      <c r="F304" s="10"/>
    </row>
    <row r="305" spans="1:6" ht="30" customHeight="1">
      <c r="A305" s="9">
        <v>303</v>
      </c>
      <c r="B305" s="9" t="str">
        <f>"50322023032222180873607"</f>
        <v>50322023032222180873607</v>
      </c>
      <c r="C305" s="9" t="s">
        <v>33</v>
      </c>
      <c r="D305" s="10" t="str">
        <f>"冯宝宇"</f>
        <v>冯宝宇</v>
      </c>
      <c r="E305" s="9" t="str">
        <f>"男"</f>
        <v>男</v>
      </c>
      <c r="F305" s="10"/>
    </row>
    <row r="306" spans="1:6" ht="30" customHeight="1">
      <c r="A306" s="9">
        <v>304</v>
      </c>
      <c r="B306" s="9" t="str">
        <f>"50322023032722580878977"</f>
        <v>50322023032722580878977</v>
      </c>
      <c r="C306" s="9" t="s">
        <v>33</v>
      </c>
      <c r="D306" s="10" t="str">
        <f>"隋清云"</f>
        <v>隋清云</v>
      </c>
      <c r="E306" s="9" t="str">
        <f>"男"</f>
        <v>男</v>
      </c>
      <c r="F306" s="10"/>
    </row>
    <row r="307" spans="1:6" ht="30" customHeight="1">
      <c r="A307" s="9">
        <v>305</v>
      </c>
      <c r="B307" s="9" t="str">
        <f>"50322023032915145282257"</f>
        <v>50322023032915145282257</v>
      </c>
      <c r="C307" s="9" t="s">
        <v>33</v>
      </c>
      <c r="D307" s="10" t="str">
        <f>"石造"</f>
        <v>石造</v>
      </c>
      <c r="E307" s="9" t="str">
        <f>"男"</f>
        <v>男</v>
      </c>
      <c r="F307" s="10"/>
    </row>
    <row r="308" spans="1:6" ht="30" customHeight="1">
      <c r="A308" s="9">
        <v>306</v>
      </c>
      <c r="B308" s="9" t="str">
        <f>"50322023032108003662947"</f>
        <v>50322023032108003662947</v>
      </c>
      <c r="C308" s="9" t="s">
        <v>34</v>
      </c>
      <c r="D308" s="10" t="str">
        <f>"陈保金"</f>
        <v>陈保金</v>
      </c>
      <c r="E308" s="9" t="str">
        <f>"女"</f>
        <v>女</v>
      </c>
      <c r="F308" s="10"/>
    </row>
    <row r="309" spans="1:6" ht="30" customHeight="1">
      <c r="A309" s="9">
        <v>307</v>
      </c>
      <c r="B309" s="9" t="str">
        <f>"50322023032108192663005"</f>
        <v>50322023032108192663005</v>
      </c>
      <c r="C309" s="9" t="s">
        <v>34</v>
      </c>
      <c r="D309" s="10" t="str">
        <f>"彭旭辉"</f>
        <v>彭旭辉</v>
      </c>
      <c r="E309" s="9" t="str">
        <f>"男"</f>
        <v>男</v>
      </c>
      <c r="F309" s="10"/>
    </row>
    <row r="310" spans="1:6" ht="30" customHeight="1">
      <c r="A310" s="9">
        <v>308</v>
      </c>
      <c r="B310" s="9" t="str">
        <f>"50322023032112441665263"</f>
        <v>50322023032112441665263</v>
      </c>
      <c r="C310" s="9" t="s">
        <v>34</v>
      </c>
      <c r="D310" s="10" t="str">
        <f>"冯所望"</f>
        <v>冯所望</v>
      </c>
      <c r="E310" s="9" t="str">
        <f>"男"</f>
        <v>男</v>
      </c>
      <c r="F310" s="10"/>
    </row>
    <row r="311" spans="1:6" ht="30" customHeight="1">
      <c r="A311" s="9">
        <v>309</v>
      </c>
      <c r="B311" s="9" t="str">
        <f>"50322023032116450066826"</f>
        <v>50322023032116450066826</v>
      </c>
      <c r="C311" s="9" t="s">
        <v>34</v>
      </c>
      <c r="D311" s="10" t="str">
        <f>"温红潇"</f>
        <v>温红潇</v>
      </c>
      <c r="E311" s="9" t="str">
        <f aca="true" t="shared" si="11" ref="E311:E349">"女"</f>
        <v>女</v>
      </c>
      <c r="F311" s="10"/>
    </row>
    <row r="312" spans="1:6" ht="30" customHeight="1">
      <c r="A312" s="9">
        <v>310</v>
      </c>
      <c r="B312" s="9" t="str">
        <f>"50322023032120481468071"</f>
        <v>50322023032120481468071</v>
      </c>
      <c r="C312" s="9" t="s">
        <v>34</v>
      </c>
      <c r="D312" s="10" t="str">
        <f>"邢顾萍"</f>
        <v>邢顾萍</v>
      </c>
      <c r="E312" s="9" t="str">
        <f t="shared" si="11"/>
        <v>女</v>
      </c>
      <c r="F312" s="10"/>
    </row>
    <row r="313" spans="1:6" ht="30" customHeight="1">
      <c r="A313" s="9">
        <v>311</v>
      </c>
      <c r="B313" s="9" t="str">
        <f>"50322023032120481668072"</f>
        <v>50322023032120481668072</v>
      </c>
      <c r="C313" s="9" t="s">
        <v>34</v>
      </c>
      <c r="D313" s="10" t="str">
        <f>"林琳"</f>
        <v>林琳</v>
      </c>
      <c r="E313" s="9" t="str">
        <f t="shared" si="11"/>
        <v>女</v>
      </c>
      <c r="F313" s="10"/>
    </row>
    <row r="314" spans="1:6" ht="30" customHeight="1">
      <c r="A314" s="9">
        <v>312</v>
      </c>
      <c r="B314" s="9" t="str">
        <f>"50322023032123382869077"</f>
        <v>50322023032123382869077</v>
      </c>
      <c r="C314" s="9" t="s">
        <v>34</v>
      </c>
      <c r="D314" s="10" t="str">
        <f>"岑春平"</f>
        <v>岑春平</v>
      </c>
      <c r="E314" s="9" t="str">
        <f t="shared" si="11"/>
        <v>女</v>
      </c>
      <c r="F314" s="10"/>
    </row>
    <row r="315" spans="1:6" ht="30" customHeight="1">
      <c r="A315" s="9">
        <v>313</v>
      </c>
      <c r="B315" s="9" t="str">
        <f>"50322023032209323569657"</f>
        <v>50322023032209323569657</v>
      </c>
      <c r="C315" s="9" t="s">
        <v>34</v>
      </c>
      <c r="D315" s="10" t="str">
        <f>"郭婧涵"</f>
        <v>郭婧涵</v>
      </c>
      <c r="E315" s="9" t="str">
        <f t="shared" si="11"/>
        <v>女</v>
      </c>
      <c r="F315" s="10"/>
    </row>
    <row r="316" spans="1:6" ht="30" customHeight="1">
      <c r="A316" s="9">
        <v>314</v>
      </c>
      <c r="B316" s="9" t="str">
        <f>"50322023032211404970568"</f>
        <v>50322023032211404970568</v>
      </c>
      <c r="C316" s="9" t="s">
        <v>34</v>
      </c>
      <c r="D316" s="10" t="str">
        <f>"曾令娇"</f>
        <v>曾令娇</v>
      </c>
      <c r="E316" s="9" t="str">
        <f t="shared" si="11"/>
        <v>女</v>
      </c>
      <c r="F316" s="10"/>
    </row>
    <row r="317" spans="1:6" ht="30" customHeight="1">
      <c r="A317" s="9">
        <v>315</v>
      </c>
      <c r="B317" s="9" t="str">
        <f>"50322023032220241773352"</f>
        <v>50322023032220241773352</v>
      </c>
      <c r="C317" s="9" t="s">
        <v>34</v>
      </c>
      <c r="D317" s="10" t="str">
        <f>"孙华慧"</f>
        <v>孙华慧</v>
      </c>
      <c r="E317" s="9" t="str">
        <f t="shared" si="11"/>
        <v>女</v>
      </c>
      <c r="F317" s="10"/>
    </row>
    <row r="318" spans="1:6" ht="30" customHeight="1">
      <c r="A318" s="9">
        <v>316</v>
      </c>
      <c r="B318" s="9" t="str">
        <f>"50322023032309452673960"</f>
        <v>50322023032309452673960</v>
      </c>
      <c r="C318" s="9" t="s">
        <v>34</v>
      </c>
      <c r="D318" s="10" t="str">
        <f>"孙小慧"</f>
        <v>孙小慧</v>
      </c>
      <c r="E318" s="9" t="str">
        <f t="shared" si="11"/>
        <v>女</v>
      </c>
      <c r="F318" s="10"/>
    </row>
    <row r="319" spans="1:6" ht="30" customHeight="1">
      <c r="A319" s="9">
        <v>317</v>
      </c>
      <c r="B319" s="9" t="str">
        <f>"50322023032313025774401"</f>
        <v>50322023032313025774401</v>
      </c>
      <c r="C319" s="9" t="s">
        <v>34</v>
      </c>
      <c r="D319" s="10" t="str">
        <f>"吴晓艺"</f>
        <v>吴晓艺</v>
      </c>
      <c r="E319" s="9" t="str">
        <f t="shared" si="11"/>
        <v>女</v>
      </c>
      <c r="F319" s="10"/>
    </row>
    <row r="320" spans="1:6" ht="30" customHeight="1">
      <c r="A320" s="9">
        <v>318</v>
      </c>
      <c r="B320" s="9" t="str">
        <f>"50322023032422445476437"</f>
        <v>50322023032422445476437</v>
      </c>
      <c r="C320" s="9" t="s">
        <v>34</v>
      </c>
      <c r="D320" s="10" t="str">
        <f>"胡彩虹"</f>
        <v>胡彩虹</v>
      </c>
      <c r="E320" s="9" t="str">
        <f t="shared" si="11"/>
        <v>女</v>
      </c>
      <c r="F320" s="10"/>
    </row>
    <row r="321" spans="1:6" ht="30" customHeight="1">
      <c r="A321" s="9">
        <v>319</v>
      </c>
      <c r="B321" s="9" t="str">
        <f>"50322023032509580476567"</f>
        <v>50322023032509580476567</v>
      </c>
      <c r="C321" s="9" t="s">
        <v>34</v>
      </c>
      <c r="D321" s="10" t="str">
        <f>"范琳"</f>
        <v>范琳</v>
      </c>
      <c r="E321" s="9" t="str">
        <f t="shared" si="11"/>
        <v>女</v>
      </c>
      <c r="F321" s="10"/>
    </row>
    <row r="322" spans="1:6" ht="30" customHeight="1">
      <c r="A322" s="9">
        <v>320</v>
      </c>
      <c r="B322" s="9" t="str">
        <f>"50322023032616100177484"</f>
        <v>50322023032616100177484</v>
      </c>
      <c r="C322" s="9" t="s">
        <v>34</v>
      </c>
      <c r="D322" s="10" t="str">
        <f>"刘丽娜"</f>
        <v>刘丽娜</v>
      </c>
      <c r="E322" s="9" t="str">
        <f t="shared" si="11"/>
        <v>女</v>
      </c>
      <c r="F322" s="10"/>
    </row>
    <row r="323" spans="1:6" ht="30" customHeight="1">
      <c r="A323" s="9">
        <v>321</v>
      </c>
      <c r="B323" s="9" t="str">
        <f>"50322023032619581877604"</f>
        <v>50322023032619581877604</v>
      </c>
      <c r="C323" s="9" t="s">
        <v>34</v>
      </c>
      <c r="D323" s="10" t="str">
        <f>"路杰"</f>
        <v>路杰</v>
      </c>
      <c r="E323" s="9" t="str">
        <f t="shared" si="11"/>
        <v>女</v>
      </c>
      <c r="F323" s="10"/>
    </row>
    <row r="324" spans="1:6" ht="30" customHeight="1">
      <c r="A324" s="9">
        <v>322</v>
      </c>
      <c r="B324" s="9" t="str">
        <f>"50322023032716343378547"</f>
        <v>50322023032716343378547</v>
      </c>
      <c r="C324" s="9" t="s">
        <v>34</v>
      </c>
      <c r="D324" s="10" t="str">
        <f>"王琼雪"</f>
        <v>王琼雪</v>
      </c>
      <c r="E324" s="9" t="str">
        <f t="shared" si="11"/>
        <v>女</v>
      </c>
      <c r="F324" s="10"/>
    </row>
    <row r="325" spans="1:6" ht="30" customHeight="1">
      <c r="A325" s="9">
        <v>323</v>
      </c>
      <c r="B325" s="9" t="str">
        <f>"50322023032721570678918"</f>
        <v>50322023032721570678918</v>
      </c>
      <c r="C325" s="9" t="s">
        <v>34</v>
      </c>
      <c r="D325" s="10" t="str">
        <f>"王海燕"</f>
        <v>王海燕</v>
      </c>
      <c r="E325" s="9" t="str">
        <f t="shared" si="11"/>
        <v>女</v>
      </c>
      <c r="F325" s="10"/>
    </row>
    <row r="326" spans="1:6" ht="30" customHeight="1">
      <c r="A326" s="9">
        <v>324</v>
      </c>
      <c r="B326" s="9" t="str">
        <f>"50322023032722261778951"</f>
        <v>50322023032722261778951</v>
      </c>
      <c r="C326" s="9" t="s">
        <v>34</v>
      </c>
      <c r="D326" s="10" t="str">
        <f>"陈燕繁"</f>
        <v>陈燕繁</v>
      </c>
      <c r="E326" s="9" t="str">
        <f t="shared" si="11"/>
        <v>女</v>
      </c>
      <c r="F326" s="10"/>
    </row>
    <row r="327" spans="1:6" ht="30" customHeight="1">
      <c r="A327" s="9">
        <v>325</v>
      </c>
      <c r="B327" s="9" t="str">
        <f>"50322023032911173981378"</f>
        <v>50322023032911173981378</v>
      </c>
      <c r="C327" s="9" t="s">
        <v>34</v>
      </c>
      <c r="D327" s="10" t="str">
        <f>"詹晓妹"</f>
        <v>詹晓妹</v>
      </c>
      <c r="E327" s="9" t="str">
        <f t="shared" si="11"/>
        <v>女</v>
      </c>
      <c r="F327" s="10"/>
    </row>
    <row r="328" spans="1:6" ht="30" customHeight="1">
      <c r="A328" s="9">
        <v>326</v>
      </c>
      <c r="B328" s="9" t="str">
        <f>"50322023033010121585630"</f>
        <v>50322023033010121585630</v>
      </c>
      <c r="C328" s="9" t="s">
        <v>34</v>
      </c>
      <c r="D328" s="10" t="str">
        <f>"黄瑞妹"</f>
        <v>黄瑞妹</v>
      </c>
      <c r="E328" s="9" t="str">
        <f t="shared" si="11"/>
        <v>女</v>
      </c>
      <c r="F328" s="10"/>
    </row>
    <row r="329" spans="1:6" ht="30" customHeight="1">
      <c r="A329" s="9">
        <v>327</v>
      </c>
      <c r="B329" s="9" t="str">
        <f>"50322023032110161264120"</f>
        <v>50322023032110161264120</v>
      </c>
      <c r="C329" s="9" t="s">
        <v>35</v>
      </c>
      <c r="D329" s="10" t="str">
        <f>"覃蔚"</f>
        <v>覃蔚</v>
      </c>
      <c r="E329" s="9" t="str">
        <f t="shared" si="11"/>
        <v>女</v>
      </c>
      <c r="F329" s="10"/>
    </row>
    <row r="330" spans="1:6" ht="30" customHeight="1">
      <c r="A330" s="9">
        <v>328</v>
      </c>
      <c r="B330" s="9" t="str">
        <f>"50322023032122192868698"</f>
        <v>50322023032122192868698</v>
      </c>
      <c r="C330" s="9" t="s">
        <v>35</v>
      </c>
      <c r="D330" s="10" t="str">
        <f>"符武婷"</f>
        <v>符武婷</v>
      </c>
      <c r="E330" s="9" t="str">
        <f t="shared" si="11"/>
        <v>女</v>
      </c>
      <c r="F330" s="10"/>
    </row>
    <row r="331" spans="1:6" ht="30" customHeight="1">
      <c r="A331" s="9">
        <v>329</v>
      </c>
      <c r="B331" s="9" t="str">
        <f>"50322023032220573073428"</f>
        <v>50322023032220573073428</v>
      </c>
      <c r="C331" s="9" t="s">
        <v>35</v>
      </c>
      <c r="D331" s="10" t="str">
        <f>"余兰"</f>
        <v>余兰</v>
      </c>
      <c r="E331" s="9" t="str">
        <f t="shared" si="11"/>
        <v>女</v>
      </c>
      <c r="F331" s="10"/>
    </row>
    <row r="332" spans="1:6" ht="30" customHeight="1">
      <c r="A332" s="9">
        <v>330</v>
      </c>
      <c r="B332" s="9" t="str">
        <f>"50322023032309561273985"</f>
        <v>50322023032309561273985</v>
      </c>
      <c r="C332" s="9" t="s">
        <v>35</v>
      </c>
      <c r="D332" s="10" t="str">
        <f>"涂雪颖"</f>
        <v>涂雪颖</v>
      </c>
      <c r="E332" s="9" t="str">
        <f t="shared" si="11"/>
        <v>女</v>
      </c>
      <c r="F332" s="10"/>
    </row>
    <row r="333" spans="1:6" ht="30" customHeight="1">
      <c r="A333" s="9">
        <v>331</v>
      </c>
      <c r="B333" s="9" t="str">
        <f>"50322023032315005774571"</f>
        <v>50322023032315005774571</v>
      </c>
      <c r="C333" s="9" t="s">
        <v>35</v>
      </c>
      <c r="D333" s="10" t="str">
        <f>"云艳苗"</f>
        <v>云艳苗</v>
      </c>
      <c r="E333" s="9" t="str">
        <f t="shared" si="11"/>
        <v>女</v>
      </c>
      <c r="F333" s="10"/>
    </row>
    <row r="334" spans="1:6" ht="30" customHeight="1">
      <c r="A334" s="9">
        <v>332</v>
      </c>
      <c r="B334" s="9" t="str">
        <f>"50322023032321230475161"</f>
        <v>50322023032321230475161</v>
      </c>
      <c r="C334" s="9" t="s">
        <v>35</v>
      </c>
      <c r="D334" s="10" t="str">
        <f>"严海凤 "</f>
        <v>严海凤 </v>
      </c>
      <c r="E334" s="9" t="str">
        <f t="shared" si="11"/>
        <v>女</v>
      </c>
      <c r="F334" s="10"/>
    </row>
    <row r="335" spans="1:6" ht="30" customHeight="1">
      <c r="A335" s="9">
        <v>333</v>
      </c>
      <c r="B335" s="9" t="str">
        <f>"50322023032522041077172"</f>
        <v>50322023032522041077172</v>
      </c>
      <c r="C335" s="9" t="s">
        <v>35</v>
      </c>
      <c r="D335" s="10" t="str">
        <f>"吕颖霞"</f>
        <v>吕颖霞</v>
      </c>
      <c r="E335" s="9" t="str">
        <f t="shared" si="11"/>
        <v>女</v>
      </c>
      <c r="F335" s="10"/>
    </row>
    <row r="336" spans="1:6" ht="30" customHeight="1">
      <c r="A336" s="9">
        <v>334</v>
      </c>
      <c r="B336" s="9" t="str">
        <f>"50322023032713570078334"</f>
        <v>50322023032713570078334</v>
      </c>
      <c r="C336" s="9" t="s">
        <v>35</v>
      </c>
      <c r="D336" s="10" t="str">
        <f>"周璇"</f>
        <v>周璇</v>
      </c>
      <c r="E336" s="9" t="str">
        <f t="shared" si="11"/>
        <v>女</v>
      </c>
      <c r="F336" s="10"/>
    </row>
    <row r="337" spans="1:6" ht="30" customHeight="1">
      <c r="A337" s="9">
        <v>335</v>
      </c>
      <c r="B337" s="9" t="str">
        <f>"50322023032818021079858"</f>
        <v>50322023032818021079858</v>
      </c>
      <c r="C337" s="9" t="s">
        <v>35</v>
      </c>
      <c r="D337" s="10" t="str">
        <f>"王英子"</f>
        <v>王英子</v>
      </c>
      <c r="E337" s="9" t="str">
        <f t="shared" si="11"/>
        <v>女</v>
      </c>
      <c r="F337" s="10"/>
    </row>
    <row r="338" spans="1:6" ht="30" customHeight="1">
      <c r="A338" s="9">
        <v>336</v>
      </c>
      <c r="B338" s="9" t="str">
        <f>"50322023032910483281222"</f>
        <v>50322023032910483281222</v>
      </c>
      <c r="C338" s="9" t="s">
        <v>35</v>
      </c>
      <c r="D338" s="10" t="str">
        <f>"李跃琨"</f>
        <v>李跃琨</v>
      </c>
      <c r="E338" s="9" t="str">
        <f t="shared" si="11"/>
        <v>女</v>
      </c>
      <c r="F338" s="10"/>
    </row>
    <row r="339" spans="1:6" ht="30" customHeight="1">
      <c r="A339" s="9">
        <v>337</v>
      </c>
      <c r="B339" s="9" t="str">
        <f>"50322023032917395483909"</f>
        <v>50322023032917395483909</v>
      </c>
      <c r="C339" s="9" t="s">
        <v>35</v>
      </c>
      <c r="D339" s="10" t="str">
        <f>"王冬玲"</f>
        <v>王冬玲</v>
      </c>
      <c r="E339" s="9" t="str">
        <f t="shared" si="11"/>
        <v>女</v>
      </c>
      <c r="F339" s="10"/>
    </row>
    <row r="340" spans="1:6" ht="30" customHeight="1">
      <c r="A340" s="9">
        <v>338</v>
      </c>
      <c r="B340" s="9" t="str">
        <f>"50322023032109583663937"</f>
        <v>50322023032109583663937</v>
      </c>
      <c r="C340" s="9" t="s">
        <v>36</v>
      </c>
      <c r="D340" s="10" t="str">
        <f>"颜瑶"</f>
        <v>颜瑶</v>
      </c>
      <c r="E340" s="9" t="str">
        <f t="shared" si="11"/>
        <v>女</v>
      </c>
      <c r="F340" s="10"/>
    </row>
    <row r="341" spans="1:6" ht="30" customHeight="1">
      <c r="A341" s="9">
        <v>339</v>
      </c>
      <c r="B341" s="9" t="str">
        <f>"50322023032210400870115"</f>
        <v>50322023032210400870115</v>
      </c>
      <c r="C341" s="9" t="s">
        <v>36</v>
      </c>
      <c r="D341" s="10" t="str">
        <f>"王静"</f>
        <v>王静</v>
      </c>
      <c r="E341" s="9" t="str">
        <f t="shared" si="11"/>
        <v>女</v>
      </c>
      <c r="F341" s="10"/>
    </row>
    <row r="342" spans="1:6" ht="30" customHeight="1">
      <c r="A342" s="9">
        <v>340</v>
      </c>
      <c r="B342" s="9" t="str">
        <f>"50322023032410051275533"</f>
        <v>50322023032410051275533</v>
      </c>
      <c r="C342" s="9" t="s">
        <v>36</v>
      </c>
      <c r="D342" s="11" t="str">
        <f>"张宇薇"</f>
        <v>张宇薇</v>
      </c>
      <c r="E342" s="9" t="str">
        <f t="shared" si="11"/>
        <v>女</v>
      </c>
      <c r="F342" s="10"/>
    </row>
    <row r="343" spans="1:6" ht="30" customHeight="1">
      <c r="A343" s="9">
        <v>341</v>
      </c>
      <c r="B343" s="9" t="str">
        <f>"50322023032513363376790"</f>
        <v>50322023032513363376790</v>
      </c>
      <c r="C343" s="9" t="s">
        <v>36</v>
      </c>
      <c r="D343" s="10" t="str">
        <f>"吕杰"</f>
        <v>吕杰</v>
      </c>
      <c r="E343" s="9" t="str">
        <f t="shared" si="11"/>
        <v>女</v>
      </c>
      <c r="F343" s="10"/>
    </row>
    <row r="344" spans="1:6" ht="30" customHeight="1">
      <c r="A344" s="9">
        <v>342</v>
      </c>
      <c r="B344" s="9" t="str">
        <f>"50322023032517465977039"</f>
        <v>50322023032517465977039</v>
      </c>
      <c r="C344" s="9" t="s">
        <v>36</v>
      </c>
      <c r="D344" s="10" t="str">
        <f>"莫君薇"</f>
        <v>莫君薇</v>
      </c>
      <c r="E344" s="9" t="str">
        <f t="shared" si="11"/>
        <v>女</v>
      </c>
      <c r="F344" s="10"/>
    </row>
    <row r="345" spans="1:6" ht="30" customHeight="1">
      <c r="A345" s="9">
        <v>343</v>
      </c>
      <c r="B345" s="9" t="str">
        <f>"50322023032710072878000"</f>
        <v>50322023032710072878000</v>
      </c>
      <c r="C345" s="9" t="s">
        <v>36</v>
      </c>
      <c r="D345" s="10" t="str">
        <f>"赵晓俊"</f>
        <v>赵晓俊</v>
      </c>
      <c r="E345" s="9" t="str">
        <f t="shared" si="11"/>
        <v>女</v>
      </c>
      <c r="F345" s="10"/>
    </row>
    <row r="346" spans="1:6" ht="30" customHeight="1">
      <c r="A346" s="9">
        <v>344</v>
      </c>
      <c r="B346" s="9" t="str">
        <f>"50322023032810363879315"</f>
        <v>50322023032810363879315</v>
      </c>
      <c r="C346" s="9" t="s">
        <v>36</v>
      </c>
      <c r="D346" s="10" t="str">
        <f>"王桂山"</f>
        <v>王桂山</v>
      </c>
      <c r="E346" s="9" t="str">
        <f t="shared" si="11"/>
        <v>女</v>
      </c>
      <c r="F346" s="10"/>
    </row>
    <row r="347" spans="1:6" ht="30" customHeight="1">
      <c r="A347" s="9">
        <v>345</v>
      </c>
      <c r="B347" s="9" t="str">
        <f>"50322023032820265880024"</f>
        <v>50322023032820265880024</v>
      </c>
      <c r="C347" s="9" t="s">
        <v>36</v>
      </c>
      <c r="D347" s="10" t="str">
        <f>"马文静"</f>
        <v>马文静</v>
      </c>
      <c r="E347" s="9" t="str">
        <f t="shared" si="11"/>
        <v>女</v>
      </c>
      <c r="F347" s="10"/>
    </row>
    <row r="348" spans="1:6" ht="30" customHeight="1">
      <c r="A348" s="9">
        <v>346</v>
      </c>
      <c r="B348" s="9" t="str">
        <f>"50322023032922020584831"</f>
        <v>50322023032922020584831</v>
      </c>
      <c r="C348" s="9" t="s">
        <v>36</v>
      </c>
      <c r="D348" s="10" t="str">
        <f>"吴涓"</f>
        <v>吴涓</v>
      </c>
      <c r="E348" s="9" t="str">
        <f t="shared" si="11"/>
        <v>女</v>
      </c>
      <c r="F348" s="10"/>
    </row>
    <row r="349" spans="1:6" ht="30" customHeight="1">
      <c r="A349" s="9">
        <v>347</v>
      </c>
      <c r="B349" s="9" t="str">
        <f>"50322023032923003684973"</f>
        <v>50322023032923003684973</v>
      </c>
      <c r="C349" s="9" t="s">
        <v>36</v>
      </c>
      <c r="D349" s="10" t="str">
        <f>"陶梦璠"</f>
        <v>陶梦璠</v>
      </c>
      <c r="E349" s="9" t="str">
        <f t="shared" si="11"/>
        <v>女</v>
      </c>
      <c r="F349" s="10"/>
    </row>
    <row r="350" spans="1:6" ht="30" customHeight="1">
      <c r="A350" s="9">
        <v>348</v>
      </c>
      <c r="B350" s="9" t="str">
        <f>"50322023033000491185094"</f>
        <v>50322023033000491185094</v>
      </c>
      <c r="C350" s="9" t="s">
        <v>36</v>
      </c>
      <c r="D350" s="10" t="str">
        <f>"耿一鹏"</f>
        <v>耿一鹏</v>
      </c>
      <c r="E350" s="9" t="str">
        <f>"男"</f>
        <v>男</v>
      </c>
      <c r="F350" s="10"/>
    </row>
    <row r="351" spans="1:6" ht="30" customHeight="1">
      <c r="A351" s="9">
        <v>349</v>
      </c>
      <c r="B351" s="9" t="str">
        <f>"50322023033009192585386"</f>
        <v>50322023033009192585386</v>
      </c>
      <c r="C351" s="9" t="s">
        <v>36</v>
      </c>
      <c r="D351" s="10" t="str">
        <f>"周海涛"</f>
        <v>周海涛</v>
      </c>
      <c r="E351" s="9" t="str">
        <f>"男"</f>
        <v>男</v>
      </c>
      <c r="F351" s="10"/>
    </row>
    <row r="352" spans="1:6" ht="30" customHeight="1">
      <c r="A352" s="9">
        <v>350</v>
      </c>
      <c r="B352" s="9" t="str">
        <f>"50322023032209244069610"</f>
        <v>50322023032209244069610</v>
      </c>
      <c r="C352" s="9" t="s">
        <v>37</v>
      </c>
      <c r="D352" s="10" t="str">
        <f>"裴威侃"</f>
        <v>裴威侃</v>
      </c>
      <c r="E352" s="9" t="str">
        <f>"男"</f>
        <v>男</v>
      </c>
      <c r="F352" s="10"/>
    </row>
    <row r="353" spans="1:6" ht="30" customHeight="1">
      <c r="A353" s="9">
        <v>351</v>
      </c>
      <c r="B353" s="9" t="str">
        <f>"50322023032209371369679"</f>
        <v>50322023032209371369679</v>
      </c>
      <c r="C353" s="9" t="s">
        <v>37</v>
      </c>
      <c r="D353" s="10" t="str">
        <f>"谢会政"</f>
        <v>谢会政</v>
      </c>
      <c r="E353" s="9" t="str">
        <f>"男"</f>
        <v>男</v>
      </c>
      <c r="F353" s="10"/>
    </row>
    <row r="354" spans="1:6" ht="30" customHeight="1">
      <c r="A354" s="9">
        <v>352</v>
      </c>
      <c r="B354" s="9" t="str">
        <f>"50322023032212180270793"</f>
        <v>50322023032212180270793</v>
      </c>
      <c r="C354" s="9" t="s">
        <v>37</v>
      </c>
      <c r="D354" s="10" t="str">
        <f>"康健"</f>
        <v>康健</v>
      </c>
      <c r="E354" s="9" t="str">
        <f>"女"</f>
        <v>女</v>
      </c>
      <c r="F354" s="10"/>
    </row>
    <row r="355" spans="1:6" ht="30" customHeight="1">
      <c r="A355" s="9">
        <v>353</v>
      </c>
      <c r="B355" s="9" t="str">
        <f>"50322023032316383274778"</f>
        <v>50322023032316383274778</v>
      </c>
      <c r="C355" s="9" t="s">
        <v>37</v>
      </c>
      <c r="D355" s="10" t="str">
        <f>"邢清瑶"</f>
        <v>邢清瑶</v>
      </c>
      <c r="E355" s="9" t="str">
        <f>"女"</f>
        <v>女</v>
      </c>
      <c r="F355" s="10"/>
    </row>
    <row r="356" spans="1:6" ht="30" customHeight="1">
      <c r="A356" s="9">
        <v>354</v>
      </c>
      <c r="B356" s="9" t="str">
        <f>"50322023032409252675480"</f>
        <v>50322023032409252675480</v>
      </c>
      <c r="C356" s="9" t="s">
        <v>37</v>
      </c>
      <c r="D356" s="10" t="str">
        <f>"符瑜"</f>
        <v>符瑜</v>
      </c>
      <c r="E356" s="9" t="str">
        <f>"女"</f>
        <v>女</v>
      </c>
      <c r="F356" s="10"/>
    </row>
    <row r="357" spans="1:6" ht="30" customHeight="1">
      <c r="A357" s="9">
        <v>355</v>
      </c>
      <c r="B357" s="9" t="str">
        <f>"50322023032711051978109"</f>
        <v>50322023032711051978109</v>
      </c>
      <c r="C357" s="9" t="s">
        <v>37</v>
      </c>
      <c r="D357" s="10" t="str">
        <f>"邓水青"</f>
        <v>邓水青</v>
      </c>
      <c r="E357" s="9" t="str">
        <f>"女"</f>
        <v>女</v>
      </c>
      <c r="F357" s="10"/>
    </row>
    <row r="358" spans="1:6" ht="30" customHeight="1">
      <c r="A358" s="9">
        <v>356</v>
      </c>
      <c r="B358" s="9" t="str">
        <f>"50322023032807433179062"</f>
        <v>50322023032807433179062</v>
      </c>
      <c r="C358" s="9" t="s">
        <v>37</v>
      </c>
      <c r="D358" s="10" t="str">
        <f>"王梨丹"</f>
        <v>王梨丹</v>
      </c>
      <c r="E358" s="9" t="str">
        <f>"女"</f>
        <v>女</v>
      </c>
      <c r="F358" s="10"/>
    </row>
    <row r="359" spans="1:6" ht="30" customHeight="1">
      <c r="A359" s="9">
        <v>357</v>
      </c>
      <c r="B359" s="9" t="str">
        <f>"50322023032821090780090"</f>
        <v>50322023032821090780090</v>
      </c>
      <c r="C359" s="9" t="s">
        <v>37</v>
      </c>
      <c r="D359" s="10" t="str">
        <f>"钟海彬"</f>
        <v>钟海彬</v>
      </c>
      <c r="E359" s="9" t="str">
        <f>"男"</f>
        <v>男</v>
      </c>
      <c r="F359" s="10"/>
    </row>
    <row r="360" spans="1:6" ht="30" customHeight="1">
      <c r="A360" s="9">
        <v>358</v>
      </c>
      <c r="B360" s="9" t="str">
        <f>"50322023032918561684276"</f>
        <v>50322023032918561684276</v>
      </c>
      <c r="C360" s="9" t="s">
        <v>37</v>
      </c>
      <c r="D360" s="10" t="str">
        <f>"卢银叶"</f>
        <v>卢银叶</v>
      </c>
      <c r="E360" s="9" t="str">
        <f>"女"</f>
        <v>女</v>
      </c>
      <c r="F360" s="10"/>
    </row>
    <row r="361" spans="1:6" ht="30" customHeight="1">
      <c r="A361" s="9">
        <v>359</v>
      </c>
      <c r="B361" s="9" t="str">
        <f>"50322023032923385885035"</f>
        <v>50322023032923385885035</v>
      </c>
      <c r="C361" s="9" t="s">
        <v>37</v>
      </c>
      <c r="D361" s="10" t="str">
        <f>"李琪"</f>
        <v>李琪</v>
      </c>
      <c r="E361" s="9" t="str">
        <f>"女"</f>
        <v>女</v>
      </c>
      <c r="F361" s="10"/>
    </row>
    <row r="362" spans="1:6" ht="30" customHeight="1">
      <c r="A362" s="9">
        <v>360</v>
      </c>
      <c r="B362" s="9" t="str">
        <f>"50322023032108351563064"</f>
        <v>50322023032108351563064</v>
      </c>
      <c r="C362" s="9" t="s">
        <v>38</v>
      </c>
      <c r="D362" s="10" t="str">
        <f>"赵欣"</f>
        <v>赵欣</v>
      </c>
      <c r="E362" s="9" t="str">
        <f>"女"</f>
        <v>女</v>
      </c>
      <c r="F362" s="10"/>
    </row>
    <row r="363" spans="1:6" ht="30" customHeight="1">
      <c r="A363" s="9">
        <v>361</v>
      </c>
      <c r="B363" s="9" t="str">
        <f>"50322023032111295164791"</f>
        <v>50322023032111295164791</v>
      </c>
      <c r="C363" s="9" t="s">
        <v>38</v>
      </c>
      <c r="D363" s="10" t="str">
        <f>"许玉琴"</f>
        <v>许玉琴</v>
      </c>
      <c r="E363" s="9" t="str">
        <f>"女"</f>
        <v>女</v>
      </c>
      <c r="F363" s="10"/>
    </row>
    <row r="364" spans="1:6" ht="30" customHeight="1">
      <c r="A364" s="9">
        <v>362</v>
      </c>
      <c r="B364" s="9" t="str">
        <f>"50322023032116312966731"</f>
        <v>50322023032116312966731</v>
      </c>
      <c r="C364" s="9" t="s">
        <v>38</v>
      </c>
      <c r="D364" s="10" t="str">
        <f>"冯梁炳"</f>
        <v>冯梁炳</v>
      </c>
      <c r="E364" s="9" t="str">
        <f>"男"</f>
        <v>男</v>
      </c>
      <c r="F364" s="10"/>
    </row>
    <row r="365" spans="1:6" ht="30" customHeight="1">
      <c r="A365" s="9">
        <v>363</v>
      </c>
      <c r="B365" s="9" t="str">
        <f>"50322023032309363573946"</f>
        <v>50322023032309363573946</v>
      </c>
      <c r="C365" s="9" t="s">
        <v>38</v>
      </c>
      <c r="D365" s="10" t="str">
        <f>" 何史编"</f>
        <v> 何史编</v>
      </c>
      <c r="E365" s="9" t="str">
        <f>"男"</f>
        <v>男</v>
      </c>
      <c r="F365" s="10"/>
    </row>
    <row r="366" spans="1:6" ht="30" customHeight="1">
      <c r="A366" s="9">
        <v>364</v>
      </c>
      <c r="B366" s="9" t="str">
        <f>"50322023032623455177767"</f>
        <v>50322023032623455177767</v>
      </c>
      <c r="C366" s="9" t="s">
        <v>38</v>
      </c>
      <c r="D366" s="11" t="str">
        <f>"唐杰文"</f>
        <v>唐杰文</v>
      </c>
      <c r="E366" s="9" t="str">
        <f>"男"</f>
        <v>男</v>
      </c>
      <c r="F366" s="10"/>
    </row>
    <row r="367" spans="1:6" ht="30" customHeight="1">
      <c r="A367" s="9">
        <v>365</v>
      </c>
      <c r="B367" s="9" t="str">
        <f>"50322023032710283078037"</f>
        <v>50322023032710283078037</v>
      </c>
      <c r="C367" s="9" t="s">
        <v>38</v>
      </c>
      <c r="D367" s="10" t="str">
        <f>"杨雪松"</f>
        <v>杨雪松</v>
      </c>
      <c r="E367" s="9" t="str">
        <f aca="true" t="shared" si="12" ref="E367:E388">"女"</f>
        <v>女</v>
      </c>
      <c r="F367" s="10"/>
    </row>
    <row r="368" spans="1:6" ht="30" customHeight="1">
      <c r="A368" s="9">
        <v>366</v>
      </c>
      <c r="B368" s="9" t="str">
        <f>"50322023032720192378799"</f>
        <v>50322023032720192378799</v>
      </c>
      <c r="C368" s="9" t="s">
        <v>38</v>
      </c>
      <c r="D368" s="10" t="str">
        <f>"孙尔禧"</f>
        <v>孙尔禧</v>
      </c>
      <c r="E368" s="9" t="str">
        <f t="shared" si="12"/>
        <v>女</v>
      </c>
      <c r="F368" s="10"/>
    </row>
    <row r="369" spans="1:6" ht="30" customHeight="1">
      <c r="A369" s="9">
        <v>367</v>
      </c>
      <c r="B369" s="9" t="str">
        <f>"50322023033011084685840"</f>
        <v>50322023033011084685840</v>
      </c>
      <c r="C369" s="9" t="s">
        <v>38</v>
      </c>
      <c r="D369" s="10" t="str">
        <f>"黄林欢"</f>
        <v>黄林欢</v>
      </c>
      <c r="E369" s="9" t="str">
        <f t="shared" si="12"/>
        <v>女</v>
      </c>
      <c r="F369" s="10"/>
    </row>
    <row r="370" spans="1:6" ht="30" customHeight="1">
      <c r="A370" s="9">
        <v>368</v>
      </c>
      <c r="B370" s="9" t="str">
        <f>"50322023032109012063204"</f>
        <v>50322023032109012063204</v>
      </c>
      <c r="C370" s="9" t="s">
        <v>39</v>
      </c>
      <c r="D370" s="10" t="str">
        <f>"曲亚男"</f>
        <v>曲亚男</v>
      </c>
      <c r="E370" s="9" t="str">
        <f t="shared" si="12"/>
        <v>女</v>
      </c>
      <c r="F370" s="10"/>
    </row>
    <row r="371" spans="1:6" ht="30" customHeight="1">
      <c r="A371" s="9">
        <v>369</v>
      </c>
      <c r="B371" s="9" t="str">
        <f>"50322023032110062364023"</f>
        <v>50322023032110062364023</v>
      </c>
      <c r="C371" s="9" t="s">
        <v>39</v>
      </c>
      <c r="D371" s="10" t="str">
        <f>"陈燕"</f>
        <v>陈燕</v>
      </c>
      <c r="E371" s="9" t="str">
        <f t="shared" si="12"/>
        <v>女</v>
      </c>
      <c r="F371" s="10"/>
    </row>
    <row r="372" spans="1:6" ht="30" customHeight="1">
      <c r="A372" s="9">
        <v>370</v>
      </c>
      <c r="B372" s="9" t="str">
        <f>"50322023032111424464897"</f>
        <v>50322023032111424464897</v>
      </c>
      <c r="C372" s="9" t="s">
        <v>39</v>
      </c>
      <c r="D372" s="10" t="str">
        <f>"李平丹"</f>
        <v>李平丹</v>
      </c>
      <c r="E372" s="9" t="str">
        <f t="shared" si="12"/>
        <v>女</v>
      </c>
      <c r="F372" s="10"/>
    </row>
    <row r="373" spans="1:6" ht="30" customHeight="1">
      <c r="A373" s="9">
        <v>371</v>
      </c>
      <c r="B373" s="9" t="str">
        <f>"50322023032114495566030"</f>
        <v>50322023032114495566030</v>
      </c>
      <c r="C373" s="9" t="s">
        <v>39</v>
      </c>
      <c r="D373" s="10" t="str">
        <f>"徐长女"</f>
        <v>徐长女</v>
      </c>
      <c r="E373" s="9" t="str">
        <f t="shared" si="12"/>
        <v>女</v>
      </c>
      <c r="F373" s="10"/>
    </row>
    <row r="374" spans="1:6" ht="30" customHeight="1">
      <c r="A374" s="9">
        <v>372</v>
      </c>
      <c r="B374" s="9" t="str">
        <f>"50322023032117063266944"</f>
        <v>50322023032117063266944</v>
      </c>
      <c r="C374" s="9" t="s">
        <v>39</v>
      </c>
      <c r="D374" s="10" t="str">
        <f>"李懿博"</f>
        <v>李懿博</v>
      </c>
      <c r="E374" s="9" t="str">
        <f t="shared" si="12"/>
        <v>女</v>
      </c>
      <c r="F374" s="10"/>
    </row>
    <row r="375" spans="1:6" ht="30" customHeight="1">
      <c r="A375" s="9">
        <v>373</v>
      </c>
      <c r="B375" s="9" t="str">
        <f>"50322023032117362467101"</f>
        <v>50322023032117362467101</v>
      </c>
      <c r="C375" s="9" t="s">
        <v>39</v>
      </c>
      <c r="D375" s="10" t="str">
        <f>"王若男"</f>
        <v>王若男</v>
      </c>
      <c r="E375" s="9" t="str">
        <f t="shared" si="12"/>
        <v>女</v>
      </c>
      <c r="F375" s="10"/>
    </row>
    <row r="376" spans="1:6" ht="30" customHeight="1">
      <c r="A376" s="9">
        <v>374</v>
      </c>
      <c r="B376" s="9" t="str">
        <f>"50322023032202210169279"</f>
        <v>50322023032202210169279</v>
      </c>
      <c r="C376" s="9" t="s">
        <v>39</v>
      </c>
      <c r="D376" s="10" t="str">
        <f>"叶虹"</f>
        <v>叶虹</v>
      </c>
      <c r="E376" s="9" t="str">
        <f t="shared" si="12"/>
        <v>女</v>
      </c>
      <c r="F376" s="10"/>
    </row>
    <row r="377" spans="1:6" ht="30" customHeight="1">
      <c r="A377" s="9">
        <v>375</v>
      </c>
      <c r="B377" s="9" t="str">
        <f>"50322023032208053569340"</f>
        <v>50322023032208053569340</v>
      </c>
      <c r="C377" s="9" t="s">
        <v>39</v>
      </c>
      <c r="D377" s="10" t="str">
        <f>"邢婀娜"</f>
        <v>邢婀娜</v>
      </c>
      <c r="E377" s="9" t="str">
        <f t="shared" si="12"/>
        <v>女</v>
      </c>
      <c r="F377" s="10"/>
    </row>
    <row r="378" spans="1:6" ht="30" customHeight="1">
      <c r="A378" s="9">
        <v>376</v>
      </c>
      <c r="B378" s="9" t="str">
        <f>"50322023032211154470379"</f>
        <v>50322023032211154470379</v>
      </c>
      <c r="C378" s="9" t="s">
        <v>39</v>
      </c>
      <c r="D378" s="10" t="str">
        <f>"杜小菊"</f>
        <v>杜小菊</v>
      </c>
      <c r="E378" s="9" t="str">
        <f t="shared" si="12"/>
        <v>女</v>
      </c>
      <c r="F378" s="10"/>
    </row>
    <row r="379" spans="1:6" ht="30" customHeight="1">
      <c r="A379" s="9">
        <v>377</v>
      </c>
      <c r="B379" s="9" t="str">
        <f>"50322023032215044871947"</f>
        <v>50322023032215044871947</v>
      </c>
      <c r="C379" s="9" t="s">
        <v>39</v>
      </c>
      <c r="D379" s="10" t="str">
        <f>"唐敏"</f>
        <v>唐敏</v>
      </c>
      <c r="E379" s="9" t="str">
        <f t="shared" si="12"/>
        <v>女</v>
      </c>
      <c r="F379" s="10"/>
    </row>
    <row r="380" spans="1:6" ht="30" customHeight="1">
      <c r="A380" s="9">
        <v>378</v>
      </c>
      <c r="B380" s="9" t="str">
        <f>"50322023032218113273112"</f>
        <v>50322023032218113273112</v>
      </c>
      <c r="C380" s="9" t="s">
        <v>39</v>
      </c>
      <c r="D380" s="10" t="str">
        <f>"周贞贞"</f>
        <v>周贞贞</v>
      </c>
      <c r="E380" s="9" t="str">
        <f t="shared" si="12"/>
        <v>女</v>
      </c>
      <c r="F380" s="10"/>
    </row>
    <row r="381" spans="1:6" ht="30" customHeight="1">
      <c r="A381" s="9">
        <v>379</v>
      </c>
      <c r="B381" s="9" t="str">
        <f>"50322023032218160473121"</f>
        <v>50322023032218160473121</v>
      </c>
      <c r="C381" s="9" t="s">
        <v>39</v>
      </c>
      <c r="D381" s="10" t="str">
        <f>"陈小卉"</f>
        <v>陈小卉</v>
      </c>
      <c r="E381" s="9" t="str">
        <f t="shared" si="12"/>
        <v>女</v>
      </c>
      <c r="F381" s="10"/>
    </row>
    <row r="382" spans="1:6" ht="30" customHeight="1">
      <c r="A382" s="9">
        <v>380</v>
      </c>
      <c r="B382" s="9" t="str">
        <f>"50322023032309093373881"</f>
        <v>50322023032309093373881</v>
      </c>
      <c r="C382" s="9" t="s">
        <v>39</v>
      </c>
      <c r="D382" s="10" t="str">
        <f>"罗莘"</f>
        <v>罗莘</v>
      </c>
      <c r="E382" s="9" t="str">
        <f t="shared" si="12"/>
        <v>女</v>
      </c>
      <c r="F382" s="10"/>
    </row>
    <row r="383" spans="1:6" ht="30" customHeight="1">
      <c r="A383" s="9">
        <v>381</v>
      </c>
      <c r="B383" s="9" t="str">
        <f>"50322023032312404874360"</f>
        <v>50322023032312404874360</v>
      </c>
      <c r="C383" s="9" t="s">
        <v>39</v>
      </c>
      <c r="D383" s="10" t="str">
        <f>"陈太易"</f>
        <v>陈太易</v>
      </c>
      <c r="E383" s="9" t="str">
        <f t="shared" si="12"/>
        <v>女</v>
      </c>
      <c r="F383" s="10"/>
    </row>
    <row r="384" spans="1:6" ht="30" customHeight="1">
      <c r="A384" s="9">
        <v>382</v>
      </c>
      <c r="B384" s="9" t="str">
        <f>"50322023032322495275280"</f>
        <v>50322023032322495275280</v>
      </c>
      <c r="C384" s="9" t="s">
        <v>39</v>
      </c>
      <c r="D384" s="10" t="str">
        <f>"许彩熊"</f>
        <v>许彩熊</v>
      </c>
      <c r="E384" s="9" t="str">
        <f t="shared" si="12"/>
        <v>女</v>
      </c>
      <c r="F384" s="10"/>
    </row>
    <row r="385" spans="1:6" ht="30" customHeight="1">
      <c r="A385" s="9">
        <v>383</v>
      </c>
      <c r="B385" s="9" t="str">
        <f>"50322023032408570975436"</f>
        <v>50322023032408570975436</v>
      </c>
      <c r="C385" s="9" t="s">
        <v>39</v>
      </c>
      <c r="D385" s="10" t="str">
        <f>"张芳梅"</f>
        <v>张芳梅</v>
      </c>
      <c r="E385" s="9" t="str">
        <f t="shared" si="12"/>
        <v>女</v>
      </c>
      <c r="F385" s="10"/>
    </row>
    <row r="386" spans="1:6" ht="30" customHeight="1">
      <c r="A386" s="9">
        <v>384</v>
      </c>
      <c r="B386" s="9" t="str">
        <f>"50322023032412064375710"</f>
        <v>50322023032412064375710</v>
      </c>
      <c r="C386" s="9" t="s">
        <v>39</v>
      </c>
      <c r="D386" s="10" t="str">
        <f>"吴雪玲"</f>
        <v>吴雪玲</v>
      </c>
      <c r="E386" s="9" t="str">
        <f t="shared" si="12"/>
        <v>女</v>
      </c>
      <c r="F386" s="10"/>
    </row>
    <row r="387" spans="1:6" ht="30" customHeight="1">
      <c r="A387" s="9">
        <v>385</v>
      </c>
      <c r="B387" s="9" t="str">
        <f>"50322023032416175276068"</f>
        <v>50322023032416175276068</v>
      </c>
      <c r="C387" s="9" t="s">
        <v>39</v>
      </c>
      <c r="D387" s="10" t="str">
        <f>"黎楚怡"</f>
        <v>黎楚怡</v>
      </c>
      <c r="E387" s="9" t="str">
        <f t="shared" si="12"/>
        <v>女</v>
      </c>
      <c r="F387" s="10"/>
    </row>
    <row r="388" spans="1:6" ht="30" customHeight="1">
      <c r="A388" s="9">
        <v>386</v>
      </c>
      <c r="B388" s="9" t="str">
        <f>"50322023032513303576786"</f>
        <v>50322023032513303576786</v>
      </c>
      <c r="C388" s="9" t="s">
        <v>39</v>
      </c>
      <c r="D388" s="10" t="str">
        <f>"董小霞"</f>
        <v>董小霞</v>
      </c>
      <c r="E388" s="9" t="str">
        <f t="shared" si="12"/>
        <v>女</v>
      </c>
      <c r="F388" s="10"/>
    </row>
    <row r="389" spans="1:6" ht="30" customHeight="1">
      <c r="A389" s="9">
        <v>387</v>
      </c>
      <c r="B389" s="9" t="str">
        <f>"50322023032514474276876"</f>
        <v>50322023032514474276876</v>
      </c>
      <c r="C389" s="9" t="s">
        <v>39</v>
      </c>
      <c r="D389" s="10" t="str">
        <f>"王天宇"</f>
        <v>王天宇</v>
      </c>
      <c r="E389" s="9" t="str">
        <f>"男"</f>
        <v>男</v>
      </c>
      <c r="F389" s="10"/>
    </row>
    <row r="390" spans="1:6" ht="30" customHeight="1">
      <c r="A390" s="9">
        <v>388</v>
      </c>
      <c r="B390" s="9" t="str">
        <f>"50322023032520140477105"</f>
        <v>50322023032520140477105</v>
      </c>
      <c r="C390" s="9" t="s">
        <v>39</v>
      </c>
      <c r="D390" s="10" t="str">
        <f>"吴帆"</f>
        <v>吴帆</v>
      </c>
      <c r="E390" s="9" t="str">
        <f>"女"</f>
        <v>女</v>
      </c>
      <c r="F390" s="10"/>
    </row>
    <row r="391" spans="1:6" ht="30" customHeight="1">
      <c r="A391" s="9">
        <v>389</v>
      </c>
      <c r="B391" s="9" t="str">
        <f>"50322023032620032577607"</f>
        <v>50322023032620032577607</v>
      </c>
      <c r="C391" s="9" t="s">
        <v>39</v>
      </c>
      <c r="D391" s="10" t="str">
        <f>"陶金"</f>
        <v>陶金</v>
      </c>
      <c r="E391" s="9" t="str">
        <f>"男"</f>
        <v>男</v>
      </c>
      <c r="F391" s="10"/>
    </row>
    <row r="392" spans="1:6" ht="30" customHeight="1">
      <c r="A392" s="9">
        <v>390</v>
      </c>
      <c r="B392" s="9" t="str">
        <f>"50322023032620104877612"</f>
        <v>50322023032620104877612</v>
      </c>
      <c r="C392" s="9" t="s">
        <v>39</v>
      </c>
      <c r="D392" s="10" t="str">
        <f>"颜森莹"</f>
        <v>颜森莹</v>
      </c>
      <c r="E392" s="9" t="str">
        <f>"女"</f>
        <v>女</v>
      </c>
      <c r="F392" s="10"/>
    </row>
    <row r="393" spans="1:6" ht="30" customHeight="1">
      <c r="A393" s="9">
        <v>391</v>
      </c>
      <c r="B393" s="9" t="str">
        <f>"50322023032709444677957"</f>
        <v>50322023032709444677957</v>
      </c>
      <c r="C393" s="9" t="s">
        <v>39</v>
      </c>
      <c r="D393" s="10" t="str">
        <f>"符永程"</f>
        <v>符永程</v>
      </c>
      <c r="E393" s="9" t="str">
        <f>"男"</f>
        <v>男</v>
      </c>
      <c r="F393" s="10"/>
    </row>
    <row r="394" spans="1:6" ht="30" customHeight="1">
      <c r="A394" s="9">
        <v>392</v>
      </c>
      <c r="B394" s="9" t="str">
        <f>"50322023032711521578189"</f>
        <v>50322023032711521578189</v>
      </c>
      <c r="C394" s="9" t="s">
        <v>39</v>
      </c>
      <c r="D394" s="10" t="str">
        <f>"黄小燕"</f>
        <v>黄小燕</v>
      </c>
      <c r="E394" s="9" t="str">
        <f>"女"</f>
        <v>女</v>
      </c>
      <c r="F394" s="10"/>
    </row>
    <row r="395" spans="1:6" ht="30" customHeight="1">
      <c r="A395" s="9">
        <v>393</v>
      </c>
      <c r="B395" s="9" t="str">
        <f>"50322023032715572578493"</f>
        <v>50322023032715572578493</v>
      </c>
      <c r="C395" s="9" t="s">
        <v>39</v>
      </c>
      <c r="D395" s="10" t="str">
        <f>"李星乐"</f>
        <v>李星乐</v>
      </c>
      <c r="E395" s="9" t="str">
        <f>"女"</f>
        <v>女</v>
      </c>
      <c r="F395" s="10"/>
    </row>
    <row r="396" spans="1:6" ht="30" customHeight="1">
      <c r="A396" s="9">
        <v>394</v>
      </c>
      <c r="B396" s="9" t="str">
        <f>"50322023032717404378639"</f>
        <v>50322023032717404378639</v>
      </c>
      <c r="C396" s="9" t="s">
        <v>39</v>
      </c>
      <c r="D396" s="10" t="str">
        <f>"张钰泽"</f>
        <v>张钰泽</v>
      </c>
      <c r="E396" s="9" t="str">
        <f>"男"</f>
        <v>男</v>
      </c>
      <c r="F396" s="10"/>
    </row>
    <row r="397" spans="1:6" ht="30" customHeight="1">
      <c r="A397" s="9">
        <v>395</v>
      </c>
      <c r="B397" s="9" t="str">
        <f>"50322023032720541778833"</f>
        <v>50322023032720541778833</v>
      </c>
      <c r="C397" s="9" t="s">
        <v>39</v>
      </c>
      <c r="D397" s="10" t="str">
        <f>"辛明悦"</f>
        <v>辛明悦</v>
      </c>
      <c r="E397" s="9" t="str">
        <f>"女"</f>
        <v>女</v>
      </c>
      <c r="F397" s="10"/>
    </row>
    <row r="398" spans="1:6" ht="30" customHeight="1">
      <c r="A398" s="9">
        <v>396</v>
      </c>
      <c r="B398" s="9" t="str">
        <f>"50322023032809422879208"</f>
        <v>50322023032809422879208</v>
      </c>
      <c r="C398" s="9" t="s">
        <v>39</v>
      </c>
      <c r="D398" s="10" t="str">
        <f>"邢高高"</f>
        <v>邢高高</v>
      </c>
      <c r="E398" s="9" t="str">
        <f>"男"</f>
        <v>男</v>
      </c>
      <c r="F398" s="10"/>
    </row>
    <row r="399" spans="1:6" ht="30" customHeight="1">
      <c r="A399" s="9">
        <v>397</v>
      </c>
      <c r="B399" s="9" t="str">
        <f>"50322023032811534479442"</f>
        <v>50322023032811534479442</v>
      </c>
      <c r="C399" s="9" t="s">
        <v>39</v>
      </c>
      <c r="D399" s="10" t="str">
        <f>"李香妮"</f>
        <v>李香妮</v>
      </c>
      <c r="E399" s="9" t="str">
        <f aca="true" t="shared" si="13" ref="E399:E406">"女"</f>
        <v>女</v>
      </c>
      <c r="F399" s="10"/>
    </row>
    <row r="400" spans="1:6" ht="30" customHeight="1">
      <c r="A400" s="9">
        <v>398</v>
      </c>
      <c r="B400" s="9" t="str">
        <f>"50322023032815233479667"</f>
        <v>50322023032815233479667</v>
      </c>
      <c r="C400" s="9" t="s">
        <v>39</v>
      </c>
      <c r="D400" s="10" t="str">
        <f>"徐应田"</f>
        <v>徐应田</v>
      </c>
      <c r="E400" s="9" t="str">
        <f t="shared" si="13"/>
        <v>女</v>
      </c>
      <c r="F400" s="10"/>
    </row>
    <row r="401" spans="1:6" ht="30" customHeight="1">
      <c r="A401" s="9">
        <v>399</v>
      </c>
      <c r="B401" s="9" t="str">
        <f>"50322023032815235879668"</f>
        <v>50322023032815235879668</v>
      </c>
      <c r="C401" s="9" t="s">
        <v>39</v>
      </c>
      <c r="D401" s="10" t="str">
        <f>"谢丹"</f>
        <v>谢丹</v>
      </c>
      <c r="E401" s="9" t="str">
        <f t="shared" si="13"/>
        <v>女</v>
      </c>
      <c r="F401" s="10"/>
    </row>
    <row r="402" spans="1:6" ht="30" customHeight="1">
      <c r="A402" s="9">
        <v>400</v>
      </c>
      <c r="B402" s="9" t="str">
        <f>"50322023032821360980120"</f>
        <v>50322023032821360980120</v>
      </c>
      <c r="C402" s="9" t="s">
        <v>39</v>
      </c>
      <c r="D402" s="10" t="str">
        <f>"章淇"</f>
        <v>章淇</v>
      </c>
      <c r="E402" s="9" t="str">
        <f t="shared" si="13"/>
        <v>女</v>
      </c>
      <c r="F402" s="10"/>
    </row>
    <row r="403" spans="1:6" ht="30" customHeight="1">
      <c r="A403" s="9">
        <v>401</v>
      </c>
      <c r="B403" s="9" t="str">
        <f>"50322023032823291280284"</f>
        <v>50322023032823291280284</v>
      </c>
      <c r="C403" s="9" t="s">
        <v>39</v>
      </c>
      <c r="D403" s="10" t="str">
        <f>"杨媛媛"</f>
        <v>杨媛媛</v>
      </c>
      <c r="E403" s="9" t="str">
        <f t="shared" si="13"/>
        <v>女</v>
      </c>
      <c r="F403" s="10"/>
    </row>
    <row r="404" spans="1:6" ht="30" customHeight="1">
      <c r="A404" s="9">
        <v>402</v>
      </c>
      <c r="B404" s="9" t="str">
        <f>"50322023032909465280851"</f>
        <v>50322023032909465280851</v>
      </c>
      <c r="C404" s="9" t="s">
        <v>39</v>
      </c>
      <c r="D404" s="10" t="str">
        <f>"杨贵草"</f>
        <v>杨贵草</v>
      </c>
      <c r="E404" s="9" t="str">
        <f t="shared" si="13"/>
        <v>女</v>
      </c>
      <c r="F404" s="10"/>
    </row>
    <row r="405" spans="1:6" ht="30" customHeight="1">
      <c r="A405" s="9">
        <v>403</v>
      </c>
      <c r="B405" s="9" t="str">
        <f>"50322023032918094984155"</f>
        <v>50322023032918094984155</v>
      </c>
      <c r="C405" s="9" t="s">
        <v>39</v>
      </c>
      <c r="D405" s="10" t="str">
        <f>"周小妙"</f>
        <v>周小妙</v>
      </c>
      <c r="E405" s="9" t="str">
        <f t="shared" si="13"/>
        <v>女</v>
      </c>
      <c r="F405" s="10"/>
    </row>
    <row r="406" spans="1:6" ht="30" customHeight="1">
      <c r="A406" s="9">
        <v>404</v>
      </c>
      <c r="B406" s="9" t="str">
        <f>"50322023033009400185475"</f>
        <v>50322023033009400185475</v>
      </c>
      <c r="C406" s="9" t="s">
        <v>39</v>
      </c>
      <c r="D406" s="10" t="str">
        <f>"林晓燕"</f>
        <v>林晓燕</v>
      </c>
      <c r="E406" s="9" t="str">
        <f t="shared" si="13"/>
        <v>女</v>
      </c>
      <c r="F406" s="10"/>
    </row>
    <row r="407" spans="1:6" ht="30" customHeight="1">
      <c r="A407" s="9">
        <v>405</v>
      </c>
      <c r="B407" s="9" t="str">
        <f>"50322023032115252066256"</f>
        <v>50322023032115252066256</v>
      </c>
      <c r="C407" s="9" t="s">
        <v>40</v>
      </c>
      <c r="D407" s="10" t="str">
        <f>"朱虎"</f>
        <v>朱虎</v>
      </c>
      <c r="E407" s="9" t="str">
        <f>"男"</f>
        <v>男</v>
      </c>
      <c r="F407" s="10"/>
    </row>
    <row r="408" spans="1:6" ht="30" customHeight="1">
      <c r="A408" s="9">
        <v>406</v>
      </c>
      <c r="B408" s="9" t="str">
        <f>"50322023032117112166970"</f>
        <v>50322023032117112166970</v>
      </c>
      <c r="C408" s="9" t="s">
        <v>40</v>
      </c>
      <c r="D408" s="10" t="str">
        <f>"郭旭东"</f>
        <v>郭旭东</v>
      </c>
      <c r="E408" s="9" t="str">
        <f>"女"</f>
        <v>女</v>
      </c>
      <c r="F408" s="10"/>
    </row>
    <row r="409" spans="1:6" ht="30" customHeight="1">
      <c r="A409" s="9">
        <v>407</v>
      </c>
      <c r="B409" s="9" t="str">
        <f>"50322023032119342867606"</f>
        <v>50322023032119342867606</v>
      </c>
      <c r="C409" s="9" t="s">
        <v>40</v>
      </c>
      <c r="D409" s="10" t="str">
        <f>"符明凯"</f>
        <v>符明凯</v>
      </c>
      <c r="E409" s="9" t="str">
        <f>"男"</f>
        <v>男</v>
      </c>
      <c r="F409" s="10"/>
    </row>
    <row r="410" spans="1:6" ht="30" customHeight="1">
      <c r="A410" s="9">
        <v>408</v>
      </c>
      <c r="B410" s="9" t="str">
        <f>"50322023032211293770487"</f>
        <v>50322023032211293770487</v>
      </c>
      <c r="C410" s="9" t="s">
        <v>40</v>
      </c>
      <c r="D410" s="10" t="str">
        <f>"陈朝龙"</f>
        <v>陈朝龙</v>
      </c>
      <c r="E410" s="9" t="str">
        <f>"男"</f>
        <v>男</v>
      </c>
      <c r="F410" s="10"/>
    </row>
    <row r="411" spans="1:6" ht="30" customHeight="1">
      <c r="A411" s="9">
        <v>409</v>
      </c>
      <c r="B411" s="9" t="str">
        <f>"50322023032600411277235"</f>
        <v>50322023032600411277235</v>
      </c>
      <c r="C411" s="9" t="s">
        <v>40</v>
      </c>
      <c r="D411" s="10" t="str">
        <f>"徐凤翔"</f>
        <v>徐凤翔</v>
      </c>
      <c r="E411" s="9" t="str">
        <f aca="true" t="shared" si="14" ref="E411:E431">"女"</f>
        <v>女</v>
      </c>
      <c r="F411" s="10"/>
    </row>
    <row r="412" spans="1:6" ht="30" customHeight="1">
      <c r="A412" s="9">
        <v>410</v>
      </c>
      <c r="B412" s="9" t="str">
        <f>"50322023032622022277688"</f>
        <v>50322023032622022277688</v>
      </c>
      <c r="C412" s="9" t="s">
        <v>40</v>
      </c>
      <c r="D412" s="11" t="str">
        <f>"刘宇娇"</f>
        <v>刘宇娇</v>
      </c>
      <c r="E412" s="9" t="str">
        <f t="shared" si="14"/>
        <v>女</v>
      </c>
      <c r="F412" s="10"/>
    </row>
    <row r="413" spans="1:6" ht="30" customHeight="1">
      <c r="A413" s="9">
        <v>411</v>
      </c>
      <c r="B413" s="9" t="str">
        <f>"50322023032710023277992"</f>
        <v>50322023032710023277992</v>
      </c>
      <c r="C413" s="9" t="s">
        <v>40</v>
      </c>
      <c r="D413" s="10" t="str">
        <f>"顾然"</f>
        <v>顾然</v>
      </c>
      <c r="E413" s="9" t="str">
        <f t="shared" si="14"/>
        <v>女</v>
      </c>
      <c r="F413" s="10"/>
    </row>
    <row r="414" spans="1:6" ht="30" customHeight="1">
      <c r="A414" s="9">
        <v>412</v>
      </c>
      <c r="B414" s="9" t="str">
        <f>"50322023032712263978231"</f>
        <v>50322023032712263978231</v>
      </c>
      <c r="C414" s="9" t="s">
        <v>40</v>
      </c>
      <c r="D414" s="10" t="str">
        <f>"符燕威"</f>
        <v>符燕威</v>
      </c>
      <c r="E414" s="9" t="str">
        <f t="shared" si="14"/>
        <v>女</v>
      </c>
      <c r="F414" s="10"/>
    </row>
    <row r="415" spans="1:6" ht="30" customHeight="1">
      <c r="A415" s="9">
        <v>413</v>
      </c>
      <c r="B415" s="9" t="str">
        <f>"50322023032714541178394"</f>
        <v>50322023032714541178394</v>
      </c>
      <c r="C415" s="9" t="s">
        <v>40</v>
      </c>
      <c r="D415" s="10" t="str">
        <f>"黄丽嫚"</f>
        <v>黄丽嫚</v>
      </c>
      <c r="E415" s="9" t="str">
        <f t="shared" si="14"/>
        <v>女</v>
      </c>
      <c r="F415" s="10"/>
    </row>
    <row r="416" spans="1:6" ht="30" customHeight="1">
      <c r="A416" s="9">
        <v>414</v>
      </c>
      <c r="B416" s="9" t="str">
        <f>"50322023032816433079770"</f>
        <v>50322023032816433079770</v>
      </c>
      <c r="C416" s="9" t="s">
        <v>40</v>
      </c>
      <c r="D416" s="10" t="str">
        <f>"吴造云"</f>
        <v>吴造云</v>
      </c>
      <c r="E416" s="9" t="str">
        <f t="shared" si="14"/>
        <v>女</v>
      </c>
      <c r="F416" s="10"/>
    </row>
    <row r="417" spans="1:6" ht="30" customHeight="1">
      <c r="A417" s="9">
        <v>415</v>
      </c>
      <c r="B417" s="9" t="str">
        <f>"50322023032909355480755"</f>
        <v>50322023032909355480755</v>
      </c>
      <c r="C417" s="9" t="s">
        <v>40</v>
      </c>
      <c r="D417" s="10" t="str">
        <f>"陈海云"</f>
        <v>陈海云</v>
      </c>
      <c r="E417" s="9" t="str">
        <f t="shared" si="14"/>
        <v>女</v>
      </c>
      <c r="F417" s="10"/>
    </row>
    <row r="418" spans="1:6" ht="30" customHeight="1">
      <c r="A418" s="9">
        <v>416</v>
      </c>
      <c r="B418" s="9" t="str">
        <f>"50322023032909523280885"</f>
        <v>50322023032909523280885</v>
      </c>
      <c r="C418" s="9" t="s">
        <v>40</v>
      </c>
      <c r="D418" s="10" t="str">
        <f>"吴万桃"</f>
        <v>吴万桃</v>
      </c>
      <c r="E418" s="9" t="str">
        <f t="shared" si="14"/>
        <v>女</v>
      </c>
      <c r="F418" s="10"/>
    </row>
    <row r="419" spans="1:6" ht="30" customHeight="1">
      <c r="A419" s="9">
        <v>417</v>
      </c>
      <c r="B419" s="9" t="str">
        <f>"50322023033008362085207"</f>
        <v>50322023033008362085207</v>
      </c>
      <c r="C419" s="9" t="s">
        <v>40</v>
      </c>
      <c r="D419" s="10" t="str">
        <f>"罗萍萍"</f>
        <v>罗萍萍</v>
      </c>
      <c r="E419" s="9" t="str">
        <f t="shared" si="14"/>
        <v>女</v>
      </c>
      <c r="F419" s="10"/>
    </row>
    <row r="420" spans="1:6" ht="30" customHeight="1">
      <c r="A420" s="9">
        <v>418</v>
      </c>
      <c r="B420" s="9" t="str">
        <f>"50322023032108085662968"</f>
        <v>50322023032108085662968</v>
      </c>
      <c r="C420" s="9" t="s">
        <v>41</v>
      </c>
      <c r="D420" s="10" t="str">
        <f>"卓婷婷"</f>
        <v>卓婷婷</v>
      </c>
      <c r="E420" s="9" t="str">
        <f t="shared" si="14"/>
        <v>女</v>
      </c>
      <c r="F420" s="10"/>
    </row>
    <row r="421" spans="1:6" ht="30" customHeight="1">
      <c r="A421" s="9">
        <v>419</v>
      </c>
      <c r="B421" s="9" t="str">
        <f>"50322023032112201665113"</f>
        <v>50322023032112201665113</v>
      </c>
      <c r="C421" s="9" t="s">
        <v>41</v>
      </c>
      <c r="D421" s="10" t="str">
        <f>"史欣欣"</f>
        <v>史欣欣</v>
      </c>
      <c r="E421" s="9" t="str">
        <f t="shared" si="14"/>
        <v>女</v>
      </c>
      <c r="F421" s="10"/>
    </row>
    <row r="422" spans="1:6" ht="30" customHeight="1">
      <c r="A422" s="9">
        <v>420</v>
      </c>
      <c r="B422" s="9" t="str">
        <f>"50322023032214221671612"</f>
        <v>50322023032214221671612</v>
      </c>
      <c r="C422" s="9" t="s">
        <v>41</v>
      </c>
      <c r="D422" s="10" t="str">
        <f>"王嘉"</f>
        <v>王嘉</v>
      </c>
      <c r="E422" s="9" t="str">
        <f t="shared" si="14"/>
        <v>女</v>
      </c>
      <c r="F422" s="10"/>
    </row>
    <row r="423" spans="1:6" ht="30" customHeight="1">
      <c r="A423" s="9">
        <v>421</v>
      </c>
      <c r="B423" s="9" t="str">
        <f>"50322023032217110073011"</f>
        <v>50322023032217110073011</v>
      </c>
      <c r="C423" s="9" t="s">
        <v>41</v>
      </c>
      <c r="D423" s="10" t="str">
        <f>"李丽"</f>
        <v>李丽</v>
      </c>
      <c r="E423" s="9" t="str">
        <f t="shared" si="14"/>
        <v>女</v>
      </c>
      <c r="F423" s="11" t="s">
        <v>42</v>
      </c>
    </row>
    <row r="424" spans="1:6" ht="30" customHeight="1">
      <c r="A424" s="9">
        <v>422</v>
      </c>
      <c r="B424" s="9" t="str">
        <f>"50322023032220493373412"</f>
        <v>50322023032220493373412</v>
      </c>
      <c r="C424" s="9" t="s">
        <v>41</v>
      </c>
      <c r="D424" s="10" t="str">
        <f>"张莉"</f>
        <v>张莉</v>
      </c>
      <c r="E424" s="9" t="str">
        <f t="shared" si="14"/>
        <v>女</v>
      </c>
      <c r="F424" s="10"/>
    </row>
    <row r="425" spans="1:6" ht="30" customHeight="1">
      <c r="A425" s="9">
        <v>423</v>
      </c>
      <c r="B425" s="9" t="str">
        <f>"50322023032221035173440"</f>
        <v>50322023032221035173440</v>
      </c>
      <c r="C425" s="9" t="s">
        <v>41</v>
      </c>
      <c r="D425" s="10" t="str">
        <f>"史超雅"</f>
        <v>史超雅</v>
      </c>
      <c r="E425" s="9" t="str">
        <f t="shared" si="14"/>
        <v>女</v>
      </c>
      <c r="F425" s="10"/>
    </row>
    <row r="426" spans="1:6" ht="30" customHeight="1">
      <c r="A426" s="9">
        <v>424</v>
      </c>
      <c r="B426" s="9" t="str">
        <f>"50322023032314122374493"</f>
        <v>50322023032314122374493</v>
      </c>
      <c r="C426" s="9" t="s">
        <v>41</v>
      </c>
      <c r="D426" s="10" t="str">
        <f>"樊桂娟"</f>
        <v>樊桂娟</v>
      </c>
      <c r="E426" s="9" t="str">
        <f t="shared" si="14"/>
        <v>女</v>
      </c>
      <c r="F426" s="10"/>
    </row>
    <row r="427" spans="1:6" ht="30" customHeight="1">
      <c r="A427" s="9">
        <v>425</v>
      </c>
      <c r="B427" s="9" t="str">
        <f>"50322023032317214174863"</f>
        <v>50322023032317214174863</v>
      </c>
      <c r="C427" s="9" t="s">
        <v>41</v>
      </c>
      <c r="D427" s="10" t="str">
        <f>"王启秀"</f>
        <v>王启秀</v>
      </c>
      <c r="E427" s="9" t="str">
        <f t="shared" si="14"/>
        <v>女</v>
      </c>
      <c r="F427" s="10"/>
    </row>
    <row r="428" spans="1:6" ht="30" customHeight="1">
      <c r="A428" s="9">
        <v>426</v>
      </c>
      <c r="B428" s="9" t="str">
        <f>"50322023032511401776686"</f>
        <v>50322023032511401776686</v>
      </c>
      <c r="C428" s="9" t="s">
        <v>41</v>
      </c>
      <c r="D428" s="10" t="str">
        <f>"林玉霞"</f>
        <v>林玉霞</v>
      </c>
      <c r="E428" s="9" t="str">
        <f t="shared" si="14"/>
        <v>女</v>
      </c>
      <c r="F428" s="10"/>
    </row>
    <row r="429" spans="1:6" ht="30" customHeight="1">
      <c r="A429" s="9">
        <v>427</v>
      </c>
      <c r="B429" s="9" t="str">
        <f>"50322023032512241276736"</f>
        <v>50322023032512241276736</v>
      </c>
      <c r="C429" s="9" t="s">
        <v>41</v>
      </c>
      <c r="D429" s="10" t="str">
        <f>"何明洲"</f>
        <v>何明洲</v>
      </c>
      <c r="E429" s="9" t="str">
        <f t="shared" si="14"/>
        <v>女</v>
      </c>
      <c r="F429" s="10"/>
    </row>
    <row r="430" spans="1:6" ht="30" customHeight="1">
      <c r="A430" s="9">
        <v>428</v>
      </c>
      <c r="B430" s="9" t="str">
        <f>"50322023032709370777944"</f>
        <v>50322023032709370777944</v>
      </c>
      <c r="C430" s="9" t="s">
        <v>41</v>
      </c>
      <c r="D430" s="10" t="str">
        <f>"黎学霁"</f>
        <v>黎学霁</v>
      </c>
      <c r="E430" s="9" t="str">
        <f t="shared" si="14"/>
        <v>女</v>
      </c>
      <c r="F430" s="10"/>
    </row>
    <row r="431" spans="1:6" ht="30" customHeight="1">
      <c r="A431" s="9">
        <v>429</v>
      </c>
      <c r="B431" s="9" t="str">
        <f>"50322023032714353578365"</f>
        <v>50322023032714353578365</v>
      </c>
      <c r="C431" s="9" t="s">
        <v>41</v>
      </c>
      <c r="D431" s="10" t="str">
        <f>"穆小雪"</f>
        <v>穆小雪</v>
      </c>
      <c r="E431" s="9" t="str">
        <f t="shared" si="14"/>
        <v>女</v>
      </c>
      <c r="F431" s="10"/>
    </row>
    <row r="432" spans="1:6" ht="30" customHeight="1">
      <c r="A432" s="9">
        <v>430</v>
      </c>
      <c r="B432" s="9" t="str">
        <f>"50322023032714353578366"</f>
        <v>50322023032714353578366</v>
      </c>
      <c r="C432" s="9" t="s">
        <v>41</v>
      </c>
      <c r="D432" s="10" t="str">
        <f>"符运伟"</f>
        <v>符运伟</v>
      </c>
      <c r="E432" s="9" t="str">
        <f>"男"</f>
        <v>男</v>
      </c>
      <c r="F432" s="10"/>
    </row>
    <row r="433" spans="1:6" ht="30" customHeight="1">
      <c r="A433" s="9">
        <v>431</v>
      </c>
      <c r="B433" s="9" t="str">
        <f>"50322023032808455579091"</f>
        <v>50322023032808455579091</v>
      </c>
      <c r="C433" s="9" t="s">
        <v>41</v>
      </c>
      <c r="D433" s="10" t="str">
        <f>"郭玲"</f>
        <v>郭玲</v>
      </c>
      <c r="E433" s="9" t="str">
        <f aca="true" t="shared" si="15" ref="E433:E440">"女"</f>
        <v>女</v>
      </c>
      <c r="F433" s="10"/>
    </row>
    <row r="434" spans="1:6" ht="30" customHeight="1">
      <c r="A434" s="9">
        <v>432</v>
      </c>
      <c r="B434" s="9" t="str">
        <f>"50322023032823565880309"</f>
        <v>50322023032823565880309</v>
      </c>
      <c r="C434" s="9" t="s">
        <v>41</v>
      </c>
      <c r="D434" s="10" t="str">
        <f>"林翘君"</f>
        <v>林翘君</v>
      </c>
      <c r="E434" s="9" t="str">
        <f t="shared" si="15"/>
        <v>女</v>
      </c>
      <c r="F434" s="10"/>
    </row>
    <row r="435" spans="1:6" ht="30" customHeight="1">
      <c r="A435" s="9">
        <v>433</v>
      </c>
      <c r="B435" s="9" t="str">
        <f>"50322023032913310781910"</f>
        <v>50322023032913310781910</v>
      </c>
      <c r="C435" s="9" t="s">
        <v>41</v>
      </c>
      <c r="D435" s="10" t="str">
        <f>"符一凡"</f>
        <v>符一凡</v>
      </c>
      <c r="E435" s="9" t="str">
        <f t="shared" si="15"/>
        <v>女</v>
      </c>
      <c r="F435" s="10"/>
    </row>
    <row r="436" spans="1:6" ht="30" customHeight="1">
      <c r="A436" s="9">
        <v>434</v>
      </c>
      <c r="B436" s="9" t="str">
        <f>"50322023032916562482812"</f>
        <v>50322023032916562482812</v>
      </c>
      <c r="C436" s="9" t="s">
        <v>41</v>
      </c>
      <c r="D436" s="10" t="str">
        <f>"邱名玉"</f>
        <v>邱名玉</v>
      </c>
      <c r="E436" s="9" t="str">
        <f t="shared" si="15"/>
        <v>女</v>
      </c>
      <c r="F436" s="10"/>
    </row>
    <row r="437" spans="1:6" ht="30" customHeight="1">
      <c r="A437" s="9">
        <v>435</v>
      </c>
      <c r="B437" s="9" t="str">
        <f>"50322023032918263084207"</f>
        <v>50322023032918263084207</v>
      </c>
      <c r="C437" s="9" t="s">
        <v>41</v>
      </c>
      <c r="D437" s="10" t="str">
        <f>"麦惠群"</f>
        <v>麦惠群</v>
      </c>
      <c r="E437" s="9" t="str">
        <f t="shared" si="15"/>
        <v>女</v>
      </c>
      <c r="F437" s="10"/>
    </row>
    <row r="438" spans="1:6" ht="30" customHeight="1">
      <c r="A438" s="9">
        <v>436</v>
      </c>
      <c r="B438" s="9" t="str">
        <f>"50322023033009324885443"</f>
        <v>50322023033009324885443</v>
      </c>
      <c r="C438" s="9" t="s">
        <v>41</v>
      </c>
      <c r="D438" s="10" t="str">
        <f>"羊玲"</f>
        <v>羊玲</v>
      </c>
      <c r="E438" s="9" t="str">
        <f t="shared" si="15"/>
        <v>女</v>
      </c>
      <c r="F438" s="10"/>
    </row>
    <row r="439" spans="1:6" ht="30" customHeight="1">
      <c r="A439" s="9">
        <v>437</v>
      </c>
      <c r="B439" s="9" t="str">
        <f>"50322023033010515085776"</f>
        <v>50322023033010515085776</v>
      </c>
      <c r="C439" s="9" t="s">
        <v>41</v>
      </c>
      <c r="D439" s="10" t="str">
        <f>"李晴微"</f>
        <v>李晴微</v>
      </c>
      <c r="E439" s="9" t="str">
        <f t="shared" si="15"/>
        <v>女</v>
      </c>
      <c r="F439" s="10"/>
    </row>
    <row r="440" spans="1:6" ht="30" customHeight="1">
      <c r="A440" s="9">
        <v>438</v>
      </c>
      <c r="B440" s="9" t="str">
        <f>"50322023033010585685805"</f>
        <v>50322023033010585685805</v>
      </c>
      <c r="C440" s="9" t="s">
        <v>41</v>
      </c>
      <c r="D440" s="10" t="str">
        <f>"崔雯"</f>
        <v>崔雯</v>
      </c>
      <c r="E440" s="9" t="str">
        <f t="shared" si="15"/>
        <v>女</v>
      </c>
      <c r="F440" s="10"/>
    </row>
    <row r="441" spans="1:6" ht="30" customHeight="1">
      <c r="A441" s="9">
        <v>439</v>
      </c>
      <c r="B441" s="9" t="str">
        <f>"50322023032108313663049"</f>
        <v>50322023032108313663049</v>
      </c>
      <c r="C441" s="9" t="s">
        <v>43</v>
      </c>
      <c r="D441" s="10" t="str">
        <f>"王致晟"</f>
        <v>王致晟</v>
      </c>
      <c r="E441" s="9" t="str">
        <f>"男"</f>
        <v>男</v>
      </c>
      <c r="F441" s="10"/>
    </row>
    <row r="442" spans="1:6" ht="30" customHeight="1">
      <c r="A442" s="9">
        <v>440</v>
      </c>
      <c r="B442" s="9" t="str">
        <f>"50322023032110384564315"</f>
        <v>50322023032110384564315</v>
      </c>
      <c r="C442" s="9" t="s">
        <v>43</v>
      </c>
      <c r="D442" s="10" t="str">
        <f>"廖荷香"</f>
        <v>廖荷香</v>
      </c>
      <c r="E442" s="9" t="str">
        <f>"女"</f>
        <v>女</v>
      </c>
      <c r="F442" s="10"/>
    </row>
    <row r="443" spans="1:6" ht="30" customHeight="1">
      <c r="A443" s="9">
        <v>441</v>
      </c>
      <c r="B443" s="9" t="str">
        <f>"50322023032112415565253"</f>
        <v>50322023032112415565253</v>
      </c>
      <c r="C443" s="9" t="s">
        <v>43</v>
      </c>
      <c r="D443" s="10" t="str">
        <f>"蔡晶晶"</f>
        <v>蔡晶晶</v>
      </c>
      <c r="E443" s="9" t="str">
        <f>"女"</f>
        <v>女</v>
      </c>
      <c r="F443" s="10"/>
    </row>
    <row r="444" spans="1:6" ht="30" customHeight="1">
      <c r="A444" s="9">
        <v>442</v>
      </c>
      <c r="B444" s="9" t="str">
        <f>"50322023032115292266286"</f>
        <v>50322023032115292266286</v>
      </c>
      <c r="C444" s="9" t="s">
        <v>43</v>
      </c>
      <c r="D444" s="10" t="str">
        <f>"吴海荣"</f>
        <v>吴海荣</v>
      </c>
      <c r="E444" s="9" t="str">
        <f>"男"</f>
        <v>男</v>
      </c>
      <c r="F444" s="10"/>
    </row>
    <row r="445" spans="1:6" ht="30" customHeight="1">
      <c r="A445" s="9">
        <v>443</v>
      </c>
      <c r="B445" s="9" t="str">
        <f>"50322023032116331666744"</f>
        <v>50322023032116331666744</v>
      </c>
      <c r="C445" s="9" t="s">
        <v>43</v>
      </c>
      <c r="D445" s="10" t="str">
        <f>"文晓慧"</f>
        <v>文晓慧</v>
      </c>
      <c r="E445" s="9" t="str">
        <f>"女"</f>
        <v>女</v>
      </c>
      <c r="F445" s="10"/>
    </row>
    <row r="446" spans="1:6" ht="30" customHeight="1">
      <c r="A446" s="9">
        <v>444</v>
      </c>
      <c r="B446" s="9" t="str">
        <f>"50322023032117394767116"</f>
        <v>50322023032117394767116</v>
      </c>
      <c r="C446" s="9" t="s">
        <v>43</v>
      </c>
      <c r="D446" s="10" t="str">
        <f>"张素芯"</f>
        <v>张素芯</v>
      </c>
      <c r="E446" s="9" t="str">
        <f>"女"</f>
        <v>女</v>
      </c>
      <c r="F446" s="10"/>
    </row>
    <row r="447" spans="1:6" ht="30" customHeight="1">
      <c r="A447" s="9">
        <v>445</v>
      </c>
      <c r="B447" s="9" t="str">
        <f>"50322023032119453167676"</f>
        <v>50322023032119453167676</v>
      </c>
      <c r="C447" s="9" t="s">
        <v>43</v>
      </c>
      <c r="D447" s="10" t="str">
        <f>"陈小妹"</f>
        <v>陈小妹</v>
      </c>
      <c r="E447" s="9" t="str">
        <f>"女"</f>
        <v>女</v>
      </c>
      <c r="F447" s="10"/>
    </row>
    <row r="448" spans="1:6" ht="30" customHeight="1">
      <c r="A448" s="9">
        <v>446</v>
      </c>
      <c r="B448" s="9" t="str">
        <f>"50322023032214095471537"</f>
        <v>50322023032214095471537</v>
      </c>
      <c r="C448" s="9" t="s">
        <v>43</v>
      </c>
      <c r="D448" s="10" t="str">
        <f>"符燕飞"</f>
        <v>符燕飞</v>
      </c>
      <c r="E448" s="9" t="str">
        <f>"女"</f>
        <v>女</v>
      </c>
      <c r="F448" s="10"/>
    </row>
    <row r="449" spans="1:6" ht="30" customHeight="1">
      <c r="A449" s="9">
        <v>447</v>
      </c>
      <c r="B449" s="9" t="str">
        <f>"50322023032219275673249"</f>
        <v>50322023032219275673249</v>
      </c>
      <c r="C449" s="9" t="s">
        <v>43</v>
      </c>
      <c r="D449" s="10" t="str">
        <f>"林维康"</f>
        <v>林维康</v>
      </c>
      <c r="E449" s="9" t="str">
        <f>"男"</f>
        <v>男</v>
      </c>
      <c r="F449" s="10"/>
    </row>
    <row r="450" spans="1:6" ht="30" customHeight="1">
      <c r="A450" s="9">
        <v>448</v>
      </c>
      <c r="B450" s="9" t="str">
        <f>"50322023032309065273872"</f>
        <v>50322023032309065273872</v>
      </c>
      <c r="C450" s="9" t="s">
        <v>43</v>
      </c>
      <c r="D450" s="10" t="str">
        <f>"古德丽"</f>
        <v>古德丽</v>
      </c>
      <c r="E450" s="9" t="str">
        <f aca="true" t="shared" si="16" ref="E450:E468">"女"</f>
        <v>女</v>
      </c>
      <c r="F450" s="10"/>
    </row>
    <row r="451" spans="1:6" ht="30" customHeight="1">
      <c r="A451" s="9">
        <v>449</v>
      </c>
      <c r="B451" s="9" t="str">
        <f>"50322023032310062874007"</f>
        <v>50322023032310062874007</v>
      </c>
      <c r="C451" s="9" t="s">
        <v>43</v>
      </c>
      <c r="D451" s="10" t="str">
        <f>"韩晓春"</f>
        <v>韩晓春</v>
      </c>
      <c r="E451" s="9" t="str">
        <f t="shared" si="16"/>
        <v>女</v>
      </c>
      <c r="F451" s="10"/>
    </row>
    <row r="452" spans="1:6" ht="30" customHeight="1">
      <c r="A452" s="9">
        <v>450</v>
      </c>
      <c r="B452" s="9" t="str">
        <f>"50322023032311530774275"</f>
        <v>50322023032311530774275</v>
      </c>
      <c r="C452" s="9" t="s">
        <v>43</v>
      </c>
      <c r="D452" s="10" t="str">
        <f>"王毓慧"</f>
        <v>王毓慧</v>
      </c>
      <c r="E452" s="9" t="str">
        <f t="shared" si="16"/>
        <v>女</v>
      </c>
      <c r="F452" s="10"/>
    </row>
    <row r="453" spans="1:6" ht="30" customHeight="1">
      <c r="A453" s="9">
        <v>451</v>
      </c>
      <c r="B453" s="9" t="str">
        <f>"50322023032413304175845"</f>
        <v>50322023032413304175845</v>
      </c>
      <c r="C453" s="9" t="s">
        <v>43</v>
      </c>
      <c r="D453" s="10" t="str">
        <f>"王君"</f>
        <v>王君</v>
      </c>
      <c r="E453" s="9" t="str">
        <f t="shared" si="16"/>
        <v>女</v>
      </c>
      <c r="F453" s="10"/>
    </row>
    <row r="454" spans="1:6" ht="30" customHeight="1">
      <c r="A454" s="9">
        <v>452</v>
      </c>
      <c r="B454" s="9" t="str">
        <f>"50322023032421460876384"</f>
        <v>50322023032421460876384</v>
      </c>
      <c r="C454" s="9" t="s">
        <v>43</v>
      </c>
      <c r="D454" s="10" t="str">
        <f>"李悦琪"</f>
        <v>李悦琪</v>
      </c>
      <c r="E454" s="9" t="str">
        <f t="shared" si="16"/>
        <v>女</v>
      </c>
      <c r="F454" s="10"/>
    </row>
    <row r="455" spans="1:6" ht="30" customHeight="1">
      <c r="A455" s="9">
        <v>453</v>
      </c>
      <c r="B455" s="9" t="str">
        <f>"50322023032423101976447"</f>
        <v>50322023032423101976447</v>
      </c>
      <c r="C455" s="9" t="s">
        <v>43</v>
      </c>
      <c r="D455" s="10" t="str">
        <f>"陈琦"</f>
        <v>陈琦</v>
      </c>
      <c r="E455" s="9" t="str">
        <f t="shared" si="16"/>
        <v>女</v>
      </c>
      <c r="F455" s="10"/>
    </row>
    <row r="456" spans="1:6" ht="30" customHeight="1">
      <c r="A456" s="9">
        <v>454</v>
      </c>
      <c r="B456" s="9" t="str">
        <f>"50322023032503475376487"</f>
        <v>50322023032503475376487</v>
      </c>
      <c r="C456" s="9" t="s">
        <v>43</v>
      </c>
      <c r="D456" s="10" t="str">
        <f>"杨卓婷"</f>
        <v>杨卓婷</v>
      </c>
      <c r="E456" s="9" t="str">
        <f t="shared" si="16"/>
        <v>女</v>
      </c>
      <c r="F456" s="10"/>
    </row>
    <row r="457" spans="1:6" ht="30" customHeight="1">
      <c r="A457" s="9">
        <v>455</v>
      </c>
      <c r="B457" s="9" t="str">
        <f>"50322023032621205377660"</f>
        <v>50322023032621205377660</v>
      </c>
      <c r="C457" s="9" t="s">
        <v>43</v>
      </c>
      <c r="D457" s="10" t="str">
        <f>"麦昌妹"</f>
        <v>麦昌妹</v>
      </c>
      <c r="E457" s="9" t="str">
        <f t="shared" si="16"/>
        <v>女</v>
      </c>
      <c r="F457" s="10"/>
    </row>
    <row r="458" spans="1:6" ht="30" customHeight="1">
      <c r="A458" s="9">
        <v>456</v>
      </c>
      <c r="B458" s="9" t="str">
        <f>"50322023032715145578429"</f>
        <v>50322023032715145578429</v>
      </c>
      <c r="C458" s="9" t="s">
        <v>43</v>
      </c>
      <c r="D458" s="10" t="str">
        <f>"池春艳"</f>
        <v>池春艳</v>
      </c>
      <c r="E458" s="9" t="str">
        <f t="shared" si="16"/>
        <v>女</v>
      </c>
      <c r="F458" s="10"/>
    </row>
    <row r="459" spans="1:6" ht="30" customHeight="1">
      <c r="A459" s="9">
        <v>457</v>
      </c>
      <c r="B459" s="9" t="str">
        <f>"50322023032719240378729"</f>
        <v>50322023032719240378729</v>
      </c>
      <c r="C459" s="9" t="s">
        <v>43</v>
      </c>
      <c r="D459" s="10" t="str">
        <f>"唐小丽"</f>
        <v>唐小丽</v>
      </c>
      <c r="E459" s="9" t="str">
        <f t="shared" si="16"/>
        <v>女</v>
      </c>
      <c r="F459" s="10"/>
    </row>
    <row r="460" spans="1:6" ht="30" customHeight="1">
      <c r="A460" s="9">
        <v>458</v>
      </c>
      <c r="B460" s="9" t="str">
        <f>"50322023032811013479368"</f>
        <v>50322023032811013479368</v>
      </c>
      <c r="C460" s="9" t="s">
        <v>43</v>
      </c>
      <c r="D460" s="10" t="str">
        <f>"刘小健"</f>
        <v>刘小健</v>
      </c>
      <c r="E460" s="9" t="str">
        <f t="shared" si="16"/>
        <v>女</v>
      </c>
      <c r="F460" s="10"/>
    </row>
    <row r="461" spans="1:6" ht="30" customHeight="1">
      <c r="A461" s="9">
        <v>459</v>
      </c>
      <c r="B461" s="9" t="str">
        <f>"50322023032814495879616"</f>
        <v>50322023032814495879616</v>
      </c>
      <c r="C461" s="9" t="s">
        <v>43</v>
      </c>
      <c r="D461" s="10" t="str">
        <f>"杨井桑"</f>
        <v>杨井桑</v>
      </c>
      <c r="E461" s="9" t="str">
        <f t="shared" si="16"/>
        <v>女</v>
      </c>
      <c r="F461" s="10"/>
    </row>
    <row r="462" spans="1:6" ht="30" customHeight="1">
      <c r="A462" s="9">
        <v>460</v>
      </c>
      <c r="B462" s="9" t="str">
        <f>"50322023032819502179959"</f>
        <v>50322023032819502179959</v>
      </c>
      <c r="C462" s="9" t="s">
        <v>43</v>
      </c>
      <c r="D462" s="10" t="str">
        <f>"黄镜泽"</f>
        <v>黄镜泽</v>
      </c>
      <c r="E462" s="9" t="str">
        <f t="shared" si="16"/>
        <v>女</v>
      </c>
      <c r="F462" s="10"/>
    </row>
    <row r="463" spans="1:6" ht="30" customHeight="1">
      <c r="A463" s="9">
        <v>461</v>
      </c>
      <c r="B463" s="9" t="str">
        <f>"50322023032820234280018"</f>
        <v>50322023032820234280018</v>
      </c>
      <c r="C463" s="9" t="s">
        <v>43</v>
      </c>
      <c r="D463" s="10" t="str">
        <f>"黄琳琳"</f>
        <v>黄琳琳</v>
      </c>
      <c r="E463" s="9" t="str">
        <f t="shared" si="16"/>
        <v>女</v>
      </c>
      <c r="F463" s="10"/>
    </row>
    <row r="464" spans="1:6" ht="30" customHeight="1">
      <c r="A464" s="9">
        <v>462</v>
      </c>
      <c r="B464" s="9" t="str">
        <f>"50322023032909572980916"</f>
        <v>50322023032909572980916</v>
      </c>
      <c r="C464" s="9" t="s">
        <v>43</v>
      </c>
      <c r="D464" s="10" t="str">
        <f>"王昌喜"</f>
        <v>王昌喜</v>
      </c>
      <c r="E464" s="9" t="str">
        <f t="shared" si="16"/>
        <v>女</v>
      </c>
      <c r="F464" s="10"/>
    </row>
    <row r="465" spans="1:6" ht="30" customHeight="1">
      <c r="A465" s="9">
        <v>463</v>
      </c>
      <c r="B465" s="9" t="str">
        <f>"50322023032910172381034"</f>
        <v>50322023032910172381034</v>
      </c>
      <c r="C465" s="9" t="s">
        <v>43</v>
      </c>
      <c r="D465" s="10" t="str">
        <f>"王妤"</f>
        <v>王妤</v>
      </c>
      <c r="E465" s="9" t="str">
        <f t="shared" si="16"/>
        <v>女</v>
      </c>
      <c r="F465" s="10"/>
    </row>
    <row r="466" spans="1:6" ht="30" customHeight="1">
      <c r="A466" s="9">
        <v>464</v>
      </c>
      <c r="B466" s="9" t="str">
        <f>"50322023032919024084289"</f>
        <v>50322023032919024084289</v>
      </c>
      <c r="C466" s="9" t="s">
        <v>43</v>
      </c>
      <c r="D466" s="10" t="str">
        <f>"梁美燕"</f>
        <v>梁美燕</v>
      </c>
      <c r="E466" s="9" t="str">
        <f t="shared" si="16"/>
        <v>女</v>
      </c>
      <c r="F466" s="10"/>
    </row>
    <row r="467" spans="1:6" ht="30" customHeight="1">
      <c r="A467" s="9">
        <v>465</v>
      </c>
      <c r="B467" s="9" t="str">
        <f>"50322023032919243484367"</f>
        <v>50322023032919243484367</v>
      </c>
      <c r="C467" s="9" t="s">
        <v>43</v>
      </c>
      <c r="D467" s="10" t="str">
        <f>"王育新"</f>
        <v>王育新</v>
      </c>
      <c r="E467" s="9" t="str">
        <f t="shared" si="16"/>
        <v>女</v>
      </c>
      <c r="F467" s="10"/>
    </row>
    <row r="468" spans="1:6" ht="30" customHeight="1">
      <c r="A468" s="9">
        <v>466</v>
      </c>
      <c r="B468" s="9" t="str">
        <f>"50322023032919544084457"</f>
        <v>50322023032919544084457</v>
      </c>
      <c r="C468" s="9" t="s">
        <v>43</v>
      </c>
      <c r="D468" s="10" t="str">
        <f>"许文璐"</f>
        <v>许文璐</v>
      </c>
      <c r="E468" s="9" t="str">
        <f t="shared" si="16"/>
        <v>女</v>
      </c>
      <c r="F468" s="10"/>
    </row>
    <row r="469" spans="1:6" ht="30" customHeight="1">
      <c r="A469" s="9">
        <v>467</v>
      </c>
      <c r="B469" s="9" t="str">
        <f>"50322023032921410684767"</f>
        <v>50322023032921410684767</v>
      </c>
      <c r="C469" s="9" t="s">
        <v>43</v>
      </c>
      <c r="D469" s="10" t="str">
        <f>"王业中"</f>
        <v>王业中</v>
      </c>
      <c r="E469" s="9" t="str">
        <f>"男"</f>
        <v>男</v>
      </c>
      <c r="F469" s="10"/>
    </row>
    <row r="470" spans="1:6" ht="30" customHeight="1">
      <c r="A470" s="9">
        <v>468</v>
      </c>
      <c r="B470" s="9" t="str">
        <f>"50322023032922484384958"</f>
        <v>50322023032922484384958</v>
      </c>
      <c r="C470" s="9" t="s">
        <v>43</v>
      </c>
      <c r="D470" s="10" t="str">
        <f>"肖灿友"</f>
        <v>肖灿友</v>
      </c>
      <c r="E470" s="9" t="str">
        <f>"男"</f>
        <v>男</v>
      </c>
      <c r="F470" s="10"/>
    </row>
    <row r="471" spans="1:6" ht="30" customHeight="1">
      <c r="A471" s="9">
        <v>469</v>
      </c>
      <c r="B471" s="9" t="str">
        <f>"50322023033009282685419"</f>
        <v>50322023033009282685419</v>
      </c>
      <c r="C471" s="9" t="s">
        <v>43</v>
      </c>
      <c r="D471" s="10" t="str">
        <f>"刘璐"</f>
        <v>刘璐</v>
      </c>
      <c r="E471" s="9" t="str">
        <f>"女"</f>
        <v>女</v>
      </c>
      <c r="F471" s="11" t="s">
        <v>44</v>
      </c>
    </row>
    <row r="472" spans="1:6" ht="30" customHeight="1">
      <c r="A472" s="9">
        <v>470</v>
      </c>
      <c r="B472" s="9" t="str">
        <f>"50322023032108084162966"</f>
        <v>50322023032108084162966</v>
      </c>
      <c r="C472" s="9" t="s">
        <v>45</v>
      </c>
      <c r="D472" s="10" t="str">
        <f>"文小倩"</f>
        <v>文小倩</v>
      </c>
      <c r="E472" s="9" t="str">
        <f>"女"</f>
        <v>女</v>
      </c>
      <c r="F472" s="10"/>
    </row>
    <row r="473" spans="1:6" ht="30" customHeight="1">
      <c r="A473" s="9">
        <v>471</v>
      </c>
      <c r="B473" s="9" t="str">
        <f>"50322023032109122763284"</f>
        <v>50322023032109122763284</v>
      </c>
      <c r="C473" s="9" t="s">
        <v>45</v>
      </c>
      <c r="D473" s="10" t="str">
        <f>"龙籍艺"</f>
        <v>龙籍艺</v>
      </c>
      <c r="E473" s="9" t="str">
        <f>"男"</f>
        <v>男</v>
      </c>
      <c r="F473" s="10"/>
    </row>
    <row r="474" spans="1:6" ht="30" customHeight="1">
      <c r="A474" s="9">
        <v>472</v>
      </c>
      <c r="B474" s="9" t="str">
        <f>"50322023032119233067549"</f>
        <v>50322023032119233067549</v>
      </c>
      <c r="C474" s="9" t="s">
        <v>45</v>
      </c>
      <c r="D474" s="10" t="str">
        <f>"赖倩虹"</f>
        <v>赖倩虹</v>
      </c>
      <c r="E474" s="9" t="str">
        <f aca="true" t="shared" si="17" ref="E474:E482">"女"</f>
        <v>女</v>
      </c>
      <c r="F474" s="10"/>
    </row>
    <row r="475" spans="1:6" ht="30" customHeight="1">
      <c r="A475" s="9">
        <v>473</v>
      </c>
      <c r="B475" s="9" t="str">
        <f>"50322023032211035170290"</f>
        <v>50322023032211035170290</v>
      </c>
      <c r="C475" s="9" t="s">
        <v>45</v>
      </c>
      <c r="D475" s="10" t="str">
        <f>"王清云"</f>
        <v>王清云</v>
      </c>
      <c r="E475" s="9" t="str">
        <f t="shared" si="17"/>
        <v>女</v>
      </c>
      <c r="F475" s="10"/>
    </row>
    <row r="476" spans="1:6" ht="30" customHeight="1">
      <c r="A476" s="9">
        <v>474</v>
      </c>
      <c r="B476" s="9" t="str">
        <f>"50322023032222090473586"</f>
        <v>50322023032222090473586</v>
      </c>
      <c r="C476" s="9" t="s">
        <v>45</v>
      </c>
      <c r="D476" s="10" t="str">
        <f>"蒲月丽"</f>
        <v>蒲月丽</v>
      </c>
      <c r="E476" s="9" t="str">
        <f t="shared" si="17"/>
        <v>女</v>
      </c>
      <c r="F476" s="10"/>
    </row>
    <row r="477" spans="1:6" ht="30" customHeight="1">
      <c r="A477" s="9">
        <v>475</v>
      </c>
      <c r="B477" s="9" t="str">
        <f>"50322023032309190073908"</f>
        <v>50322023032309190073908</v>
      </c>
      <c r="C477" s="9" t="s">
        <v>45</v>
      </c>
      <c r="D477" s="10" t="str">
        <f>"黄小钊"</f>
        <v>黄小钊</v>
      </c>
      <c r="E477" s="9" t="str">
        <f t="shared" si="17"/>
        <v>女</v>
      </c>
      <c r="F477" s="10"/>
    </row>
    <row r="478" spans="1:6" ht="30" customHeight="1">
      <c r="A478" s="9">
        <v>476</v>
      </c>
      <c r="B478" s="9" t="str">
        <f>"50322023032312410474361"</f>
        <v>50322023032312410474361</v>
      </c>
      <c r="C478" s="9" t="s">
        <v>45</v>
      </c>
      <c r="D478" s="10" t="str">
        <f>"谢有思"</f>
        <v>谢有思</v>
      </c>
      <c r="E478" s="9" t="str">
        <f t="shared" si="17"/>
        <v>女</v>
      </c>
      <c r="F478" s="10"/>
    </row>
    <row r="479" spans="1:6" ht="30" customHeight="1">
      <c r="A479" s="9">
        <v>477</v>
      </c>
      <c r="B479" s="9" t="str">
        <f>"50322023032318280274933"</f>
        <v>50322023032318280274933</v>
      </c>
      <c r="C479" s="9" t="s">
        <v>45</v>
      </c>
      <c r="D479" s="10" t="str">
        <f>"蔡婉怡"</f>
        <v>蔡婉怡</v>
      </c>
      <c r="E479" s="9" t="str">
        <f t="shared" si="17"/>
        <v>女</v>
      </c>
      <c r="F479" s="10"/>
    </row>
    <row r="480" spans="1:6" ht="30" customHeight="1">
      <c r="A480" s="9">
        <v>478</v>
      </c>
      <c r="B480" s="9" t="str">
        <f>"50322023032409575375524"</f>
        <v>50322023032409575375524</v>
      </c>
      <c r="C480" s="9" t="s">
        <v>45</v>
      </c>
      <c r="D480" s="10" t="str">
        <f>"龙嫔嫔"</f>
        <v>龙嫔嫔</v>
      </c>
      <c r="E480" s="9" t="str">
        <f t="shared" si="17"/>
        <v>女</v>
      </c>
      <c r="F480" s="10"/>
    </row>
    <row r="481" spans="1:6" ht="30" customHeight="1">
      <c r="A481" s="9">
        <v>479</v>
      </c>
      <c r="B481" s="9" t="str">
        <f>"50322023032509282276537"</f>
        <v>50322023032509282276537</v>
      </c>
      <c r="C481" s="9" t="s">
        <v>45</v>
      </c>
      <c r="D481" s="10" t="str">
        <f>"王楠"</f>
        <v>王楠</v>
      </c>
      <c r="E481" s="9" t="str">
        <f t="shared" si="17"/>
        <v>女</v>
      </c>
      <c r="F481" s="11" t="s">
        <v>46</v>
      </c>
    </row>
    <row r="482" spans="1:6" ht="30" customHeight="1">
      <c r="A482" s="9">
        <v>480</v>
      </c>
      <c r="B482" s="9" t="str">
        <f>"50322023032511593176706"</f>
        <v>50322023032511593176706</v>
      </c>
      <c r="C482" s="9" t="s">
        <v>45</v>
      </c>
      <c r="D482" s="10" t="str">
        <f>"林华娜"</f>
        <v>林华娜</v>
      </c>
      <c r="E482" s="9" t="str">
        <f t="shared" si="17"/>
        <v>女</v>
      </c>
      <c r="F482" s="10"/>
    </row>
    <row r="483" spans="1:6" ht="30" customHeight="1">
      <c r="A483" s="9">
        <v>481</v>
      </c>
      <c r="B483" s="9" t="str">
        <f>"50322023032709104377863"</f>
        <v>50322023032709104377863</v>
      </c>
      <c r="C483" s="9" t="s">
        <v>45</v>
      </c>
      <c r="D483" s="10" t="str">
        <f>"李尚成"</f>
        <v>李尚成</v>
      </c>
      <c r="E483" s="9" t="str">
        <f>"男"</f>
        <v>男</v>
      </c>
      <c r="F483" s="10"/>
    </row>
    <row r="484" spans="1:6" ht="30" customHeight="1">
      <c r="A484" s="9">
        <v>482</v>
      </c>
      <c r="B484" s="9" t="str">
        <f>"50322023032710043177997"</f>
        <v>50322023032710043177997</v>
      </c>
      <c r="C484" s="9" t="s">
        <v>45</v>
      </c>
      <c r="D484" s="10" t="str">
        <f>"林秋霞"</f>
        <v>林秋霞</v>
      </c>
      <c r="E484" s="9" t="str">
        <f>"女"</f>
        <v>女</v>
      </c>
      <c r="F484" s="10"/>
    </row>
    <row r="485" spans="1:6" ht="30" customHeight="1">
      <c r="A485" s="9">
        <v>483</v>
      </c>
      <c r="B485" s="9" t="str">
        <f>"50322023032717243678619"</f>
        <v>50322023032717243678619</v>
      </c>
      <c r="C485" s="9" t="s">
        <v>45</v>
      </c>
      <c r="D485" s="10" t="str">
        <f>"梁婷"</f>
        <v>梁婷</v>
      </c>
      <c r="E485" s="9" t="str">
        <f>"女"</f>
        <v>女</v>
      </c>
      <c r="F485" s="10"/>
    </row>
    <row r="486" spans="1:6" ht="30" customHeight="1">
      <c r="A486" s="9">
        <v>484</v>
      </c>
      <c r="B486" s="9" t="str">
        <f>"50322023032722075878930"</f>
        <v>50322023032722075878930</v>
      </c>
      <c r="C486" s="9" t="s">
        <v>45</v>
      </c>
      <c r="D486" s="10" t="str">
        <f>"吴秋桂"</f>
        <v>吴秋桂</v>
      </c>
      <c r="E486" s="9" t="str">
        <f>"女"</f>
        <v>女</v>
      </c>
      <c r="F486" s="10"/>
    </row>
    <row r="487" spans="1:6" ht="30" customHeight="1">
      <c r="A487" s="9">
        <v>485</v>
      </c>
      <c r="B487" s="9" t="str">
        <f>"50322023032722300278953"</f>
        <v>50322023032722300278953</v>
      </c>
      <c r="C487" s="9" t="s">
        <v>45</v>
      </c>
      <c r="D487" s="10" t="str">
        <f>"颜光钰"</f>
        <v>颜光钰</v>
      </c>
      <c r="E487" s="9" t="str">
        <f>"女"</f>
        <v>女</v>
      </c>
      <c r="F487" s="10"/>
    </row>
    <row r="488" spans="1:6" ht="30" customHeight="1">
      <c r="A488" s="9">
        <v>486</v>
      </c>
      <c r="B488" s="9" t="str">
        <f>"50322023032808065779068"</f>
        <v>50322023032808065779068</v>
      </c>
      <c r="C488" s="9" t="s">
        <v>45</v>
      </c>
      <c r="D488" s="10" t="str">
        <f>"符坤礼"</f>
        <v>符坤礼</v>
      </c>
      <c r="E488" s="9" t="str">
        <f>"女"</f>
        <v>女</v>
      </c>
      <c r="F488" s="10"/>
    </row>
    <row r="489" spans="1:6" ht="30" customHeight="1">
      <c r="A489" s="9">
        <v>487</v>
      </c>
      <c r="B489" s="9" t="str">
        <f>"50322023032818461779885"</f>
        <v>50322023032818461779885</v>
      </c>
      <c r="C489" s="9" t="s">
        <v>45</v>
      </c>
      <c r="D489" s="10" t="str">
        <f>"黎贵荣"</f>
        <v>黎贵荣</v>
      </c>
      <c r="E489" s="9" t="str">
        <f>"男"</f>
        <v>男</v>
      </c>
      <c r="F489" s="10"/>
    </row>
    <row r="490" spans="1:6" ht="30" customHeight="1">
      <c r="A490" s="9">
        <v>488</v>
      </c>
      <c r="B490" s="9" t="str">
        <f>"50322023032819472479956"</f>
        <v>50322023032819472479956</v>
      </c>
      <c r="C490" s="9" t="s">
        <v>45</v>
      </c>
      <c r="D490" s="10" t="str">
        <f>"王恩得"</f>
        <v>王恩得</v>
      </c>
      <c r="E490" s="9" t="str">
        <f aca="true" t="shared" si="18" ref="E490:E505">"女"</f>
        <v>女</v>
      </c>
      <c r="F490" s="10"/>
    </row>
    <row r="491" spans="1:6" ht="30" customHeight="1">
      <c r="A491" s="9">
        <v>489</v>
      </c>
      <c r="B491" s="9" t="str">
        <f>"50322023032822052280174"</f>
        <v>50322023032822052280174</v>
      </c>
      <c r="C491" s="9" t="s">
        <v>45</v>
      </c>
      <c r="D491" s="10" t="str">
        <f>"黄柳"</f>
        <v>黄柳</v>
      </c>
      <c r="E491" s="9" t="str">
        <f t="shared" si="18"/>
        <v>女</v>
      </c>
      <c r="F491" s="10"/>
    </row>
    <row r="492" spans="1:6" ht="30" customHeight="1">
      <c r="A492" s="9">
        <v>490</v>
      </c>
      <c r="B492" s="9" t="str">
        <f>"50322023032823192380275"</f>
        <v>50322023032823192380275</v>
      </c>
      <c r="C492" s="9" t="s">
        <v>45</v>
      </c>
      <c r="D492" s="10" t="str">
        <f>"刘伯映"</f>
        <v>刘伯映</v>
      </c>
      <c r="E492" s="9" t="str">
        <f t="shared" si="18"/>
        <v>女</v>
      </c>
      <c r="F492" s="10"/>
    </row>
    <row r="493" spans="1:6" ht="30" customHeight="1">
      <c r="A493" s="9">
        <v>491</v>
      </c>
      <c r="B493" s="9" t="str">
        <f>"50322023032922374984924"</f>
        <v>50322023032922374984924</v>
      </c>
      <c r="C493" s="9" t="s">
        <v>45</v>
      </c>
      <c r="D493" s="10" t="str">
        <f>"高燕飘"</f>
        <v>高燕飘</v>
      </c>
      <c r="E493" s="9" t="str">
        <f t="shared" si="18"/>
        <v>女</v>
      </c>
      <c r="F493" s="10"/>
    </row>
    <row r="494" spans="1:6" ht="30" customHeight="1">
      <c r="A494" s="9">
        <v>492</v>
      </c>
      <c r="B494" s="9" t="str">
        <f>"50322023032923050684980"</f>
        <v>50322023032923050684980</v>
      </c>
      <c r="C494" s="9" t="s">
        <v>45</v>
      </c>
      <c r="D494" s="10" t="str">
        <f>"杨夏蕊"</f>
        <v>杨夏蕊</v>
      </c>
      <c r="E494" s="9" t="str">
        <f t="shared" si="18"/>
        <v>女</v>
      </c>
      <c r="F494" s="10"/>
    </row>
    <row r="495" spans="1:6" ht="30" customHeight="1">
      <c r="A495" s="9">
        <v>493</v>
      </c>
      <c r="B495" s="9" t="str">
        <f>"50322023032109023963212"</f>
        <v>50322023032109023963212</v>
      </c>
      <c r="C495" s="9" t="s">
        <v>47</v>
      </c>
      <c r="D495" s="10" t="str">
        <f>"邓丹花"</f>
        <v>邓丹花</v>
      </c>
      <c r="E495" s="9" t="str">
        <f t="shared" si="18"/>
        <v>女</v>
      </c>
      <c r="F495" s="10"/>
    </row>
    <row r="496" spans="1:6" ht="30" customHeight="1">
      <c r="A496" s="9">
        <v>494</v>
      </c>
      <c r="B496" s="9" t="str">
        <f>"50322023032109274063389"</f>
        <v>50322023032109274063389</v>
      </c>
      <c r="C496" s="9" t="s">
        <v>47</v>
      </c>
      <c r="D496" s="10" t="str">
        <f>"陈媚洁"</f>
        <v>陈媚洁</v>
      </c>
      <c r="E496" s="9" t="str">
        <f t="shared" si="18"/>
        <v>女</v>
      </c>
      <c r="F496" s="10"/>
    </row>
    <row r="497" spans="1:6" ht="30" customHeight="1">
      <c r="A497" s="9">
        <v>495</v>
      </c>
      <c r="B497" s="9" t="str">
        <f>"50322023032109461163549"</f>
        <v>50322023032109461163549</v>
      </c>
      <c r="C497" s="9" t="s">
        <v>47</v>
      </c>
      <c r="D497" s="10" t="str">
        <f>"吴德爱"</f>
        <v>吴德爱</v>
      </c>
      <c r="E497" s="9" t="str">
        <f t="shared" si="18"/>
        <v>女</v>
      </c>
      <c r="F497" s="10"/>
    </row>
    <row r="498" spans="1:6" ht="30" customHeight="1">
      <c r="A498" s="9">
        <v>496</v>
      </c>
      <c r="B498" s="9" t="str">
        <f>"50322023032109593863951"</f>
        <v>50322023032109593863951</v>
      </c>
      <c r="C498" s="9" t="s">
        <v>47</v>
      </c>
      <c r="D498" s="10" t="str">
        <f>"黎明翠"</f>
        <v>黎明翠</v>
      </c>
      <c r="E498" s="9" t="str">
        <f t="shared" si="18"/>
        <v>女</v>
      </c>
      <c r="F498" s="10"/>
    </row>
    <row r="499" spans="1:6" ht="30" customHeight="1">
      <c r="A499" s="9">
        <v>497</v>
      </c>
      <c r="B499" s="9" t="str">
        <f>"50322023032114500266031"</f>
        <v>50322023032114500266031</v>
      </c>
      <c r="C499" s="9" t="s">
        <v>47</v>
      </c>
      <c r="D499" s="10" t="str">
        <f>"卜昕"</f>
        <v>卜昕</v>
      </c>
      <c r="E499" s="9" t="str">
        <f t="shared" si="18"/>
        <v>女</v>
      </c>
      <c r="F499" s="10"/>
    </row>
    <row r="500" spans="1:6" ht="30" customHeight="1">
      <c r="A500" s="9">
        <v>498</v>
      </c>
      <c r="B500" s="9" t="str">
        <f>"50322023032115282366277"</f>
        <v>50322023032115282366277</v>
      </c>
      <c r="C500" s="9" t="s">
        <v>47</v>
      </c>
      <c r="D500" s="10" t="str">
        <f>"黄文静"</f>
        <v>黄文静</v>
      </c>
      <c r="E500" s="9" t="str">
        <f t="shared" si="18"/>
        <v>女</v>
      </c>
      <c r="F500" s="10"/>
    </row>
    <row r="501" spans="1:6" ht="30" customHeight="1">
      <c r="A501" s="9">
        <v>499</v>
      </c>
      <c r="B501" s="9" t="str">
        <f>"50322023032210005269830"</f>
        <v>50322023032210005269830</v>
      </c>
      <c r="C501" s="9" t="s">
        <v>47</v>
      </c>
      <c r="D501" s="10" t="str">
        <f>"吴玲美"</f>
        <v>吴玲美</v>
      </c>
      <c r="E501" s="9" t="str">
        <f t="shared" si="18"/>
        <v>女</v>
      </c>
      <c r="F501" s="10"/>
    </row>
    <row r="502" spans="1:6" ht="30" customHeight="1">
      <c r="A502" s="9">
        <v>500</v>
      </c>
      <c r="B502" s="9" t="str">
        <f>"50322023032211555370668"</f>
        <v>50322023032211555370668</v>
      </c>
      <c r="C502" s="9" t="s">
        <v>47</v>
      </c>
      <c r="D502" s="10" t="str">
        <f>"符文慧"</f>
        <v>符文慧</v>
      </c>
      <c r="E502" s="9" t="str">
        <f t="shared" si="18"/>
        <v>女</v>
      </c>
      <c r="F502" s="10"/>
    </row>
    <row r="503" spans="1:6" ht="30" customHeight="1">
      <c r="A503" s="9">
        <v>501</v>
      </c>
      <c r="B503" s="9" t="str">
        <f>"50322023032215062371966"</f>
        <v>50322023032215062371966</v>
      </c>
      <c r="C503" s="9" t="s">
        <v>47</v>
      </c>
      <c r="D503" s="10" t="str">
        <f>"梁雪君"</f>
        <v>梁雪君</v>
      </c>
      <c r="E503" s="9" t="str">
        <f t="shared" si="18"/>
        <v>女</v>
      </c>
      <c r="F503" s="10"/>
    </row>
    <row r="504" spans="1:6" ht="30" customHeight="1">
      <c r="A504" s="9">
        <v>502</v>
      </c>
      <c r="B504" s="9" t="str">
        <f>"50322023032215490172360"</f>
        <v>50322023032215490172360</v>
      </c>
      <c r="C504" s="9" t="s">
        <v>47</v>
      </c>
      <c r="D504" s="10" t="str">
        <f>"孙蕊"</f>
        <v>孙蕊</v>
      </c>
      <c r="E504" s="9" t="str">
        <f t="shared" si="18"/>
        <v>女</v>
      </c>
      <c r="F504" s="10"/>
    </row>
    <row r="505" spans="1:6" ht="30" customHeight="1">
      <c r="A505" s="9">
        <v>503</v>
      </c>
      <c r="B505" s="9" t="str">
        <f>"50322023032309180373905"</f>
        <v>50322023032309180373905</v>
      </c>
      <c r="C505" s="9" t="s">
        <v>47</v>
      </c>
      <c r="D505" s="10" t="str">
        <f>"曾学青"</f>
        <v>曾学青</v>
      </c>
      <c r="E505" s="9" t="str">
        <f t="shared" si="18"/>
        <v>女</v>
      </c>
      <c r="F505" s="10"/>
    </row>
    <row r="506" spans="1:6" ht="30" customHeight="1">
      <c r="A506" s="9">
        <v>504</v>
      </c>
      <c r="B506" s="9" t="str">
        <f>"50322023032310385174089"</f>
        <v>50322023032310385174089</v>
      </c>
      <c r="C506" s="9" t="s">
        <v>47</v>
      </c>
      <c r="D506" s="10" t="str">
        <f>"李君位"</f>
        <v>李君位</v>
      </c>
      <c r="E506" s="9" t="str">
        <f>"男"</f>
        <v>男</v>
      </c>
      <c r="F506" s="10"/>
    </row>
    <row r="507" spans="1:6" ht="30" customHeight="1">
      <c r="A507" s="9">
        <v>505</v>
      </c>
      <c r="B507" s="9" t="str">
        <f>"50322023032312474174375"</f>
        <v>50322023032312474174375</v>
      </c>
      <c r="C507" s="9" t="s">
        <v>47</v>
      </c>
      <c r="D507" s="10" t="str">
        <f>"符玲玲"</f>
        <v>符玲玲</v>
      </c>
      <c r="E507" s="9" t="str">
        <f aca="true" t="shared" si="19" ref="E507:E512">"女"</f>
        <v>女</v>
      </c>
      <c r="F507" s="10"/>
    </row>
    <row r="508" spans="1:6" ht="30" customHeight="1">
      <c r="A508" s="9">
        <v>506</v>
      </c>
      <c r="B508" s="9" t="str">
        <f>"50322023032319102774985"</f>
        <v>50322023032319102774985</v>
      </c>
      <c r="C508" s="9" t="s">
        <v>47</v>
      </c>
      <c r="D508" s="10" t="str">
        <f>"邓诗暖"</f>
        <v>邓诗暖</v>
      </c>
      <c r="E508" s="9" t="str">
        <f t="shared" si="19"/>
        <v>女</v>
      </c>
      <c r="F508" s="10"/>
    </row>
    <row r="509" spans="1:6" ht="30" customHeight="1">
      <c r="A509" s="9">
        <v>507</v>
      </c>
      <c r="B509" s="9" t="str">
        <f>"50322023032411124775633"</f>
        <v>50322023032411124775633</v>
      </c>
      <c r="C509" s="9" t="s">
        <v>47</v>
      </c>
      <c r="D509" s="10" t="str">
        <f>"许杏菊"</f>
        <v>许杏菊</v>
      </c>
      <c r="E509" s="9" t="str">
        <f t="shared" si="19"/>
        <v>女</v>
      </c>
      <c r="F509" s="10"/>
    </row>
    <row r="510" spans="1:6" ht="30" customHeight="1">
      <c r="A510" s="9">
        <v>508</v>
      </c>
      <c r="B510" s="9" t="str">
        <f>"50322023032412064075708"</f>
        <v>50322023032412064075708</v>
      </c>
      <c r="C510" s="9" t="s">
        <v>47</v>
      </c>
      <c r="D510" s="10" t="str">
        <f>"李冰虹"</f>
        <v>李冰虹</v>
      </c>
      <c r="E510" s="9" t="str">
        <f t="shared" si="19"/>
        <v>女</v>
      </c>
      <c r="F510" s="10"/>
    </row>
    <row r="511" spans="1:6" ht="30" customHeight="1">
      <c r="A511" s="9">
        <v>509</v>
      </c>
      <c r="B511" s="9" t="str">
        <f>"50322023032412123775718"</f>
        <v>50322023032412123775718</v>
      </c>
      <c r="C511" s="9" t="s">
        <v>47</v>
      </c>
      <c r="D511" s="10" t="str">
        <f>"林少琴"</f>
        <v>林少琴</v>
      </c>
      <c r="E511" s="9" t="str">
        <f t="shared" si="19"/>
        <v>女</v>
      </c>
      <c r="F511" s="10"/>
    </row>
    <row r="512" spans="1:6" ht="30" customHeight="1">
      <c r="A512" s="9">
        <v>510</v>
      </c>
      <c r="B512" s="9" t="str">
        <f>"50322023032420052576289"</f>
        <v>50322023032420052576289</v>
      </c>
      <c r="C512" s="9" t="s">
        <v>47</v>
      </c>
      <c r="D512" s="10" t="str">
        <f>"周薇"</f>
        <v>周薇</v>
      </c>
      <c r="E512" s="9" t="str">
        <f t="shared" si="19"/>
        <v>女</v>
      </c>
      <c r="F512" s="10"/>
    </row>
    <row r="513" spans="1:6" ht="30" customHeight="1">
      <c r="A513" s="9">
        <v>511</v>
      </c>
      <c r="B513" s="9" t="str">
        <f>"50322023032611150877320"</f>
        <v>50322023032611150877320</v>
      </c>
      <c r="C513" s="9" t="s">
        <v>47</v>
      </c>
      <c r="D513" s="10" t="str">
        <f>"王祚师"</f>
        <v>王祚师</v>
      </c>
      <c r="E513" s="9" t="str">
        <f>"男"</f>
        <v>男</v>
      </c>
      <c r="F513" s="10"/>
    </row>
    <row r="514" spans="1:6" ht="30" customHeight="1">
      <c r="A514" s="9">
        <v>512</v>
      </c>
      <c r="B514" s="9" t="str">
        <f>"50322023032716221078527"</f>
        <v>50322023032716221078527</v>
      </c>
      <c r="C514" s="9" t="s">
        <v>47</v>
      </c>
      <c r="D514" s="10" t="str">
        <f>"叶佩玲"</f>
        <v>叶佩玲</v>
      </c>
      <c r="E514" s="9" t="str">
        <f>"女"</f>
        <v>女</v>
      </c>
      <c r="F514" s="10"/>
    </row>
    <row r="515" spans="1:6" ht="30" customHeight="1">
      <c r="A515" s="9">
        <v>513</v>
      </c>
      <c r="B515" s="9" t="str">
        <f>"50322023032716582978576"</f>
        <v>50322023032716582978576</v>
      </c>
      <c r="C515" s="9" t="s">
        <v>47</v>
      </c>
      <c r="D515" s="10" t="str">
        <f>"陈莹"</f>
        <v>陈莹</v>
      </c>
      <c r="E515" s="9" t="str">
        <f>"女"</f>
        <v>女</v>
      </c>
      <c r="F515" s="10"/>
    </row>
    <row r="516" spans="1:6" ht="30" customHeight="1">
      <c r="A516" s="9">
        <v>514</v>
      </c>
      <c r="B516" s="9" t="str">
        <f>"50322023032723333379007"</f>
        <v>50322023032723333379007</v>
      </c>
      <c r="C516" s="9" t="s">
        <v>47</v>
      </c>
      <c r="D516" s="10" t="str">
        <f>"张玉莹"</f>
        <v>张玉莹</v>
      </c>
      <c r="E516" s="9" t="str">
        <f>"女"</f>
        <v>女</v>
      </c>
      <c r="F516" s="10"/>
    </row>
    <row r="517" spans="1:6" ht="30" customHeight="1">
      <c r="A517" s="9">
        <v>515</v>
      </c>
      <c r="B517" s="9" t="str">
        <f>"50322023032808032479067"</f>
        <v>50322023032808032479067</v>
      </c>
      <c r="C517" s="9" t="s">
        <v>47</v>
      </c>
      <c r="D517" s="10" t="str">
        <f>"王麟江"</f>
        <v>王麟江</v>
      </c>
      <c r="E517" s="9" t="str">
        <f>"男"</f>
        <v>男</v>
      </c>
      <c r="F517" s="10"/>
    </row>
    <row r="518" spans="1:6" ht="30" customHeight="1">
      <c r="A518" s="9">
        <v>516</v>
      </c>
      <c r="B518" s="9" t="str">
        <f>"50322023032810193779283"</f>
        <v>50322023032810193779283</v>
      </c>
      <c r="C518" s="9" t="s">
        <v>47</v>
      </c>
      <c r="D518" s="10" t="str">
        <f>"王潇潇"</f>
        <v>王潇潇</v>
      </c>
      <c r="E518" s="9" t="str">
        <f>"女"</f>
        <v>女</v>
      </c>
      <c r="F518" s="10"/>
    </row>
    <row r="519" spans="1:6" ht="30" customHeight="1">
      <c r="A519" s="9">
        <v>517</v>
      </c>
      <c r="B519" s="9" t="str">
        <f>"50322023032815431979697"</f>
        <v>50322023032815431979697</v>
      </c>
      <c r="C519" s="9" t="s">
        <v>47</v>
      </c>
      <c r="D519" s="10" t="str">
        <f>"赵英悦"</f>
        <v>赵英悦</v>
      </c>
      <c r="E519" s="9" t="str">
        <f>"女"</f>
        <v>女</v>
      </c>
      <c r="F519" s="10"/>
    </row>
    <row r="520" spans="1:6" ht="30" customHeight="1">
      <c r="A520" s="9">
        <v>518</v>
      </c>
      <c r="B520" s="9" t="str">
        <f>"50322023032820134980001"</f>
        <v>50322023032820134980001</v>
      </c>
      <c r="C520" s="9" t="s">
        <v>47</v>
      </c>
      <c r="D520" s="10" t="str">
        <f>"孙发创"</f>
        <v>孙发创</v>
      </c>
      <c r="E520" s="9" t="str">
        <f>"男"</f>
        <v>男</v>
      </c>
      <c r="F520" s="10"/>
    </row>
    <row r="521" spans="1:6" ht="30" customHeight="1">
      <c r="A521" s="9">
        <v>519</v>
      </c>
      <c r="B521" s="9" t="str">
        <f>"50322023032822072380177"</f>
        <v>50322023032822072380177</v>
      </c>
      <c r="C521" s="9" t="s">
        <v>47</v>
      </c>
      <c r="D521" s="10" t="str">
        <f>"王彩丹"</f>
        <v>王彩丹</v>
      </c>
      <c r="E521" s="9" t="str">
        <f>"女"</f>
        <v>女</v>
      </c>
      <c r="F521" s="10"/>
    </row>
    <row r="522" spans="1:6" ht="30" customHeight="1">
      <c r="A522" s="9">
        <v>520</v>
      </c>
      <c r="B522" s="9" t="str">
        <f>"50322023032908542780401"</f>
        <v>50322023032908542780401</v>
      </c>
      <c r="C522" s="9" t="s">
        <v>47</v>
      </c>
      <c r="D522" s="10" t="str">
        <f>"王承科"</f>
        <v>王承科</v>
      </c>
      <c r="E522" s="9" t="str">
        <f>"男"</f>
        <v>男</v>
      </c>
      <c r="F522" s="10"/>
    </row>
    <row r="523" spans="1:6" ht="30" customHeight="1">
      <c r="A523" s="9">
        <v>521</v>
      </c>
      <c r="B523" s="9" t="str">
        <f>"50322023032914233682053"</f>
        <v>50322023032914233682053</v>
      </c>
      <c r="C523" s="9" t="s">
        <v>47</v>
      </c>
      <c r="D523" s="10" t="str">
        <f>"刘广霞"</f>
        <v>刘广霞</v>
      </c>
      <c r="E523" s="9" t="str">
        <f aca="true" t="shared" si="20" ref="E523:E538">"女"</f>
        <v>女</v>
      </c>
      <c r="F523" s="10"/>
    </row>
    <row r="524" spans="1:6" ht="30" customHeight="1">
      <c r="A524" s="9">
        <v>522</v>
      </c>
      <c r="B524" s="9" t="str">
        <f>"50322023032915340682323"</f>
        <v>50322023032915340682323</v>
      </c>
      <c r="C524" s="9" t="s">
        <v>47</v>
      </c>
      <c r="D524" s="10" t="str">
        <f>"周晓娟"</f>
        <v>周晓娟</v>
      </c>
      <c r="E524" s="9" t="str">
        <f t="shared" si="20"/>
        <v>女</v>
      </c>
      <c r="F524" s="10"/>
    </row>
    <row r="525" spans="1:6" ht="30" customHeight="1">
      <c r="A525" s="9">
        <v>523</v>
      </c>
      <c r="B525" s="9" t="str">
        <f>"50322023032916382782618"</f>
        <v>50322023032916382782618</v>
      </c>
      <c r="C525" s="9" t="s">
        <v>47</v>
      </c>
      <c r="D525" s="10" t="str">
        <f>"张亚姑"</f>
        <v>张亚姑</v>
      </c>
      <c r="E525" s="9" t="str">
        <f t="shared" si="20"/>
        <v>女</v>
      </c>
      <c r="F525" s="10"/>
    </row>
    <row r="526" spans="1:6" ht="30" customHeight="1">
      <c r="A526" s="9">
        <v>524</v>
      </c>
      <c r="B526" s="9" t="str">
        <f>"50322023032920082584503"</f>
        <v>50322023032920082584503</v>
      </c>
      <c r="C526" s="9" t="s">
        <v>47</v>
      </c>
      <c r="D526" s="10" t="str">
        <f>"蒙绪娜"</f>
        <v>蒙绪娜</v>
      </c>
      <c r="E526" s="9" t="str">
        <f t="shared" si="20"/>
        <v>女</v>
      </c>
      <c r="F526" s="10"/>
    </row>
    <row r="527" spans="1:6" ht="30" customHeight="1">
      <c r="A527" s="9">
        <v>525</v>
      </c>
      <c r="B527" s="9" t="str">
        <f>"50322023033010000985559"</f>
        <v>50322023033010000985559</v>
      </c>
      <c r="C527" s="9" t="s">
        <v>47</v>
      </c>
      <c r="D527" s="10" t="str">
        <f>"周炳惠"</f>
        <v>周炳惠</v>
      </c>
      <c r="E527" s="9" t="str">
        <f t="shared" si="20"/>
        <v>女</v>
      </c>
      <c r="F527" s="10"/>
    </row>
    <row r="528" spans="1:6" ht="30" customHeight="1">
      <c r="A528" s="9">
        <v>526</v>
      </c>
      <c r="B528" s="9" t="str">
        <f>"50322023032109082863249"</f>
        <v>50322023032109082863249</v>
      </c>
      <c r="C528" s="9" t="s">
        <v>48</v>
      </c>
      <c r="D528" s="10" t="str">
        <f>"陈向丽"</f>
        <v>陈向丽</v>
      </c>
      <c r="E528" s="9" t="str">
        <f t="shared" si="20"/>
        <v>女</v>
      </c>
      <c r="F528" s="10"/>
    </row>
    <row r="529" spans="1:6" ht="30" customHeight="1">
      <c r="A529" s="9">
        <v>527</v>
      </c>
      <c r="B529" s="9" t="str">
        <f>"50322023032109542163889"</f>
        <v>50322023032109542163889</v>
      </c>
      <c r="C529" s="9" t="s">
        <v>48</v>
      </c>
      <c r="D529" s="10" t="str">
        <f>"冯铃雅"</f>
        <v>冯铃雅</v>
      </c>
      <c r="E529" s="9" t="str">
        <f t="shared" si="20"/>
        <v>女</v>
      </c>
      <c r="F529" s="10"/>
    </row>
    <row r="530" spans="1:6" ht="30" customHeight="1">
      <c r="A530" s="9">
        <v>528</v>
      </c>
      <c r="B530" s="9" t="str">
        <f>"50322023032110341864264"</f>
        <v>50322023032110341864264</v>
      </c>
      <c r="C530" s="9" t="s">
        <v>48</v>
      </c>
      <c r="D530" s="10" t="str">
        <f>"范东永"</f>
        <v>范东永</v>
      </c>
      <c r="E530" s="9" t="str">
        <f t="shared" si="20"/>
        <v>女</v>
      </c>
      <c r="F530" s="10"/>
    </row>
    <row r="531" spans="1:6" ht="30" customHeight="1">
      <c r="A531" s="9">
        <v>529</v>
      </c>
      <c r="B531" s="9" t="str">
        <f>"50322023032111345564830"</f>
        <v>50322023032111345564830</v>
      </c>
      <c r="C531" s="9" t="s">
        <v>48</v>
      </c>
      <c r="D531" s="10" t="str">
        <f>"陈恬恬"</f>
        <v>陈恬恬</v>
      </c>
      <c r="E531" s="9" t="str">
        <f t="shared" si="20"/>
        <v>女</v>
      </c>
      <c r="F531" s="10"/>
    </row>
    <row r="532" spans="1:6" ht="30" customHeight="1">
      <c r="A532" s="9">
        <v>530</v>
      </c>
      <c r="B532" s="9" t="str">
        <f>"50322023032112384765234"</f>
        <v>50322023032112384765234</v>
      </c>
      <c r="C532" s="9" t="s">
        <v>48</v>
      </c>
      <c r="D532" s="10" t="str">
        <f>"曾颖莹"</f>
        <v>曾颖莹</v>
      </c>
      <c r="E532" s="9" t="str">
        <f t="shared" si="20"/>
        <v>女</v>
      </c>
      <c r="F532" s="10"/>
    </row>
    <row r="533" spans="1:6" ht="30" customHeight="1">
      <c r="A533" s="9">
        <v>531</v>
      </c>
      <c r="B533" s="9" t="str">
        <f>"50322023032113433965632"</f>
        <v>50322023032113433965632</v>
      </c>
      <c r="C533" s="9" t="s">
        <v>48</v>
      </c>
      <c r="D533" s="10" t="str">
        <f>"薛姑美"</f>
        <v>薛姑美</v>
      </c>
      <c r="E533" s="9" t="str">
        <f t="shared" si="20"/>
        <v>女</v>
      </c>
      <c r="F533" s="10"/>
    </row>
    <row r="534" spans="1:6" ht="30" customHeight="1">
      <c r="A534" s="9">
        <v>532</v>
      </c>
      <c r="B534" s="9" t="str">
        <f>"50322023032113574465737"</f>
        <v>50322023032113574465737</v>
      </c>
      <c r="C534" s="9" t="s">
        <v>48</v>
      </c>
      <c r="D534" s="10" t="str">
        <f>"符荣芝"</f>
        <v>符荣芝</v>
      </c>
      <c r="E534" s="9" t="str">
        <f t="shared" si="20"/>
        <v>女</v>
      </c>
      <c r="F534" s="10"/>
    </row>
    <row r="535" spans="1:6" ht="30" customHeight="1">
      <c r="A535" s="9">
        <v>533</v>
      </c>
      <c r="B535" s="9" t="str">
        <f>"50322023032116063566549"</f>
        <v>50322023032116063566549</v>
      </c>
      <c r="C535" s="9" t="s">
        <v>48</v>
      </c>
      <c r="D535" s="10" t="str">
        <f>"吴小英"</f>
        <v>吴小英</v>
      </c>
      <c r="E535" s="9" t="str">
        <f t="shared" si="20"/>
        <v>女</v>
      </c>
      <c r="F535" s="10"/>
    </row>
    <row r="536" spans="1:6" ht="30" customHeight="1">
      <c r="A536" s="9">
        <v>534</v>
      </c>
      <c r="B536" s="9" t="str">
        <f>"50322023032116151366623"</f>
        <v>50322023032116151366623</v>
      </c>
      <c r="C536" s="9" t="s">
        <v>48</v>
      </c>
      <c r="D536" s="10" t="str">
        <f>"刘夏雨"</f>
        <v>刘夏雨</v>
      </c>
      <c r="E536" s="9" t="str">
        <f t="shared" si="20"/>
        <v>女</v>
      </c>
      <c r="F536" s="10"/>
    </row>
    <row r="537" spans="1:6" ht="30" customHeight="1">
      <c r="A537" s="9">
        <v>535</v>
      </c>
      <c r="B537" s="9" t="str">
        <f>"50322023032116252666689"</f>
        <v>50322023032116252666689</v>
      </c>
      <c r="C537" s="9" t="s">
        <v>48</v>
      </c>
      <c r="D537" s="10" t="str">
        <f>"冯子彦"</f>
        <v>冯子彦</v>
      </c>
      <c r="E537" s="9" t="str">
        <f t="shared" si="20"/>
        <v>女</v>
      </c>
      <c r="F537" s="10"/>
    </row>
    <row r="538" spans="1:6" ht="30" customHeight="1">
      <c r="A538" s="9">
        <v>536</v>
      </c>
      <c r="B538" s="9" t="str">
        <f>"50322023032117392367113"</f>
        <v>50322023032117392367113</v>
      </c>
      <c r="C538" s="9" t="s">
        <v>48</v>
      </c>
      <c r="D538" s="10" t="str">
        <f>"符冬梅"</f>
        <v>符冬梅</v>
      </c>
      <c r="E538" s="9" t="str">
        <f t="shared" si="20"/>
        <v>女</v>
      </c>
      <c r="F538" s="10"/>
    </row>
    <row r="539" spans="1:6" ht="30" customHeight="1">
      <c r="A539" s="9">
        <v>537</v>
      </c>
      <c r="B539" s="9" t="str">
        <f>"50322023032209051469514"</f>
        <v>50322023032209051469514</v>
      </c>
      <c r="C539" s="9" t="s">
        <v>48</v>
      </c>
      <c r="D539" s="10" t="str">
        <f>"钟学帆"</f>
        <v>钟学帆</v>
      </c>
      <c r="E539" s="9" t="str">
        <f>"男"</f>
        <v>男</v>
      </c>
      <c r="F539" s="10"/>
    </row>
    <row r="540" spans="1:6" ht="30" customHeight="1">
      <c r="A540" s="9">
        <v>538</v>
      </c>
      <c r="B540" s="9" t="str">
        <f>"50322023032209532569787"</f>
        <v>50322023032209532569787</v>
      </c>
      <c r="C540" s="9" t="s">
        <v>48</v>
      </c>
      <c r="D540" s="10" t="str">
        <f>"董美妤"</f>
        <v>董美妤</v>
      </c>
      <c r="E540" s="9" t="str">
        <f>"女"</f>
        <v>女</v>
      </c>
      <c r="F540" s="10"/>
    </row>
    <row r="541" spans="1:6" ht="30" customHeight="1">
      <c r="A541" s="9">
        <v>539</v>
      </c>
      <c r="B541" s="9" t="str">
        <f>"50322023032211480870625"</f>
        <v>50322023032211480870625</v>
      </c>
      <c r="C541" s="9" t="s">
        <v>48</v>
      </c>
      <c r="D541" s="10" t="str">
        <f>"唐全"</f>
        <v>唐全</v>
      </c>
      <c r="E541" s="9" t="str">
        <f>"男"</f>
        <v>男</v>
      </c>
      <c r="F541" s="10"/>
    </row>
    <row r="542" spans="1:6" ht="30" customHeight="1">
      <c r="A542" s="9">
        <v>540</v>
      </c>
      <c r="B542" s="9" t="str">
        <f>"50322023032212102170750"</f>
        <v>50322023032212102170750</v>
      </c>
      <c r="C542" s="9" t="s">
        <v>48</v>
      </c>
      <c r="D542" s="10" t="str">
        <f>"吴婉依"</f>
        <v>吴婉依</v>
      </c>
      <c r="E542" s="9" t="str">
        <f aca="true" t="shared" si="21" ref="E542:E551">"女"</f>
        <v>女</v>
      </c>
      <c r="F542" s="10"/>
    </row>
    <row r="543" spans="1:6" ht="30" customHeight="1">
      <c r="A543" s="9">
        <v>541</v>
      </c>
      <c r="B543" s="9" t="str">
        <f>"50322023032218202673130"</f>
        <v>50322023032218202673130</v>
      </c>
      <c r="C543" s="9" t="s">
        <v>48</v>
      </c>
      <c r="D543" s="10" t="str">
        <f>"胡威威"</f>
        <v>胡威威</v>
      </c>
      <c r="E543" s="9" t="str">
        <f t="shared" si="21"/>
        <v>女</v>
      </c>
      <c r="F543" s="10"/>
    </row>
    <row r="544" spans="1:6" ht="30" customHeight="1">
      <c r="A544" s="9">
        <v>542</v>
      </c>
      <c r="B544" s="9" t="str">
        <f>"50322023032219105573228"</f>
        <v>50322023032219105573228</v>
      </c>
      <c r="C544" s="9" t="s">
        <v>48</v>
      </c>
      <c r="D544" s="10" t="str">
        <f>"符玉芬"</f>
        <v>符玉芬</v>
      </c>
      <c r="E544" s="9" t="str">
        <f t="shared" si="21"/>
        <v>女</v>
      </c>
      <c r="F544" s="10"/>
    </row>
    <row r="545" spans="1:6" ht="30" customHeight="1">
      <c r="A545" s="9">
        <v>543</v>
      </c>
      <c r="B545" s="9" t="str">
        <f>"50322023032219321873259"</f>
        <v>50322023032219321873259</v>
      </c>
      <c r="C545" s="9" t="s">
        <v>48</v>
      </c>
      <c r="D545" s="10" t="str">
        <f>"周艳"</f>
        <v>周艳</v>
      </c>
      <c r="E545" s="9" t="str">
        <f t="shared" si="21"/>
        <v>女</v>
      </c>
      <c r="F545" s="10"/>
    </row>
    <row r="546" spans="1:6" ht="30" customHeight="1">
      <c r="A546" s="9">
        <v>544</v>
      </c>
      <c r="B546" s="9" t="str">
        <f>"50322023032219404773271"</f>
        <v>50322023032219404773271</v>
      </c>
      <c r="C546" s="9" t="s">
        <v>48</v>
      </c>
      <c r="D546" s="10" t="str">
        <f>"黄丽婉"</f>
        <v>黄丽婉</v>
      </c>
      <c r="E546" s="9" t="str">
        <f t="shared" si="21"/>
        <v>女</v>
      </c>
      <c r="F546" s="10"/>
    </row>
    <row r="547" spans="1:6" ht="30" customHeight="1">
      <c r="A547" s="9">
        <v>545</v>
      </c>
      <c r="B547" s="9" t="str">
        <f>"50322023032309522573979"</f>
        <v>50322023032309522573979</v>
      </c>
      <c r="C547" s="9" t="s">
        <v>48</v>
      </c>
      <c r="D547" s="10" t="str">
        <f>"王芳"</f>
        <v>王芳</v>
      </c>
      <c r="E547" s="9" t="str">
        <f t="shared" si="21"/>
        <v>女</v>
      </c>
      <c r="F547" s="11" t="s">
        <v>49</v>
      </c>
    </row>
    <row r="548" spans="1:6" ht="30" customHeight="1">
      <c r="A548" s="9">
        <v>546</v>
      </c>
      <c r="B548" s="9" t="str">
        <f>"50322023032310034774003"</f>
        <v>50322023032310034774003</v>
      </c>
      <c r="C548" s="9" t="s">
        <v>48</v>
      </c>
      <c r="D548" s="10" t="str">
        <f>"林丽"</f>
        <v>林丽</v>
      </c>
      <c r="E548" s="9" t="str">
        <f t="shared" si="21"/>
        <v>女</v>
      </c>
      <c r="F548" s="10"/>
    </row>
    <row r="549" spans="1:6" ht="30" customHeight="1">
      <c r="A549" s="9">
        <v>547</v>
      </c>
      <c r="B549" s="9" t="str">
        <f>"50322023032310390774090"</f>
        <v>50322023032310390774090</v>
      </c>
      <c r="C549" s="9" t="s">
        <v>48</v>
      </c>
      <c r="D549" s="10" t="str">
        <f>"吉才红"</f>
        <v>吉才红</v>
      </c>
      <c r="E549" s="9" t="str">
        <f t="shared" si="21"/>
        <v>女</v>
      </c>
      <c r="F549" s="10"/>
    </row>
    <row r="550" spans="1:6" ht="30" customHeight="1">
      <c r="A550" s="9">
        <v>548</v>
      </c>
      <c r="B550" s="9" t="str">
        <f>"50322023032317485474897"</f>
        <v>50322023032317485474897</v>
      </c>
      <c r="C550" s="9" t="s">
        <v>48</v>
      </c>
      <c r="D550" s="10" t="str">
        <f>"刘桃桃"</f>
        <v>刘桃桃</v>
      </c>
      <c r="E550" s="9" t="str">
        <f t="shared" si="21"/>
        <v>女</v>
      </c>
      <c r="F550" s="10"/>
    </row>
    <row r="551" spans="1:6" ht="30" customHeight="1">
      <c r="A551" s="9">
        <v>549</v>
      </c>
      <c r="B551" s="9" t="str">
        <f>"50322023032321443475183"</f>
        <v>50322023032321443475183</v>
      </c>
      <c r="C551" s="9" t="s">
        <v>48</v>
      </c>
      <c r="D551" s="10" t="str">
        <f>"陈少曼"</f>
        <v>陈少曼</v>
      </c>
      <c r="E551" s="9" t="str">
        <f t="shared" si="21"/>
        <v>女</v>
      </c>
      <c r="F551" s="10"/>
    </row>
    <row r="552" spans="1:6" ht="30" customHeight="1">
      <c r="A552" s="9">
        <v>550</v>
      </c>
      <c r="B552" s="9" t="str">
        <f>"50322023032409593275527"</f>
        <v>50322023032409593275527</v>
      </c>
      <c r="C552" s="9" t="s">
        <v>48</v>
      </c>
      <c r="D552" s="10" t="str">
        <f>"陈舒"</f>
        <v>陈舒</v>
      </c>
      <c r="E552" s="9" t="str">
        <f>"男"</f>
        <v>男</v>
      </c>
      <c r="F552" s="10"/>
    </row>
    <row r="553" spans="1:6" ht="30" customHeight="1">
      <c r="A553" s="9">
        <v>551</v>
      </c>
      <c r="B553" s="9" t="str">
        <f>"50322023032411265775654"</f>
        <v>50322023032411265775654</v>
      </c>
      <c r="C553" s="9" t="s">
        <v>48</v>
      </c>
      <c r="D553" s="10" t="str">
        <f>"黄乙玲"</f>
        <v>黄乙玲</v>
      </c>
      <c r="E553" s="9" t="str">
        <f aca="true" t="shared" si="22" ref="E553:E592">"女"</f>
        <v>女</v>
      </c>
      <c r="F553" s="10"/>
    </row>
    <row r="554" spans="1:6" ht="30" customHeight="1">
      <c r="A554" s="9">
        <v>552</v>
      </c>
      <c r="B554" s="9" t="str">
        <f>"50322023032411501175686"</f>
        <v>50322023032411501175686</v>
      </c>
      <c r="C554" s="9" t="s">
        <v>48</v>
      </c>
      <c r="D554" s="10" t="str">
        <f>"蔡微微"</f>
        <v>蔡微微</v>
      </c>
      <c r="E554" s="9" t="str">
        <f t="shared" si="22"/>
        <v>女</v>
      </c>
      <c r="F554" s="10"/>
    </row>
    <row r="555" spans="1:6" ht="30" customHeight="1">
      <c r="A555" s="9">
        <v>553</v>
      </c>
      <c r="B555" s="9" t="str">
        <f>"50322023032413331375850"</f>
        <v>50322023032413331375850</v>
      </c>
      <c r="C555" s="9" t="s">
        <v>48</v>
      </c>
      <c r="D555" s="10" t="str">
        <f>"袁楠"</f>
        <v>袁楠</v>
      </c>
      <c r="E555" s="9" t="str">
        <f t="shared" si="22"/>
        <v>女</v>
      </c>
      <c r="F555" s="10"/>
    </row>
    <row r="556" spans="1:6" ht="30" customHeight="1">
      <c r="A556" s="9">
        <v>554</v>
      </c>
      <c r="B556" s="9" t="str">
        <f>"50322023032416434376106"</f>
        <v>50322023032416434376106</v>
      </c>
      <c r="C556" s="9" t="s">
        <v>48</v>
      </c>
      <c r="D556" s="10" t="str">
        <f>"张名娟"</f>
        <v>张名娟</v>
      </c>
      <c r="E556" s="9" t="str">
        <f t="shared" si="22"/>
        <v>女</v>
      </c>
      <c r="F556" s="10"/>
    </row>
    <row r="557" spans="1:6" ht="30" customHeight="1">
      <c r="A557" s="9">
        <v>555</v>
      </c>
      <c r="B557" s="9" t="str">
        <f>"50322023032421270676373"</f>
        <v>50322023032421270676373</v>
      </c>
      <c r="C557" s="9" t="s">
        <v>48</v>
      </c>
      <c r="D557" s="10" t="str">
        <f>"薛伟积"</f>
        <v>薛伟积</v>
      </c>
      <c r="E557" s="9" t="str">
        <f t="shared" si="22"/>
        <v>女</v>
      </c>
      <c r="F557" s="10"/>
    </row>
    <row r="558" spans="1:6" ht="30" customHeight="1">
      <c r="A558" s="9">
        <v>556</v>
      </c>
      <c r="B558" s="9" t="str">
        <f>"50322023032422223776419"</f>
        <v>50322023032422223776419</v>
      </c>
      <c r="C558" s="9" t="s">
        <v>48</v>
      </c>
      <c r="D558" s="10" t="str">
        <f>"谢克振"</f>
        <v>谢克振</v>
      </c>
      <c r="E558" s="9" t="str">
        <f t="shared" si="22"/>
        <v>女</v>
      </c>
      <c r="F558" s="10"/>
    </row>
    <row r="559" spans="1:6" ht="30" customHeight="1">
      <c r="A559" s="9">
        <v>557</v>
      </c>
      <c r="B559" s="9" t="str">
        <f>"50322023032422301276426"</f>
        <v>50322023032422301276426</v>
      </c>
      <c r="C559" s="9" t="s">
        <v>48</v>
      </c>
      <c r="D559" s="10" t="str">
        <f>"王红玲"</f>
        <v>王红玲</v>
      </c>
      <c r="E559" s="9" t="str">
        <f t="shared" si="22"/>
        <v>女</v>
      </c>
      <c r="F559" s="10"/>
    </row>
    <row r="560" spans="1:6" ht="30" customHeight="1">
      <c r="A560" s="9">
        <v>558</v>
      </c>
      <c r="B560" s="9" t="str">
        <f>"50322023032508134876505"</f>
        <v>50322023032508134876505</v>
      </c>
      <c r="C560" s="9" t="s">
        <v>48</v>
      </c>
      <c r="D560" s="10" t="str">
        <f>"许青"</f>
        <v>许青</v>
      </c>
      <c r="E560" s="9" t="str">
        <f t="shared" si="22"/>
        <v>女</v>
      </c>
      <c r="F560" s="10"/>
    </row>
    <row r="561" spans="1:6" ht="30" customHeight="1">
      <c r="A561" s="9">
        <v>559</v>
      </c>
      <c r="B561" s="9" t="str">
        <f>"50322023032510114076586"</f>
        <v>50322023032510114076586</v>
      </c>
      <c r="C561" s="9" t="s">
        <v>48</v>
      </c>
      <c r="D561" s="10" t="str">
        <f>"罗德翠"</f>
        <v>罗德翠</v>
      </c>
      <c r="E561" s="9" t="str">
        <f t="shared" si="22"/>
        <v>女</v>
      </c>
      <c r="F561" s="10"/>
    </row>
    <row r="562" spans="1:6" ht="30" customHeight="1">
      <c r="A562" s="9">
        <v>560</v>
      </c>
      <c r="B562" s="9" t="str">
        <f>"50322023032523461077222"</f>
        <v>50322023032523461077222</v>
      </c>
      <c r="C562" s="9" t="s">
        <v>48</v>
      </c>
      <c r="D562" s="10" t="str">
        <f>"董佳佳"</f>
        <v>董佳佳</v>
      </c>
      <c r="E562" s="9" t="str">
        <f t="shared" si="22"/>
        <v>女</v>
      </c>
      <c r="F562" s="10"/>
    </row>
    <row r="563" spans="1:6" ht="30" customHeight="1">
      <c r="A563" s="9">
        <v>561</v>
      </c>
      <c r="B563" s="9" t="str">
        <f>"50322023032602303777246"</f>
        <v>50322023032602303777246</v>
      </c>
      <c r="C563" s="9" t="s">
        <v>48</v>
      </c>
      <c r="D563" s="10" t="str">
        <f>"邢贞莹"</f>
        <v>邢贞莹</v>
      </c>
      <c r="E563" s="9" t="str">
        <f t="shared" si="22"/>
        <v>女</v>
      </c>
      <c r="F563" s="10"/>
    </row>
    <row r="564" spans="1:6" ht="30" customHeight="1">
      <c r="A564" s="9">
        <v>562</v>
      </c>
      <c r="B564" s="9" t="str">
        <f>"50322023032615042777441"</f>
        <v>50322023032615042777441</v>
      </c>
      <c r="C564" s="9" t="s">
        <v>48</v>
      </c>
      <c r="D564" s="10" t="str">
        <f>"宋如"</f>
        <v>宋如</v>
      </c>
      <c r="E564" s="9" t="str">
        <f t="shared" si="22"/>
        <v>女</v>
      </c>
      <c r="F564" s="10"/>
    </row>
    <row r="565" spans="1:6" ht="30" customHeight="1">
      <c r="A565" s="9">
        <v>563</v>
      </c>
      <c r="B565" s="9" t="str">
        <f>"50322023032623224577748"</f>
        <v>50322023032623224577748</v>
      </c>
      <c r="C565" s="9" t="s">
        <v>48</v>
      </c>
      <c r="D565" s="10" t="str">
        <f>"林能玲"</f>
        <v>林能玲</v>
      </c>
      <c r="E565" s="9" t="str">
        <f t="shared" si="22"/>
        <v>女</v>
      </c>
      <c r="F565" s="10"/>
    </row>
    <row r="566" spans="1:6" ht="30" customHeight="1">
      <c r="A566" s="9">
        <v>564</v>
      </c>
      <c r="B566" s="9" t="str">
        <f>"50322023032709512977970"</f>
        <v>50322023032709512977970</v>
      </c>
      <c r="C566" s="9" t="s">
        <v>48</v>
      </c>
      <c r="D566" s="10" t="str">
        <f>"王锡慧"</f>
        <v>王锡慧</v>
      </c>
      <c r="E566" s="9" t="str">
        <f t="shared" si="22"/>
        <v>女</v>
      </c>
      <c r="F566" s="10"/>
    </row>
    <row r="567" spans="1:6" ht="30" customHeight="1">
      <c r="A567" s="9">
        <v>565</v>
      </c>
      <c r="B567" s="9" t="str">
        <f>"50322023032811140479391"</f>
        <v>50322023032811140479391</v>
      </c>
      <c r="C567" s="9" t="s">
        <v>48</v>
      </c>
      <c r="D567" s="10" t="str">
        <f>"解溥"</f>
        <v>解溥</v>
      </c>
      <c r="E567" s="9" t="str">
        <f t="shared" si="22"/>
        <v>女</v>
      </c>
      <c r="F567" s="10"/>
    </row>
    <row r="568" spans="1:6" ht="30" customHeight="1">
      <c r="A568" s="9">
        <v>566</v>
      </c>
      <c r="B568" s="9" t="str">
        <f>"50322023032811233879401"</f>
        <v>50322023032811233879401</v>
      </c>
      <c r="C568" s="9" t="s">
        <v>48</v>
      </c>
      <c r="D568" s="10" t="str">
        <f>"王晶"</f>
        <v>王晶</v>
      </c>
      <c r="E568" s="9" t="str">
        <f t="shared" si="22"/>
        <v>女</v>
      </c>
      <c r="F568" s="11" t="s">
        <v>50</v>
      </c>
    </row>
    <row r="569" spans="1:6" ht="30" customHeight="1">
      <c r="A569" s="9">
        <v>567</v>
      </c>
      <c r="B569" s="9" t="str">
        <f>"50322023032823323380289"</f>
        <v>50322023032823323380289</v>
      </c>
      <c r="C569" s="9" t="s">
        <v>48</v>
      </c>
      <c r="D569" s="10" t="str">
        <f>"文海婷"</f>
        <v>文海婷</v>
      </c>
      <c r="E569" s="9" t="str">
        <f t="shared" si="22"/>
        <v>女</v>
      </c>
      <c r="F569" s="10"/>
    </row>
    <row r="570" spans="1:6" ht="30" customHeight="1">
      <c r="A570" s="9">
        <v>568</v>
      </c>
      <c r="B570" s="9" t="str">
        <f>"50322023032900190980319"</f>
        <v>50322023032900190980319</v>
      </c>
      <c r="C570" s="9" t="s">
        <v>48</v>
      </c>
      <c r="D570" s="10" t="str">
        <f>"孙婧莹"</f>
        <v>孙婧莹</v>
      </c>
      <c r="E570" s="9" t="str">
        <f t="shared" si="22"/>
        <v>女</v>
      </c>
      <c r="F570" s="10"/>
    </row>
    <row r="571" spans="1:6" ht="30" customHeight="1">
      <c r="A571" s="9">
        <v>569</v>
      </c>
      <c r="B571" s="9" t="str">
        <f>"50322023032909125980565"</f>
        <v>50322023032909125980565</v>
      </c>
      <c r="C571" s="9" t="s">
        <v>48</v>
      </c>
      <c r="D571" s="10" t="str">
        <f>"黄杏丁"</f>
        <v>黄杏丁</v>
      </c>
      <c r="E571" s="9" t="str">
        <f t="shared" si="22"/>
        <v>女</v>
      </c>
      <c r="F571" s="10"/>
    </row>
    <row r="572" spans="1:6" ht="30" customHeight="1">
      <c r="A572" s="9">
        <v>570</v>
      </c>
      <c r="B572" s="9" t="str">
        <f>"50322023032909563980911"</f>
        <v>50322023032909563980911</v>
      </c>
      <c r="C572" s="9" t="s">
        <v>48</v>
      </c>
      <c r="D572" s="10" t="str">
        <f>"朱奕烹"</f>
        <v>朱奕烹</v>
      </c>
      <c r="E572" s="9" t="str">
        <f t="shared" si="22"/>
        <v>女</v>
      </c>
      <c r="F572" s="10"/>
    </row>
    <row r="573" spans="1:6" ht="30" customHeight="1">
      <c r="A573" s="9">
        <v>571</v>
      </c>
      <c r="B573" s="9" t="str">
        <f>"50322023032910572081266"</f>
        <v>50322023032910572081266</v>
      </c>
      <c r="C573" s="9" t="s">
        <v>48</v>
      </c>
      <c r="D573" s="10" t="str">
        <f>"陈小慧"</f>
        <v>陈小慧</v>
      </c>
      <c r="E573" s="9" t="str">
        <f t="shared" si="22"/>
        <v>女</v>
      </c>
      <c r="F573" s="10"/>
    </row>
    <row r="574" spans="1:6" ht="30" customHeight="1">
      <c r="A574" s="9">
        <v>572</v>
      </c>
      <c r="B574" s="9" t="str">
        <f>"50322023032911382681481"</f>
        <v>50322023032911382681481</v>
      </c>
      <c r="C574" s="9" t="s">
        <v>48</v>
      </c>
      <c r="D574" s="10" t="str">
        <f>"薛慧芳"</f>
        <v>薛慧芳</v>
      </c>
      <c r="E574" s="9" t="str">
        <f t="shared" si="22"/>
        <v>女</v>
      </c>
      <c r="F574" s="10"/>
    </row>
    <row r="575" spans="1:6" ht="30" customHeight="1">
      <c r="A575" s="9">
        <v>573</v>
      </c>
      <c r="B575" s="9" t="str">
        <f>"50322023032915064882222"</f>
        <v>50322023032915064882222</v>
      </c>
      <c r="C575" s="9" t="s">
        <v>48</v>
      </c>
      <c r="D575" s="10" t="str">
        <f>"陈贤娃"</f>
        <v>陈贤娃</v>
      </c>
      <c r="E575" s="9" t="str">
        <f t="shared" si="22"/>
        <v>女</v>
      </c>
      <c r="F575" s="10"/>
    </row>
    <row r="576" spans="1:6" ht="30" customHeight="1">
      <c r="A576" s="9">
        <v>574</v>
      </c>
      <c r="B576" s="9" t="str">
        <f>"50322023032916152382503"</f>
        <v>50322023032916152382503</v>
      </c>
      <c r="C576" s="9" t="s">
        <v>48</v>
      </c>
      <c r="D576" s="10" t="str">
        <f>"黎基敏"</f>
        <v>黎基敏</v>
      </c>
      <c r="E576" s="9" t="str">
        <f t="shared" si="22"/>
        <v>女</v>
      </c>
      <c r="F576" s="10"/>
    </row>
    <row r="577" spans="1:6" ht="30" customHeight="1">
      <c r="A577" s="9">
        <v>575</v>
      </c>
      <c r="B577" s="9" t="str">
        <f>"50322023032917004782898"</f>
        <v>50322023032917004782898</v>
      </c>
      <c r="C577" s="9" t="s">
        <v>48</v>
      </c>
      <c r="D577" s="10" t="str">
        <f>"倪娇娇"</f>
        <v>倪娇娇</v>
      </c>
      <c r="E577" s="9" t="str">
        <f t="shared" si="22"/>
        <v>女</v>
      </c>
      <c r="F577" s="10"/>
    </row>
    <row r="578" spans="1:6" ht="30" customHeight="1">
      <c r="A578" s="9">
        <v>576</v>
      </c>
      <c r="B578" s="9" t="str">
        <f>"50322023032917211483722"</f>
        <v>50322023032917211483722</v>
      </c>
      <c r="C578" s="9" t="s">
        <v>48</v>
      </c>
      <c r="D578" s="10" t="str">
        <f>"张薇"</f>
        <v>张薇</v>
      </c>
      <c r="E578" s="9" t="str">
        <f t="shared" si="22"/>
        <v>女</v>
      </c>
      <c r="F578" s="10"/>
    </row>
    <row r="579" spans="1:6" ht="30" customHeight="1">
      <c r="A579" s="9">
        <v>577</v>
      </c>
      <c r="B579" s="9" t="str">
        <f>"50322023032919004584283"</f>
        <v>50322023032919004584283</v>
      </c>
      <c r="C579" s="9" t="s">
        <v>48</v>
      </c>
      <c r="D579" s="10" t="str">
        <f>"周晶晶"</f>
        <v>周晶晶</v>
      </c>
      <c r="E579" s="9" t="str">
        <f t="shared" si="22"/>
        <v>女</v>
      </c>
      <c r="F579" s="10"/>
    </row>
    <row r="580" spans="1:6" ht="30" customHeight="1">
      <c r="A580" s="9">
        <v>578</v>
      </c>
      <c r="B580" s="9" t="str">
        <f>"50322023032920350584580"</f>
        <v>50322023032920350584580</v>
      </c>
      <c r="C580" s="9" t="s">
        <v>48</v>
      </c>
      <c r="D580" s="10" t="str">
        <f>"唐梦菊"</f>
        <v>唐梦菊</v>
      </c>
      <c r="E580" s="9" t="str">
        <f t="shared" si="22"/>
        <v>女</v>
      </c>
      <c r="F580" s="10"/>
    </row>
    <row r="581" spans="1:6" ht="30" customHeight="1">
      <c r="A581" s="9">
        <v>579</v>
      </c>
      <c r="B581" s="9" t="str">
        <f>"50322023032921513484801"</f>
        <v>50322023032921513484801</v>
      </c>
      <c r="C581" s="9" t="s">
        <v>48</v>
      </c>
      <c r="D581" s="10" t="str">
        <f>"张文亚"</f>
        <v>张文亚</v>
      </c>
      <c r="E581" s="9" t="str">
        <f t="shared" si="22"/>
        <v>女</v>
      </c>
      <c r="F581" s="10"/>
    </row>
    <row r="582" spans="1:6" ht="30" customHeight="1">
      <c r="A582" s="9">
        <v>580</v>
      </c>
      <c r="B582" s="9" t="str">
        <f>"50322023033010255185680"</f>
        <v>50322023033010255185680</v>
      </c>
      <c r="C582" s="9" t="s">
        <v>48</v>
      </c>
      <c r="D582" s="10" t="str">
        <f>"林道萍"</f>
        <v>林道萍</v>
      </c>
      <c r="E582" s="9" t="str">
        <f t="shared" si="22"/>
        <v>女</v>
      </c>
      <c r="F582" s="10"/>
    </row>
    <row r="583" spans="1:6" ht="30" customHeight="1">
      <c r="A583" s="9">
        <v>581</v>
      </c>
      <c r="B583" s="9" t="str">
        <f>"50322023032108162862993"</f>
        <v>50322023032108162862993</v>
      </c>
      <c r="C583" s="9" t="s">
        <v>51</v>
      </c>
      <c r="D583" s="10" t="str">
        <f>"刘岩"</f>
        <v>刘岩</v>
      </c>
      <c r="E583" s="9" t="str">
        <f t="shared" si="22"/>
        <v>女</v>
      </c>
      <c r="F583" s="10"/>
    </row>
    <row r="584" spans="1:6" ht="30" customHeight="1">
      <c r="A584" s="9">
        <v>582</v>
      </c>
      <c r="B584" s="9" t="str">
        <f>"50322023032420222576307"</f>
        <v>50322023032420222576307</v>
      </c>
      <c r="C584" s="9" t="s">
        <v>51</v>
      </c>
      <c r="D584" s="10" t="str">
        <f>"杨洋"</f>
        <v>杨洋</v>
      </c>
      <c r="E584" s="9" t="str">
        <f t="shared" si="22"/>
        <v>女</v>
      </c>
      <c r="F584" s="10"/>
    </row>
    <row r="585" spans="1:6" ht="30" customHeight="1">
      <c r="A585" s="9">
        <v>583</v>
      </c>
      <c r="B585" s="9" t="str">
        <f>"50322023032615444777467"</f>
        <v>50322023032615444777467</v>
      </c>
      <c r="C585" s="9" t="s">
        <v>51</v>
      </c>
      <c r="D585" s="10" t="str">
        <f>"刘瑜  "</f>
        <v>刘瑜  </v>
      </c>
      <c r="E585" s="9" t="str">
        <f t="shared" si="22"/>
        <v>女</v>
      </c>
      <c r="F585" s="10"/>
    </row>
    <row r="586" spans="1:6" ht="30" customHeight="1">
      <c r="A586" s="9">
        <v>584</v>
      </c>
      <c r="B586" s="9" t="str">
        <f>"50322023032708472277813"</f>
        <v>50322023032708472277813</v>
      </c>
      <c r="C586" s="9" t="s">
        <v>51</v>
      </c>
      <c r="D586" s="10" t="str">
        <f>"范媛媛"</f>
        <v>范媛媛</v>
      </c>
      <c r="E586" s="9" t="str">
        <f t="shared" si="22"/>
        <v>女</v>
      </c>
      <c r="F586" s="10"/>
    </row>
    <row r="587" spans="1:6" ht="30" customHeight="1">
      <c r="A587" s="9">
        <v>585</v>
      </c>
      <c r="B587" s="9" t="str">
        <f>"50322023032920345684579"</f>
        <v>50322023032920345684579</v>
      </c>
      <c r="C587" s="9" t="s">
        <v>51</v>
      </c>
      <c r="D587" s="10" t="str">
        <f>"黄莉"</f>
        <v>黄莉</v>
      </c>
      <c r="E587" s="9" t="str">
        <f t="shared" si="22"/>
        <v>女</v>
      </c>
      <c r="F587" s="10"/>
    </row>
    <row r="588" spans="1:6" ht="30" customHeight="1">
      <c r="A588" s="9">
        <v>586</v>
      </c>
      <c r="B588" s="9" t="str">
        <f>"50322023033008084185169"</f>
        <v>50322023033008084185169</v>
      </c>
      <c r="C588" s="9" t="s">
        <v>51</v>
      </c>
      <c r="D588" s="10" t="str">
        <f>"王丽莉"</f>
        <v>王丽莉</v>
      </c>
      <c r="E588" s="9" t="str">
        <f t="shared" si="22"/>
        <v>女</v>
      </c>
      <c r="F588" s="10"/>
    </row>
    <row r="589" spans="1:6" ht="30" customHeight="1">
      <c r="A589" s="9">
        <v>587</v>
      </c>
      <c r="B589" s="9" t="str">
        <f>"50322023032416064776058"</f>
        <v>50322023032416064776058</v>
      </c>
      <c r="C589" s="9" t="s">
        <v>52</v>
      </c>
      <c r="D589" s="10" t="str">
        <f>"李毅超"</f>
        <v>李毅超</v>
      </c>
      <c r="E589" s="9" t="str">
        <f t="shared" si="22"/>
        <v>女</v>
      </c>
      <c r="F589" s="10"/>
    </row>
    <row r="590" spans="1:6" ht="30" customHeight="1">
      <c r="A590" s="9">
        <v>588</v>
      </c>
      <c r="B590" s="9" t="str">
        <f>"50322023032614534577431"</f>
        <v>50322023032614534577431</v>
      </c>
      <c r="C590" s="9" t="s">
        <v>52</v>
      </c>
      <c r="D590" s="10" t="str">
        <f>"陈海文"</f>
        <v>陈海文</v>
      </c>
      <c r="E590" s="9" t="str">
        <f t="shared" si="22"/>
        <v>女</v>
      </c>
      <c r="F590" s="10"/>
    </row>
    <row r="591" spans="1:6" ht="30" customHeight="1">
      <c r="A591" s="9">
        <v>589</v>
      </c>
      <c r="B591" s="9" t="str">
        <f>"50322023032915445782364"</f>
        <v>50322023032915445782364</v>
      </c>
      <c r="C591" s="9" t="s">
        <v>52</v>
      </c>
      <c r="D591" s="10" t="str">
        <f>"杨丽红"</f>
        <v>杨丽红</v>
      </c>
      <c r="E591" s="9" t="str">
        <f t="shared" si="22"/>
        <v>女</v>
      </c>
      <c r="F591" s="10"/>
    </row>
    <row r="592" spans="1:6" ht="30" customHeight="1">
      <c r="A592" s="9">
        <v>590</v>
      </c>
      <c r="B592" s="9" t="str">
        <f>"50322023033009164285370"</f>
        <v>50322023033009164285370</v>
      </c>
      <c r="C592" s="9" t="s">
        <v>52</v>
      </c>
      <c r="D592" s="10" t="str">
        <f>"阳鹏"</f>
        <v>阳鹏</v>
      </c>
      <c r="E592" s="9" t="str">
        <f t="shared" si="22"/>
        <v>女</v>
      </c>
      <c r="F592" s="10"/>
    </row>
    <row r="593" spans="1:6" ht="30" customHeight="1">
      <c r="A593" s="9">
        <v>591</v>
      </c>
      <c r="B593" s="9" t="str">
        <f>"50322023032111442764908"</f>
        <v>50322023032111442764908</v>
      </c>
      <c r="C593" s="9" t="s">
        <v>53</v>
      </c>
      <c r="D593" s="10" t="str">
        <f>"符新勋"</f>
        <v>符新勋</v>
      </c>
      <c r="E593" s="9" t="str">
        <f>"男"</f>
        <v>男</v>
      </c>
      <c r="F593" s="10"/>
    </row>
    <row r="594" spans="1:6" ht="30" customHeight="1">
      <c r="A594" s="9">
        <v>592</v>
      </c>
      <c r="B594" s="9" t="str">
        <f>"50322023032112324665203"</f>
        <v>50322023032112324665203</v>
      </c>
      <c r="C594" s="9" t="s">
        <v>53</v>
      </c>
      <c r="D594" s="10" t="str">
        <f>"黄丹婷"</f>
        <v>黄丹婷</v>
      </c>
      <c r="E594" s="9" t="str">
        <f>"女"</f>
        <v>女</v>
      </c>
      <c r="F594" s="10"/>
    </row>
    <row r="595" spans="1:6" ht="30" customHeight="1">
      <c r="A595" s="9">
        <v>593</v>
      </c>
      <c r="B595" s="9" t="str">
        <f>"50322023032709134777872"</f>
        <v>50322023032709134777872</v>
      </c>
      <c r="C595" s="9" t="s">
        <v>53</v>
      </c>
      <c r="D595" s="10" t="str">
        <f>"查代炜"</f>
        <v>查代炜</v>
      </c>
      <c r="E595" s="9" t="str">
        <f>"男"</f>
        <v>男</v>
      </c>
      <c r="F595" s="10"/>
    </row>
    <row r="596" spans="1:6" ht="30" customHeight="1">
      <c r="A596" s="9">
        <v>594</v>
      </c>
      <c r="B596" s="9" t="str">
        <f>"50322023033007583685153"</f>
        <v>50322023033007583685153</v>
      </c>
      <c r="C596" s="9" t="s">
        <v>53</v>
      </c>
      <c r="D596" s="10" t="str">
        <f>"符家乐"</f>
        <v>符家乐</v>
      </c>
      <c r="E596" s="9" t="str">
        <f>"男"</f>
        <v>男</v>
      </c>
      <c r="F596" s="10"/>
    </row>
    <row r="597" spans="1:6" ht="30" customHeight="1">
      <c r="A597" s="9">
        <v>595</v>
      </c>
      <c r="B597" s="9" t="str">
        <f>"50322023032115344166316"</f>
        <v>50322023032115344166316</v>
      </c>
      <c r="C597" s="9" t="s">
        <v>54</v>
      </c>
      <c r="D597" s="10" t="str">
        <f>"汤朝"</f>
        <v>汤朝</v>
      </c>
      <c r="E597" s="9" t="str">
        <f>"男"</f>
        <v>男</v>
      </c>
      <c r="F597" s="10"/>
    </row>
    <row r="598" spans="1:6" ht="30" customHeight="1">
      <c r="A598" s="9">
        <v>596</v>
      </c>
      <c r="B598" s="9" t="str">
        <f>"50322023032218103773108"</f>
        <v>50322023032218103773108</v>
      </c>
      <c r="C598" s="9" t="s">
        <v>54</v>
      </c>
      <c r="D598" s="10" t="str">
        <f>"陈歆馨"</f>
        <v>陈歆馨</v>
      </c>
      <c r="E598" s="9" t="str">
        <f aca="true" t="shared" si="23" ref="E598:E626">"女"</f>
        <v>女</v>
      </c>
      <c r="F598" s="10"/>
    </row>
    <row r="599" spans="1:6" ht="30" customHeight="1">
      <c r="A599" s="9">
        <v>597</v>
      </c>
      <c r="B599" s="9" t="str">
        <f>"50322023032221033973439"</f>
        <v>50322023032221033973439</v>
      </c>
      <c r="C599" s="9" t="s">
        <v>54</v>
      </c>
      <c r="D599" s="10" t="str">
        <f>"吴秀丽"</f>
        <v>吴秀丽</v>
      </c>
      <c r="E599" s="9" t="str">
        <f t="shared" si="23"/>
        <v>女</v>
      </c>
      <c r="F599" s="10"/>
    </row>
    <row r="600" spans="1:6" ht="30" customHeight="1">
      <c r="A600" s="9">
        <v>598</v>
      </c>
      <c r="B600" s="9" t="str">
        <f>"50322023032221354173499"</f>
        <v>50322023032221354173499</v>
      </c>
      <c r="C600" s="9" t="s">
        <v>54</v>
      </c>
      <c r="D600" s="10" t="str">
        <f>"王其妮"</f>
        <v>王其妮</v>
      </c>
      <c r="E600" s="9" t="str">
        <f t="shared" si="23"/>
        <v>女</v>
      </c>
      <c r="F600" s="10"/>
    </row>
    <row r="601" spans="1:6" ht="30" customHeight="1">
      <c r="A601" s="9">
        <v>599</v>
      </c>
      <c r="B601" s="9" t="str">
        <f>"50322023032301364073781"</f>
        <v>50322023032301364073781</v>
      </c>
      <c r="C601" s="9" t="s">
        <v>54</v>
      </c>
      <c r="D601" s="10" t="str">
        <f>"钟海玉"</f>
        <v>钟海玉</v>
      </c>
      <c r="E601" s="9" t="str">
        <f t="shared" si="23"/>
        <v>女</v>
      </c>
      <c r="F601" s="10"/>
    </row>
    <row r="602" spans="1:6" ht="30" customHeight="1">
      <c r="A602" s="9">
        <v>600</v>
      </c>
      <c r="B602" s="9" t="str">
        <f>"50322023032311094474172"</f>
        <v>50322023032311094474172</v>
      </c>
      <c r="C602" s="9" t="s">
        <v>54</v>
      </c>
      <c r="D602" s="10" t="str">
        <f>"陈爱兰"</f>
        <v>陈爱兰</v>
      </c>
      <c r="E602" s="9" t="str">
        <f t="shared" si="23"/>
        <v>女</v>
      </c>
      <c r="F602" s="10"/>
    </row>
    <row r="603" spans="1:6" ht="30" customHeight="1">
      <c r="A603" s="9">
        <v>601</v>
      </c>
      <c r="B603" s="9" t="str">
        <f>"50322023032420184376298"</f>
        <v>50322023032420184376298</v>
      </c>
      <c r="C603" s="9" t="s">
        <v>54</v>
      </c>
      <c r="D603" s="10" t="str">
        <f>"韩慧婷"</f>
        <v>韩慧婷</v>
      </c>
      <c r="E603" s="9" t="str">
        <f t="shared" si="23"/>
        <v>女</v>
      </c>
      <c r="F603" s="10"/>
    </row>
    <row r="604" spans="1:6" ht="30" customHeight="1">
      <c r="A604" s="9">
        <v>602</v>
      </c>
      <c r="B604" s="9" t="str">
        <f>"50322023032512011476710"</f>
        <v>50322023032512011476710</v>
      </c>
      <c r="C604" s="9" t="s">
        <v>54</v>
      </c>
      <c r="D604" s="10" t="str">
        <f>"郭秀春"</f>
        <v>郭秀春</v>
      </c>
      <c r="E604" s="9" t="str">
        <f t="shared" si="23"/>
        <v>女</v>
      </c>
      <c r="F604" s="10"/>
    </row>
    <row r="605" spans="1:6" ht="30" customHeight="1">
      <c r="A605" s="9">
        <v>603</v>
      </c>
      <c r="B605" s="9" t="str">
        <f>"50322023032513592276824"</f>
        <v>50322023032513592276824</v>
      </c>
      <c r="C605" s="9" t="s">
        <v>54</v>
      </c>
      <c r="D605" s="10" t="str">
        <f>"郑碧琳"</f>
        <v>郑碧琳</v>
      </c>
      <c r="E605" s="9" t="str">
        <f t="shared" si="23"/>
        <v>女</v>
      </c>
      <c r="F605" s="10"/>
    </row>
    <row r="606" spans="1:6" ht="30" customHeight="1">
      <c r="A606" s="9">
        <v>604</v>
      </c>
      <c r="B606" s="9" t="str">
        <f>"50322023032611285377328"</f>
        <v>50322023032611285377328</v>
      </c>
      <c r="C606" s="9" t="s">
        <v>54</v>
      </c>
      <c r="D606" s="10" t="str">
        <f>"康国娇"</f>
        <v>康国娇</v>
      </c>
      <c r="E606" s="9" t="str">
        <f t="shared" si="23"/>
        <v>女</v>
      </c>
      <c r="F606" s="10"/>
    </row>
    <row r="607" spans="1:6" ht="30" customHeight="1">
      <c r="A607" s="9">
        <v>605</v>
      </c>
      <c r="B607" s="9" t="str">
        <f>"50322023032711284578154"</f>
        <v>50322023032711284578154</v>
      </c>
      <c r="C607" s="9" t="s">
        <v>54</v>
      </c>
      <c r="D607" s="10" t="str">
        <f>"陈汉翠"</f>
        <v>陈汉翠</v>
      </c>
      <c r="E607" s="9" t="str">
        <f t="shared" si="23"/>
        <v>女</v>
      </c>
      <c r="F607" s="10"/>
    </row>
    <row r="608" spans="1:6" ht="30" customHeight="1">
      <c r="A608" s="9">
        <v>606</v>
      </c>
      <c r="B608" s="9" t="str">
        <f>"50322023032717200578608"</f>
        <v>50322023032717200578608</v>
      </c>
      <c r="C608" s="9" t="s">
        <v>54</v>
      </c>
      <c r="D608" s="10" t="str">
        <f>"黄钟秦"</f>
        <v>黄钟秦</v>
      </c>
      <c r="E608" s="9" t="str">
        <f t="shared" si="23"/>
        <v>女</v>
      </c>
      <c r="F608" s="10"/>
    </row>
    <row r="609" spans="1:6" ht="30" customHeight="1">
      <c r="A609" s="9">
        <v>607</v>
      </c>
      <c r="B609" s="9" t="str">
        <f>"50322023032721263078877"</f>
        <v>50322023032721263078877</v>
      </c>
      <c r="C609" s="9" t="s">
        <v>54</v>
      </c>
      <c r="D609" s="10" t="str">
        <f>"崔庭兰"</f>
        <v>崔庭兰</v>
      </c>
      <c r="E609" s="9" t="str">
        <f t="shared" si="23"/>
        <v>女</v>
      </c>
      <c r="F609" s="10"/>
    </row>
    <row r="610" spans="1:6" ht="30" customHeight="1">
      <c r="A610" s="9">
        <v>608</v>
      </c>
      <c r="B610" s="9" t="str">
        <f>"50322023032811135379390"</f>
        <v>50322023032811135379390</v>
      </c>
      <c r="C610" s="9" t="s">
        <v>54</v>
      </c>
      <c r="D610" s="10" t="str">
        <f>"王丹芳"</f>
        <v>王丹芳</v>
      </c>
      <c r="E610" s="9" t="str">
        <f t="shared" si="23"/>
        <v>女</v>
      </c>
      <c r="F610" s="10"/>
    </row>
    <row r="611" spans="1:6" ht="30" customHeight="1">
      <c r="A611" s="9">
        <v>609</v>
      </c>
      <c r="B611" s="9" t="str">
        <f>"50322023032820081279987"</f>
        <v>50322023032820081279987</v>
      </c>
      <c r="C611" s="9" t="s">
        <v>54</v>
      </c>
      <c r="D611" s="10" t="str">
        <f>"卢娇娇"</f>
        <v>卢娇娇</v>
      </c>
      <c r="E611" s="9" t="str">
        <f t="shared" si="23"/>
        <v>女</v>
      </c>
      <c r="F611" s="10"/>
    </row>
    <row r="612" spans="1:6" ht="30" customHeight="1">
      <c r="A612" s="9">
        <v>610</v>
      </c>
      <c r="B612" s="9" t="str">
        <f>"50322023032820163080006"</f>
        <v>50322023032820163080006</v>
      </c>
      <c r="C612" s="9" t="s">
        <v>54</v>
      </c>
      <c r="D612" s="10" t="str">
        <f>"巫仙群"</f>
        <v>巫仙群</v>
      </c>
      <c r="E612" s="9" t="str">
        <f t="shared" si="23"/>
        <v>女</v>
      </c>
      <c r="F612" s="10"/>
    </row>
    <row r="613" spans="1:6" ht="30" customHeight="1">
      <c r="A613" s="9">
        <v>611</v>
      </c>
      <c r="B613" s="9" t="str">
        <f>"50322023032821065180086"</f>
        <v>50322023032821065180086</v>
      </c>
      <c r="C613" s="9" t="s">
        <v>54</v>
      </c>
      <c r="D613" s="10" t="str">
        <f>"韩晶"</f>
        <v>韩晶</v>
      </c>
      <c r="E613" s="9" t="str">
        <f t="shared" si="23"/>
        <v>女</v>
      </c>
      <c r="F613" s="10"/>
    </row>
    <row r="614" spans="1:6" ht="30" customHeight="1">
      <c r="A614" s="9">
        <v>612</v>
      </c>
      <c r="B614" s="9" t="str">
        <f>"50322023032909563480910"</f>
        <v>50322023032909563480910</v>
      </c>
      <c r="C614" s="9" t="s">
        <v>54</v>
      </c>
      <c r="D614" s="10" t="str">
        <f>"文美方"</f>
        <v>文美方</v>
      </c>
      <c r="E614" s="9" t="str">
        <f t="shared" si="23"/>
        <v>女</v>
      </c>
      <c r="F614" s="10"/>
    </row>
    <row r="615" spans="1:6" ht="30" customHeight="1">
      <c r="A615" s="9">
        <v>613</v>
      </c>
      <c r="B615" s="9" t="str">
        <f>"50322023032910170481028"</f>
        <v>50322023032910170481028</v>
      </c>
      <c r="C615" s="9" t="s">
        <v>54</v>
      </c>
      <c r="D615" s="10" t="str">
        <f>"王雅游"</f>
        <v>王雅游</v>
      </c>
      <c r="E615" s="9" t="str">
        <f t="shared" si="23"/>
        <v>女</v>
      </c>
      <c r="F615" s="10"/>
    </row>
    <row r="616" spans="1:6" ht="30" customHeight="1">
      <c r="A616" s="9">
        <v>614</v>
      </c>
      <c r="B616" s="9" t="str">
        <f>"50322023032915134682252"</f>
        <v>50322023032915134682252</v>
      </c>
      <c r="C616" s="9" t="s">
        <v>54</v>
      </c>
      <c r="D616" s="10" t="str">
        <f>"张彤"</f>
        <v>张彤</v>
      </c>
      <c r="E616" s="9" t="str">
        <f t="shared" si="23"/>
        <v>女</v>
      </c>
      <c r="F616" s="10"/>
    </row>
    <row r="617" spans="1:6" ht="30" customHeight="1">
      <c r="A617" s="9">
        <v>615</v>
      </c>
      <c r="B617" s="9" t="str">
        <f>"50322023032916145782500"</f>
        <v>50322023032916145782500</v>
      </c>
      <c r="C617" s="9" t="s">
        <v>54</v>
      </c>
      <c r="D617" s="10" t="str">
        <f>"杨雅冰"</f>
        <v>杨雅冰</v>
      </c>
      <c r="E617" s="9" t="str">
        <f t="shared" si="23"/>
        <v>女</v>
      </c>
      <c r="F617" s="10"/>
    </row>
    <row r="618" spans="1:6" ht="30" customHeight="1">
      <c r="A618" s="9">
        <v>616</v>
      </c>
      <c r="B618" s="9" t="str">
        <f>"50322023032922443584945"</f>
        <v>50322023032922443584945</v>
      </c>
      <c r="C618" s="9" t="s">
        <v>54</v>
      </c>
      <c r="D618" s="10" t="str">
        <f>"张雪"</f>
        <v>张雪</v>
      </c>
      <c r="E618" s="9" t="str">
        <f t="shared" si="23"/>
        <v>女</v>
      </c>
      <c r="F618" s="11" t="s">
        <v>55</v>
      </c>
    </row>
    <row r="619" spans="1:6" ht="30" customHeight="1">
      <c r="A619" s="9">
        <v>617</v>
      </c>
      <c r="B619" s="9" t="str">
        <f>"50322023033009232985401"</f>
        <v>50322023033009232985401</v>
      </c>
      <c r="C619" s="9" t="s">
        <v>54</v>
      </c>
      <c r="D619" s="10" t="str">
        <f>"徐彬彬"</f>
        <v>徐彬彬</v>
      </c>
      <c r="E619" s="9" t="str">
        <f t="shared" si="23"/>
        <v>女</v>
      </c>
      <c r="F619" s="10"/>
    </row>
    <row r="620" spans="1:6" ht="30" customHeight="1">
      <c r="A620" s="9">
        <v>618</v>
      </c>
      <c r="B620" s="9" t="str">
        <f>"50322023033010435885741"</f>
        <v>50322023033010435885741</v>
      </c>
      <c r="C620" s="9" t="s">
        <v>54</v>
      </c>
      <c r="D620" s="10" t="str">
        <f>"林仙蕾"</f>
        <v>林仙蕾</v>
      </c>
      <c r="E620" s="9" t="str">
        <f t="shared" si="23"/>
        <v>女</v>
      </c>
      <c r="F620" s="10"/>
    </row>
    <row r="621" spans="1:6" ht="30" customHeight="1">
      <c r="A621" s="9">
        <v>619</v>
      </c>
      <c r="B621" s="9" t="str">
        <f>"50322023032118302167322"</f>
        <v>50322023032118302167322</v>
      </c>
      <c r="C621" s="9" t="s">
        <v>56</v>
      </c>
      <c r="D621" s="10" t="str">
        <f>"王一平"</f>
        <v>王一平</v>
      </c>
      <c r="E621" s="9" t="str">
        <f t="shared" si="23"/>
        <v>女</v>
      </c>
      <c r="F621" s="10"/>
    </row>
    <row r="622" spans="1:6" ht="30" customHeight="1">
      <c r="A622" s="9">
        <v>620</v>
      </c>
      <c r="B622" s="9" t="str">
        <f>"50322023032222413173652"</f>
        <v>50322023032222413173652</v>
      </c>
      <c r="C622" s="9" t="s">
        <v>56</v>
      </c>
      <c r="D622" s="10" t="str">
        <f>"冯嫣"</f>
        <v>冯嫣</v>
      </c>
      <c r="E622" s="9" t="str">
        <f t="shared" si="23"/>
        <v>女</v>
      </c>
      <c r="F622" s="10"/>
    </row>
    <row r="623" spans="1:6" ht="30" customHeight="1">
      <c r="A623" s="9">
        <v>621</v>
      </c>
      <c r="B623" s="9" t="str">
        <f>"50322023032608565277259"</f>
        <v>50322023032608565277259</v>
      </c>
      <c r="C623" s="9" t="s">
        <v>56</v>
      </c>
      <c r="D623" s="10" t="str">
        <f>"孙丹丹"</f>
        <v>孙丹丹</v>
      </c>
      <c r="E623" s="9" t="str">
        <f t="shared" si="23"/>
        <v>女</v>
      </c>
      <c r="F623" s="10"/>
    </row>
    <row r="624" spans="1:6" ht="30" customHeight="1">
      <c r="A624" s="9">
        <v>622</v>
      </c>
      <c r="B624" s="9" t="str">
        <f>"50322023032709152577879"</f>
        <v>50322023032709152577879</v>
      </c>
      <c r="C624" s="9" t="s">
        <v>56</v>
      </c>
      <c r="D624" s="10" t="str">
        <f>"符芮帆"</f>
        <v>符芮帆</v>
      </c>
      <c r="E624" s="9" t="str">
        <f t="shared" si="23"/>
        <v>女</v>
      </c>
      <c r="F624" s="10"/>
    </row>
    <row r="625" spans="1:6" ht="30" customHeight="1">
      <c r="A625" s="9">
        <v>623</v>
      </c>
      <c r="B625" s="9" t="str">
        <f>"50322023032910441981198"</f>
        <v>50322023032910441981198</v>
      </c>
      <c r="C625" s="9" t="s">
        <v>56</v>
      </c>
      <c r="D625" s="10" t="str">
        <f>"黎菲"</f>
        <v>黎菲</v>
      </c>
      <c r="E625" s="9" t="str">
        <f t="shared" si="23"/>
        <v>女</v>
      </c>
      <c r="F625" s="10"/>
    </row>
    <row r="626" spans="1:6" ht="30" customHeight="1">
      <c r="A626" s="9">
        <v>624</v>
      </c>
      <c r="B626" s="9" t="str">
        <f>"50322023032914395482105"</f>
        <v>50322023032914395482105</v>
      </c>
      <c r="C626" s="9" t="s">
        <v>56</v>
      </c>
      <c r="D626" s="10" t="str">
        <f>"符薰涵"</f>
        <v>符薰涵</v>
      </c>
      <c r="E626" s="9" t="str">
        <f t="shared" si="23"/>
        <v>女</v>
      </c>
      <c r="F626" s="10"/>
    </row>
    <row r="627" spans="1:6" ht="30" customHeight="1">
      <c r="A627" s="9">
        <v>625</v>
      </c>
      <c r="B627" s="9" t="str">
        <f>"50322023032113442765637"</f>
        <v>50322023032113442765637</v>
      </c>
      <c r="C627" s="9" t="s">
        <v>57</v>
      </c>
      <c r="D627" s="10" t="str">
        <f>"李南健"</f>
        <v>李南健</v>
      </c>
      <c r="E627" s="9" t="str">
        <f>"男"</f>
        <v>男</v>
      </c>
      <c r="F627" s="10"/>
    </row>
    <row r="628" spans="1:6" ht="30" customHeight="1">
      <c r="A628" s="9">
        <v>626</v>
      </c>
      <c r="B628" s="9" t="str">
        <f>"50322023032316541174809"</f>
        <v>50322023032316541174809</v>
      </c>
      <c r="C628" s="9" t="s">
        <v>57</v>
      </c>
      <c r="D628" s="10" t="str">
        <f>"阳柳清"</f>
        <v>阳柳清</v>
      </c>
      <c r="E628" s="9" t="str">
        <f>"女"</f>
        <v>女</v>
      </c>
      <c r="F628" s="10"/>
    </row>
    <row r="629" spans="1:6" ht="30" customHeight="1">
      <c r="A629" s="9">
        <v>627</v>
      </c>
      <c r="B629" s="9" t="str">
        <f>"50322023032420120576294"</f>
        <v>50322023032420120576294</v>
      </c>
      <c r="C629" s="9" t="s">
        <v>57</v>
      </c>
      <c r="D629" s="10" t="str">
        <f>"梁朝娜"</f>
        <v>梁朝娜</v>
      </c>
      <c r="E629" s="9" t="str">
        <f>"女"</f>
        <v>女</v>
      </c>
      <c r="F629" s="10"/>
    </row>
    <row r="630" spans="1:6" ht="30" customHeight="1">
      <c r="A630" s="9">
        <v>628</v>
      </c>
      <c r="B630" s="9" t="str">
        <f>"50322023032715410978464"</f>
        <v>50322023032715410978464</v>
      </c>
      <c r="C630" s="9" t="s">
        <v>57</v>
      </c>
      <c r="D630" s="10" t="str">
        <f>"王子府"</f>
        <v>王子府</v>
      </c>
      <c r="E630" s="9" t="str">
        <f>"男"</f>
        <v>男</v>
      </c>
      <c r="F630" s="10"/>
    </row>
    <row r="631" spans="1:6" ht="30" customHeight="1">
      <c r="A631" s="9">
        <v>629</v>
      </c>
      <c r="B631" s="9" t="str">
        <f>"50322023032810283279299"</f>
        <v>50322023032810283279299</v>
      </c>
      <c r="C631" s="9" t="s">
        <v>57</v>
      </c>
      <c r="D631" s="10" t="str">
        <f>"刘叶媛"</f>
        <v>刘叶媛</v>
      </c>
      <c r="E631" s="9" t="str">
        <f>"女"</f>
        <v>女</v>
      </c>
      <c r="F631" s="10"/>
    </row>
    <row r="632" spans="1:6" ht="30" customHeight="1">
      <c r="A632" s="9">
        <v>630</v>
      </c>
      <c r="B632" s="9" t="str">
        <f>"50322023032921382684763"</f>
        <v>50322023032921382684763</v>
      </c>
      <c r="C632" s="9" t="s">
        <v>57</v>
      </c>
      <c r="D632" s="10" t="str">
        <f>"贺晓敏"</f>
        <v>贺晓敏</v>
      </c>
      <c r="E632" s="9" t="str">
        <f>"男"</f>
        <v>男</v>
      </c>
      <c r="F632" s="10"/>
    </row>
    <row r="633" spans="1:6" ht="30" customHeight="1">
      <c r="A633" s="9">
        <v>631</v>
      </c>
      <c r="B633" s="9" t="str">
        <f>"50322023032515123276907"</f>
        <v>50322023032515123276907</v>
      </c>
      <c r="C633" s="9" t="s">
        <v>58</v>
      </c>
      <c r="D633" s="10" t="str">
        <f>"项鹏"</f>
        <v>项鹏</v>
      </c>
      <c r="E633" s="9" t="str">
        <f>"男"</f>
        <v>男</v>
      </c>
      <c r="F633" s="10"/>
    </row>
    <row r="634" spans="1:6" ht="30" customHeight="1">
      <c r="A634" s="9">
        <v>632</v>
      </c>
      <c r="B634" s="9" t="str">
        <f>"50322023032710483478073"</f>
        <v>50322023032710483478073</v>
      </c>
      <c r="C634" s="9" t="s">
        <v>58</v>
      </c>
      <c r="D634" s="10" t="str">
        <f>"黎天合"</f>
        <v>黎天合</v>
      </c>
      <c r="E634" s="9" t="str">
        <f>"男"</f>
        <v>男</v>
      </c>
      <c r="F634" s="10"/>
    </row>
    <row r="635" spans="1:6" ht="30" customHeight="1">
      <c r="A635" s="9">
        <v>633</v>
      </c>
      <c r="B635" s="9" t="str">
        <f>"50322023032714263878356"</f>
        <v>50322023032714263878356</v>
      </c>
      <c r="C635" s="9" t="s">
        <v>58</v>
      </c>
      <c r="D635" s="10" t="str">
        <f>"卢婷婷"</f>
        <v>卢婷婷</v>
      </c>
      <c r="E635" s="9" t="str">
        <f>"女"</f>
        <v>女</v>
      </c>
      <c r="F635" s="10"/>
    </row>
    <row r="636" spans="1:6" ht="30" customHeight="1">
      <c r="A636" s="9">
        <v>634</v>
      </c>
      <c r="B636" s="9" t="str">
        <f>"50322023032912153481635"</f>
        <v>50322023032912153481635</v>
      </c>
      <c r="C636" s="9" t="s">
        <v>58</v>
      </c>
      <c r="D636" s="10" t="str">
        <f>"陈国芬"</f>
        <v>陈国芬</v>
      </c>
      <c r="E636" s="9" t="str">
        <f>"女"</f>
        <v>女</v>
      </c>
      <c r="F636" s="10"/>
    </row>
    <row r="637" spans="1:6" ht="30" customHeight="1">
      <c r="A637" s="9">
        <v>635</v>
      </c>
      <c r="B637" s="9" t="str">
        <f>"50322023032108440863100"</f>
        <v>50322023032108440863100</v>
      </c>
      <c r="C637" s="9" t="s">
        <v>59</v>
      </c>
      <c r="D637" s="10" t="str">
        <f>"周雅琴"</f>
        <v>周雅琴</v>
      </c>
      <c r="E637" s="9" t="str">
        <f>"女"</f>
        <v>女</v>
      </c>
      <c r="F637" s="10"/>
    </row>
    <row r="638" spans="1:6" ht="30" customHeight="1">
      <c r="A638" s="9">
        <v>636</v>
      </c>
      <c r="B638" s="9" t="str">
        <f>"50322023032109343963449"</f>
        <v>50322023032109343963449</v>
      </c>
      <c r="C638" s="9" t="s">
        <v>59</v>
      </c>
      <c r="D638" s="10" t="str">
        <f>"程守慧"</f>
        <v>程守慧</v>
      </c>
      <c r="E638" s="9" t="str">
        <f>"女"</f>
        <v>女</v>
      </c>
      <c r="F638" s="10"/>
    </row>
    <row r="639" spans="1:6" ht="30" customHeight="1">
      <c r="A639" s="9">
        <v>637</v>
      </c>
      <c r="B639" s="9" t="str">
        <f>"50322023032109411363503"</f>
        <v>50322023032109411363503</v>
      </c>
      <c r="C639" s="9" t="s">
        <v>59</v>
      </c>
      <c r="D639" s="10" t="str">
        <f>"赵彦欣"</f>
        <v>赵彦欣</v>
      </c>
      <c r="E639" s="9" t="str">
        <f>"男"</f>
        <v>男</v>
      </c>
      <c r="F639" s="10"/>
    </row>
    <row r="640" spans="1:6" ht="30" customHeight="1">
      <c r="A640" s="9">
        <v>638</v>
      </c>
      <c r="B640" s="9" t="str">
        <f>"50322023032210011569834"</f>
        <v>50322023032210011569834</v>
      </c>
      <c r="C640" s="9" t="s">
        <v>59</v>
      </c>
      <c r="D640" s="10" t="str">
        <f>"安思盈"</f>
        <v>安思盈</v>
      </c>
      <c r="E640" s="9" t="str">
        <f>"女"</f>
        <v>女</v>
      </c>
      <c r="F640" s="10"/>
    </row>
    <row r="641" spans="1:6" ht="30" customHeight="1">
      <c r="A641" s="9">
        <v>639</v>
      </c>
      <c r="B641" s="9" t="str">
        <f>"50322023032308345473828"</f>
        <v>50322023032308345473828</v>
      </c>
      <c r="C641" s="9" t="s">
        <v>59</v>
      </c>
      <c r="D641" s="10" t="str">
        <f>"王晨饶"</f>
        <v>王晨饶</v>
      </c>
      <c r="E641" s="9" t="str">
        <f>"女"</f>
        <v>女</v>
      </c>
      <c r="F641" s="10"/>
    </row>
    <row r="642" spans="1:6" ht="30" customHeight="1">
      <c r="A642" s="9">
        <v>640</v>
      </c>
      <c r="B642" s="9" t="str">
        <f>"50322023032313244474433"</f>
        <v>50322023032313244474433</v>
      </c>
      <c r="C642" s="9" t="s">
        <v>59</v>
      </c>
      <c r="D642" s="10" t="str">
        <f>"陈茜茹"</f>
        <v>陈茜茹</v>
      </c>
      <c r="E642" s="9" t="str">
        <f>"女"</f>
        <v>女</v>
      </c>
      <c r="F642" s="10"/>
    </row>
    <row r="643" spans="1:6" ht="30" customHeight="1">
      <c r="A643" s="9">
        <v>641</v>
      </c>
      <c r="B643" s="9" t="str">
        <f>"50322023032417105776139"</f>
        <v>50322023032417105776139</v>
      </c>
      <c r="C643" s="9" t="s">
        <v>59</v>
      </c>
      <c r="D643" s="10" t="str">
        <f>"刘小青"</f>
        <v>刘小青</v>
      </c>
      <c r="E643" s="9" t="str">
        <f>"女"</f>
        <v>女</v>
      </c>
      <c r="F643" s="10"/>
    </row>
    <row r="644" spans="1:6" ht="30" customHeight="1">
      <c r="A644" s="9">
        <v>642</v>
      </c>
      <c r="B644" s="9" t="str">
        <f>"50322023032522392577194"</f>
        <v>50322023032522392577194</v>
      </c>
      <c r="C644" s="9" t="s">
        <v>59</v>
      </c>
      <c r="D644" s="10" t="str">
        <f>"徐千雯"</f>
        <v>徐千雯</v>
      </c>
      <c r="E644" s="9" t="str">
        <f>"女"</f>
        <v>女</v>
      </c>
      <c r="F644" s="10"/>
    </row>
    <row r="645" spans="1:6" ht="30" customHeight="1">
      <c r="A645" s="9">
        <v>643</v>
      </c>
      <c r="B645" s="9" t="str">
        <f>"50322023032721391478897"</f>
        <v>50322023032721391478897</v>
      </c>
      <c r="C645" s="9" t="s">
        <v>59</v>
      </c>
      <c r="D645" s="10" t="str">
        <f>"刘兵"</f>
        <v>刘兵</v>
      </c>
      <c r="E645" s="9" t="str">
        <f>"男"</f>
        <v>男</v>
      </c>
      <c r="F645" s="10"/>
    </row>
    <row r="646" spans="1:6" ht="30" customHeight="1">
      <c r="A646" s="9">
        <v>644</v>
      </c>
      <c r="B646" s="9" t="str">
        <f>"50322023032820424280047"</f>
        <v>50322023032820424280047</v>
      </c>
      <c r="C646" s="9" t="s">
        <v>59</v>
      </c>
      <c r="D646" s="10" t="str">
        <f>"何超"</f>
        <v>何超</v>
      </c>
      <c r="E646" s="9" t="str">
        <f>"男"</f>
        <v>男</v>
      </c>
      <c r="F646" s="10"/>
    </row>
    <row r="647" spans="1:6" ht="30" customHeight="1">
      <c r="A647" s="9">
        <v>645</v>
      </c>
      <c r="B647" s="9" t="str">
        <f>"50322023032915261882299"</f>
        <v>50322023032915261882299</v>
      </c>
      <c r="C647" s="9" t="s">
        <v>59</v>
      </c>
      <c r="D647" s="10" t="str">
        <f>"夏杰"</f>
        <v>夏杰</v>
      </c>
      <c r="E647" s="9" t="str">
        <f>"女"</f>
        <v>女</v>
      </c>
      <c r="F647" s="10"/>
    </row>
    <row r="648" spans="1:6" ht="30" customHeight="1">
      <c r="A648" s="9">
        <v>646</v>
      </c>
      <c r="B648" s="9" t="str">
        <f>"50322023033009374985467"</f>
        <v>50322023033009374985467</v>
      </c>
      <c r="C648" s="9" t="s">
        <v>59</v>
      </c>
      <c r="D648" s="10" t="str">
        <f>"温海萍"</f>
        <v>温海萍</v>
      </c>
      <c r="E648" s="9" t="str">
        <f>"女"</f>
        <v>女</v>
      </c>
      <c r="F648" s="10"/>
    </row>
    <row r="649" spans="1:6" ht="30" customHeight="1">
      <c r="A649" s="9">
        <v>647</v>
      </c>
      <c r="B649" s="9" t="str">
        <f>"50322023032118224367296"</f>
        <v>50322023032118224367296</v>
      </c>
      <c r="C649" s="9" t="s">
        <v>60</v>
      </c>
      <c r="D649" s="10" t="str">
        <f>"蔡泽慧"</f>
        <v>蔡泽慧</v>
      </c>
      <c r="E649" s="9" t="str">
        <f>"女"</f>
        <v>女</v>
      </c>
      <c r="F649" s="10"/>
    </row>
    <row r="650" spans="1:6" ht="30" customHeight="1">
      <c r="A650" s="9">
        <v>648</v>
      </c>
      <c r="B650" s="9" t="str">
        <f>"50322023032217524473081"</f>
        <v>50322023032217524473081</v>
      </c>
      <c r="C650" s="9" t="s">
        <v>60</v>
      </c>
      <c r="D650" s="10" t="str">
        <f>"衡柯瑾"</f>
        <v>衡柯瑾</v>
      </c>
      <c r="E650" s="9" t="str">
        <f>"女"</f>
        <v>女</v>
      </c>
      <c r="F650" s="10"/>
    </row>
    <row r="651" spans="1:6" ht="30" customHeight="1">
      <c r="A651" s="9">
        <v>649</v>
      </c>
      <c r="B651" s="9" t="str">
        <f>"50322023032314492774555"</f>
        <v>50322023032314492774555</v>
      </c>
      <c r="C651" s="9" t="s">
        <v>60</v>
      </c>
      <c r="D651" s="10" t="str">
        <f>"宋健齐"</f>
        <v>宋健齐</v>
      </c>
      <c r="E651" s="9" t="str">
        <f>"男"</f>
        <v>男</v>
      </c>
      <c r="F651" s="10"/>
    </row>
    <row r="652" spans="1:6" ht="30" customHeight="1">
      <c r="A652" s="9">
        <v>650</v>
      </c>
      <c r="B652" s="9" t="str">
        <f>"50322023032510292176609"</f>
        <v>50322023032510292176609</v>
      </c>
      <c r="C652" s="9" t="s">
        <v>60</v>
      </c>
      <c r="D652" s="10" t="str">
        <f>"赵莹莹"</f>
        <v>赵莹莹</v>
      </c>
      <c r="E652" s="9" t="str">
        <f>"女"</f>
        <v>女</v>
      </c>
      <c r="F652" s="10"/>
    </row>
    <row r="653" spans="1:6" ht="30" customHeight="1">
      <c r="A653" s="9">
        <v>651</v>
      </c>
      <c r="B653" s="9" t="str">
        <f>"50322023032512121176726"</f>
        <v>50322023032512121176726</v>
      </c>
      <c r="C653" s="9" t="s">
        <v>60</v>
      </c>
      <c r="D653" s="10" t="str">
        <f>"李美欣"</f>
        <v>李美欣</v>
      </c>
      <c r="E653" s="9" t="str">
        <f>"女"</f>
        <v>女</v>
      </c>
      <c r="F653" s="10"/>
    </row>
    <row r="654" spans="1:6" ht="30" customHeight="1">
      <c r="A654" s="9">
        <v>652</v>
      </c>
      <c r="B654" s="9" t="str">
        <f>"50322023032808325179078"</f>
        <v>50322023032808325179078</v>
      </c>
      <c r="C654" s="9" t="s">
        <v>60</v>
      </c>
      <c r="D654" s="10" t="str">
        <f>"林如意"</f>
        <v>林如意</v>
      </c>
      <c r="E654" s="9" t="str">
        <f>"女"</f>
        <v>女</v>
      </c>
      <c r="F654" s="10"/>
    </row>
    <row r="655" spans="1:6" ht="30" customHeight="1">
      <c r="A655" s="9">
        <v>653</v>
      </c>
      <c r="B655" s="9" t="str">
        <f>"50322023032914540982162"</f>
        <v>50322023032914540982162</v>
      </c>
      <c r="C655" s="9" t="s">
        <v>60</v>
      </c>
      <c r="D655" s="10" t="str">
        <f>"王栋"</f>
        <v>王栋</v>
      </c>
      <c r="E655" s="9" t="str">
        <f>"男"</f>
        <v>男</v>
      </c>
      <c r="F655" s="11" t="s">
        <v>61</v>
      </c>
    </row>
    <row r="656" spans="1:6" ht="30" customHeight="1">
      <c r="A656" s="9">
        <v>654</v>
      </c>
      <c r="B656" s="9" t="str">
        <f>"50322023032915552982413"</f>
        <v>50322023032915552982413</v>
      </c>
      <c r="C656" s="9" t="s">
        <v>60</v>
      </c>
      <c r="D656" s="10" t="str">
        <f>"张元元"</f>
        <v>张元元</v>
      </c>
      <c r="E656" s="9" t="str">
        <f aca="true" t="shared" si="24" ref="E656:E666">"女"</f>
        <v>女</v>
      </c>
      <c r="F656" s="10"/>
    </row>
    <row r="657" spans="1:6" ht="30" customHeight="1">
      <c r="A657" s="9">
        <v>655</v>
      </c>
      <c r="B657" s="9" t="str">
        <f>"50322023032922172684873"</f>
        <v>50322023032922172684873</v>
      </c>
      <c r="C657" s="9" t="s">
        <v>60</v>
      </c>
      <c r="D657" s="10" t="str">
        <f>"符媚"</f>
        <v>符媚</v>
      </c>
      <c r="E657" s="9" t="str">
        <f t="shared" si="24"/>
        <v>女</v>
      </c>
      <c r="F657" s="10"/>
    </row>
    <row r="658" spans="1:6" ht="30" customHeight="1">
      <c r="A658" s="9">
        <v>656</v>
      </c>
      <c r="B658" s="9" t="str">
        <f>"50322023032922470784952"</f>
        <v>50322023032922470784952</v>
      </c>
      <c r="C658" s="9" t="s">
        <v>60</v>
      </c>
      <c r="D658" s="10" t="str">
        <f>"孙婷婷"</f>
        <v>孙婷婷</v>
      </c>
      <c r="E658" s="9" t="str">
        <f t="shared" si="24"/>
        <v>女</v>
      </c>
      <c r="F658" s="10"/>
    </row>
    <row r="659" spans="1:6" ht="30" customHeight="1">
      <c r="A659" s="9">
        <v>657</v>
      </c>
      <c r="B659" s="9" t="str">
        <f>"50322023033008472885239"</f>
        <v>50322023033008472885239</v>
      </c>
      <c r="C659" s="9" t="s">
        <v>60</v>
      </c>
      <c r="D659" s="10" t="str">
        <f>"黎冠妹"</f>
        <v>黎冠妹</v>
      </c>
      <c r="E659" s="9" t="str">
        <f t="shared" si="24"/>
        <v>女</v>
      </c>
      <c r="F659" s="10"/>
    </row>
    <row r="660" spans="1:6" ht="30" customHeight="1">
      <c r="A660" s="9">
        <v>658</v>
      </c>
      <c r="B660" s="9" t="str">
        <f>"50322023032109351063454"</f>
        <v>50322023032109351063454</v>
      </c>
      <c r="C660" s="9" t="s">
        <v>62</v>
      </c>
      <c r="D660" s="10" t="str">
        <f>"李珍方"</f>
        <v>李珍方</v>
      </c>
      <c r="E660" s="9" t="str">
        <f t="shared" si="24"/>
        <v>女</v>
      </c>
      <c r="F660" s="10"/>
    </row>
    <row r="661" spans="1:6" ht="30" customHeight="1">
      <c r="A661" s="9">
        <v>659</v>
      </c>
      <c r="B661" s="9" t="str">
        <f>"50322023032218031773096"</f>
        <v>50322023032218031773096</v>
      </c>
      <c r="C661" s="9" t="s">
        <v>62</v>
      </c>
      <c r="D661" s="10" t="str">
        <f>"孙翠"</f>
        <v>孙翠</v>
      </c>
      <c r="E661" s="9" t="str">
        <f t="shared" si="24"/>
        <v>女</v>
      </c>
      <c r="F661" s="10"/>
    </row>
    <row r="662" spans="1:6" ht="30" customHeight="1">
      <c r="A662" s="9">
        <v>660</v>
      </c>
      <c r="B662" s="9" t="str">
        <f>"50322023032310082674011"</f>
        <v>50322023032310082674011</v>
      </c>
      <c r="C662" s="9" t="s">
        <v>62</v>
      </c>
      <c r="D662" s="10" t="str">
        <f>"李誉丹"</f>
        <v>李誉丹</v>
      </c>
      <c r="E662" s="9" t="str">
        <f t="shared" si="24"/>
        <v>女</v>
      </c>
      <c r="F662" s="10"/>
    </row>
    <row r="663" spans="1:6" ht="30" customHeight="1">
      <c r="A663" s="9">
        <v>661</v>
      </c>
      <c r="B663" s="9" t="str">
        <f>"50322023032418521476230"</f>
        <v>50322023032418521476230</v>
      </c>
      <c r="C663" s="9" t="s">
        <v>62</v>
      </c>
      <c r="D663" s="10" t="str">
        <f>"吴进文"</f>
        <v>吴进文</v>
      </c>
      <c r="E663" s="9" t="str">
        <f t="shared" si="24"/>
        <v>女</v>
      </c>
      <c r="F663" s="10"/>
    </row>
    <row r="664" spans="1:6" ht="30" customHeight="1">
      <c r="A664" s="9">
        <v>662</v>
      </c>
      <c r="B664" s="9" t="str">
        <f>"50322023032421390976383"</f>
        <v>50322023032421390976383</v>
      </c>
      <c r="C664" s="9" t="s">
        <v>62</v>
      </c>
      <c r="D664" s="10" t="str">
        <f>"符妍彩"</f>
        <v>符妍彩</v>
      </c>
      <c r="E664" s="9" t="str">
        <f t="shared" si="24"/>
        <v>女</v>
      </c>
      <c r="F664" s="10"/>
    </row>
    <row r="665" spans="1:6" ht="30" customHeight="1">
      <c r="A665" s="9">
        <v>663</v>
      </c>
      <c r="B665" s="9" t="str">
        <f>"50322023032816194779745"</f>
        <v>50322023032816194779745</v>
      </c>
      <c r="C665" s="9" t="s">
        <v>62</v>
      </c>
      <c r="D665" s="10" t="str">
        <f>"阚雪"</f>
        <v>阚雪</v>
      </c>
      <c r="E665" s="9" t="str">
        <f t="shared" si="24"/>
        <v>女</v>
      </c>
      <c r="F665" s="10"/>
    </row>
    <row r="666" spans="1:6" ht="30" customHeight="1">
      <c r="A666" s="9">
        <v>664</v>
      </c>
      <c r="B666" s="9" t="str">
        <f>"50322023032818455279884"</f>
        <v>50322023032818455279884</v>
      </c>
      <c r="C666" s="9" t="s">
        <v>62</v>
      </c>
      <c r="D666" s="10" t="str">
        <f>"韩小燕"</f>
        <v>韩小燕</v>
      </c>
      <c r="E666" s="9" t="str">
        <f t="shared" si="24"/>
        <v>女</v>
      </c>
      <c r="F666" s="10"/>
    </row>
    <row r="667" spans="1:6" ht="30" customHeight="1">
      <c r="A667" s="9">
        <v>665</v>
      </c>
      <c r="B667" s="9" t="str">
        <f>"50322023032822202380198"</f>
        <v>50322023032822202380198</v>
      </c>
      <c r="C667" s="9" t="s">
        <v>62</v>
      </c>
      <c r="D667" s="10" t="str">
        <f>"安一鸣"</f>
        <v>安一鸣</v>
      </c>
      <c r="E667" s="9" t="str">
        <f>"男"</f>
        <v>男</v>
      </c>
      <c r="F667" s="10"/>
    </row>
    <row r="668" spans="1:6" ht="30" customHeight="1">
      <c r="A668" s="9">
        <v>666</v>
      </c>
      <c r="B668" s="9" t="str">
        <f>"50322023032910433881194"</f>
        <v>50322023032910433881194</v>
      </c>
      <c r="C668" s="9" t="s">
        <v>62</v>
      </c>
      <c r="D668" s="10" t="str">
        <f>"林嗣青"</f>
        <v>林嗣青</v>
      </c>
      <c r="E668" s="9" t="str">
        <f aca="true" t="shared" si="25" ref="E668:E673">"女"</f>
        <v>女</v>
      </c>
      <c r="F668" s="10"/>
    </row>
    <row r="669" spans="1:6" ht="30" customHeight="1">
      <c r="A669" s="9">
        <v>667</v>
      </c>
      <c r="B669" s="9" t="str">
        <f>"50322023032915124682250"</f>
        <v>50322023032915124682250</v>
      </c>
      <c r="C669" s="9" t="s">
        <v>62</v>
      </c>
      <c r="D669" s="10" t="str">
        <f>"吴原榕"</f>
        <v>吴原榕</v>
      </c>
      <c r="E669" s="9" t="str">
        <f t="shared" si="25"/>
        <v>女</v>
      </c>
      <c r="F669" s="10"/>
    </row>
    <row r="670" spans="1:6" ht="30" customHeight="1">
      <c r="A670" s="9">
        <v>668</v>
      </c>
      <c r="B670" s="9" t="str">
        <f>"50322023032916433782648"</f>
        <v>50322023032916433782648</v>
      </c>
      <c r="C670" s="9" t="s">
        <v>62</v>
      </c>
      <c r="D670" s="10" t="str">
        <f>"黄丹艳"</f>
        <v>黄丹艳</v>
      </c>
      <c r="E670" s="9" t="str">
        <f t="shared" si="25"/>
        <v>女</v>
      </c>
      <c r="F670" s="10"/>
    </row>
    <row r="671" spans="1:6" ht="30" customHeight="1">
      <c r="A671" s="9">
        <v>669</v>
      </c>
      <c r="B671" s="9" t="str">
        <f>"50322023032108060462960"</f>
        <v>50322023032108060462960</v>
      </c>
      <c r="C671" s="9" t="s">
        <v>63</v>
      </c>
      <c r="D671" s="10" t="str">
        <f>"罗芬"</f>
        <v>罗芬</v>
      </c>
      <c r="E671" s="9" t="str">
        <f t="shared" si="25"/>
        <v>女</v>
      </c>
      <c r="F671" s="10"/>
    </row>
    <row r="672" spans="1:6" ht="30" customHeight="1">
      <c r="A672" s="9">
        <v>670</v>
      </c>
      <c r="B672" s="9" t="str">
        <f>"50322023032108192663006"</f>
        <v>50322023032108192663006</v>
      </c>
      <c r="C672" s="9" t="s">
        <v>63</v>
      </c>
      <c r="D672" s="10" t="str">
        <f>"卢寒"</f>
        <v>卢寒</v>
      </c>
      <c r="E672" s="9" t="str">
        <f t="shared" si="25"/>
        <v>女</v>
      </c>
      <c r="F672" s="10"/>
    </row>
    <row r="673" spans="1:6" ht="30" customHeight="1">
      <c r="A673" s="9">
        <v>671</v>
      </c>
      <c r="B673" s="9" t="str">
        <f>"50322023032109585463941"</f>
        <v>50322023032109585463941</v>
      </c>
      <c r="C673" s="9" t="s">
        <v>63</v>
      </c>
      <c r="D673" s="10" t="str">
        <f>"谢子荟"</f>
        <v>谢子荟</v>
      </c>
      <c r="E673" s="9" t="str">
        <f t="shared" si="25"/>
        <v>女</v>
      </c>
      <c r="F673" s="10"/>
    </row>
    <row r="674" spans="1:6" ht="30" customHeight="1">
      <c r="A674" s="9">
        <v>672</v>
      </c>
      <c r="B674" s="9" t="str">
        <f>"50322023032110454864363"</f>
        <v>50322023032110454864363</v>
      </c>
      <c r="C674" s="9" t="s">
        <v>63</v>
      </c>
      <c r="D674" s="10" t="str">
        <f>"吴英志"</f>
        <v>吴英志</v>
      </c>
      <c r="E674" s="9" t="str">
        <f>"男"</f>
        <v>男</v>
      </c>
      <c r="F674" s="10"/>
    </row>
    <row r="675" spans="1:6" ht="30" customHeight="1">
      <c r="A675" s="9">
        <v>673</v>
      </c>
      <c r="B675" s="9" t="str">
        <f>"50322023032308171873816"</f>
        <v>50322023032308171873816</v>
      </c>
      <c r="C675" s="9" t="s">
        <v>63</v>
      </c>
      <c r="D675" s="10" t="str">
        <f>"王孟艺"</f>
        <v>王孟艺</v>
      </c>
      <c r="E675" s="9" t="str">
        <f>"男"</f>
        <v>男</v>
      </c>
      <c r="F675" s="10"/>
    </row>
    <row r="676" spans="1:6" ht="30" customHeight="1">
      <c r="A676" s="9">
        <v>674</v>
      </c>
      <c r="B676" s="9" t="str">
        <f>"50322023032409262675481"</f>
        <v>50322023032409262675481</v>
      </c>
      <c r="C676" s="9" t="s">
        <v>63</v>
      </c>
      <c r="D676" s="10" t="str">
        <f>"王新华"</f>
        <v>王新华</v>
      </c>
      <c r="E676" s="9" t="str">
        <f>"男"</f>
        <v>男</v>
      </c>
      <c r="F676" s="10"/>
    </row>
    <row r="677" spans="1:6" ht="30" customHeight="1">
      <c r="A677" s="9">
        <v>675</v>
      </c>
      <c r="B677" s="9" t="str">
        <f>"50322023032416033776054"</f>
        <v>50322023032416033776054</v>
      </c>
      <c r="C677" s="9" t="s">
        <v>63</v>
      </c>
      <c r="D677" s="10" t="str">
        <f>"卓雯欣"</f>
        <v>卓雯欣</v>
      </c>
      <c r="E677" s="9" t="str">
        <f aca="true" t="shared" si="26" ref="E677:E686">"女"</f>
        <v>女</v>
      </c>
      <c r="F677" s="10"/>
    </row>
    <row r="678" spans="1:6" ht="30" customHeight="1">
      <c r="A678" s="9">
        <v>676</v>
      </c>
      <c r="B678" s="9" t="str">
        <f>"50322023032610580877312"</f>
        <v>50322023032610580877312</v>
      </c>
      <c r="C678" s="9" t="s">
        <v>63</v>
      </c>
      <c r="D678" s="10" t="str">
        <f>"张秀春"</f>
        <v>张秀春</v>
      </c>
      <c r="E678" s="9" t="str">
        <f t="shared" si="26"/>
        <v>女</v>
      </c>
      <c r="F678" s="10"/>
    </row>
    <row r="679" spans="1:6" ht="30" customHeight="1">
      <c r="A679" s="9">
        <v>677</v>
      </c>
      <c r="B679" s="9" t="str">
        <f>"50322023032615160177446"</f>
        <v>50322023032615160177446</v>
      </c>
      <c r="C679" s="9" t="s">
        <v>63</v>
      </c>
      <c r="D679" s="10" t="str">
        <f>"王凯奇"</f>
        <v>王凯奇</v>
      </c>
      <c r="E679" s="9" t="str">
        <f t="shared" si="26"/>
        <v>女</v>
      </c>
      <c r="F679" s="10"/>
    </row>
    <row r="680" spans="1:6" ht="30" customHeight="1">
      <c r="A680" s="9">
        <v>678</v>
      </c>
      <c r="B680" s="9" t="str">
        <f>"50322023032622032577690"</f>
        <v>50322023032622032577690</v>
      </c>
      <c r="C680" s="9" t="s">
        <v>63</v>
      </c>
      <c r="D680" s="10" t="str">
        <f>"符琳琳"</f>
        <v>符琳琳</v>
      </c>
      <c r="E680" s="9" t="str">
        <f t="shared" si="26"/>
        <v>女</v>
      </c>
      <c r="F680" s="10"/>
    </row>
    <row r="681" spans="1:6" ht="30" customHeight="1">
      <c r="A681" s="9">
        <v>679</v>
      </c>
      <c r="B681" s="9" t="str">
        <f>"50322023032814194879580"</f>
        <v>50322023032814194879580</v>
      </c>
      <c r="C681" s="9" t="s">
        <v>63</v>
      </c>
      <c r="D681" s="10" t="str">
        <f>"沈静"</f>
        <v>沈静</v>
      </c>
      <c r="E681" s="9" t="str">
        <f t="shared" si="26"/>
        <v>女</v>
      </c>
      <c r="F681" s="10"/>
    </row>
    <row r="682" spans="1:6" ht="30" customHeight="1">
      <c r="A682" s="9">
        <v>680</v>
      </c>
      <c r="B682" s="9" t="str">
        <f>"50322023032816545479785"</f>
        <v>50322023032816545479785</v>
      </c>
      <c r="C682" s="9" t="s">
        <v>63</v>
      </c>
      <c r="D682" s="10" t="str">
        <f>"王雄婷"</f>
        <v>王雄婷</v>
      </c>
      <c r="E682" s="9" t="str">
        <f t="shared" si="26"/>
        <v>女</v>
      </c>
      <c r="F682" s="10"/>
    </row>
    <row r="683" spans="1:6" ht="30" customHeight="1">
      <c r="A683" s="9">
        <v>681</v>
      </c>
      <c r="B683" s="9" t="str">
        <f>"50322023032908291180378"</f>
        <v>50322023032908291180378</v>
      </c>
      <c r="C683" s="9" t="s">
        <v>63</v>
      </c>
      <c r="D683" s="10" t="str">
        <f>"陈冰月"</f>
        <v>陈冰月</v>
      </c>
      <c r="E683" s="9" t="str">
        <f t="shared" si="26"/>
        <v>女</v>
      </c>
      <c r="F683" s="10"/>
    </row>
    <row r="684" spans="1:6" ht="30" customHeight="1">
      <c r="A684" s="9">
        <v>682</v>
      </c>
      <c r="B684" s="9" t="str">
        <f>"50322023032909584280925"</f>
        <v>50322023032909584280925</v>
      </c>
      <c r="C684" s="9" t="s">
        <v>63</v>
      </c>
      <c r="D684" s="10" t="str">
        <f>"韩懿"</f>
        <v>韩懿</v>
      </c>
      <c r="E684" s="9" t="str">
        <f t="shared" si="26"/>
        <v>女</v>
      </c>
      <c r="F684" s="10"/>
    </row>
    <row r="685" spans="1:6" ht="30" customHeight="1">
      <c r="A685" s="9">
        <v>683</v>
      </c>
      <c r="B685" s="9" t="str">
        <f>"50322023032912323181691"</f>
        <v>50322023032912323181691</v>
      </c>
      <c r="C685" s="9" t="s">
        <v>63</v>
      </c>
      <c r="D685" s="10" t="str">
        <f>"黄慧洁"</f>
        <v>黄慧洁</v>
      </c>
      <c r="E685" s="9" t="str">
        <f t="shared" si="26"/>
        <v>女</v>
      </c>
      <c r="F685" s="10"/>
    </row>
    <row r="686" spans="1:6" ht="30" customHeight="1">
      <c r="A686" s="9">
        <v>684</v>
      </c>
      <c r="B686" s="9" t="str">
        <f>"50322023032109192563328"</f>
        <v>50322023032109192563328</v>
      </c>
      <c r="C686" s="9" t="s">
        <v>64</v>
      </c>
      <c r="D686" s="10" t="str">
        <f>"吴新芬"</f>
        <v>吴新芬</v>
      </c>
      <c r="E686" s="9" t="str">
        <f t="shared" si="26"/>
        <v>女</v>
      </c>
      <c r="F686" s="10"/>
    </row>
    <row r="687" spans="1:6" ht="30" customHeight="1">
      <c r="A687" s="9">
        <v>685</v>
      </c>
      <c r="B687" s="9" t="str">
        <f>"50322023032111343264823"</f>
        <v>50322023032111343264823</v>
      </c>
      <c r="C687" s="9" t="s">
        <v>64</v>
      </c>
      <c r="D687" s="10" t="str">
        <f>"肖涵"</f>
        <v>肖涵</v>
      </c>
      <c r="E687" s="9" t="str">
        <f>"男"</f>
        <v>男</v>
      </c>
      <c r="F687" s="10"/>
    </row>
    <row r="688" spans="1:6" ht="30" customHeight="1">
      <c r="A688" s="9">
        <v>686</v>
      </c>
      <c r="B688" s="9" t="str">
        <f>"50322023032113283665525"</f>
        <v>50322023032113283665525</v>
      </c>
      <c r="C688" s="9" t="s">
        <v>64</v>
      </c>
      <c r="D688" s="10" t="str">
        <f>"崔莹源"</f>
        <v>崔莹源</v>
      </c>
      <c r="E688" s="9" t="str">
        <f aca="true" t="shared" si="27" ref="E688:E699">"女"</f>
        <v>女</v>
      </c>
      <c r="F688" s="10"/>
    </row>
    <row r="689" spans="1:6" ht="30" customHeight="1">
      <c r="A689" s="9">
        <v>687</v>
      </c>
      <c r="B689" s="9" t="str">
        <f>"50322023032117252767043"</f>
        <v>50322023032117252767043</v>
      </c>
      <c r="C689" s="9" t="s">
        <v>64</v>
      </c>
      <c r="D689" s="10" t="str">
        <f>"薛琼"</f>
        <v>薛琼</v>
      </c>
      <c r="E689" s="9" t="str">
        <f t="shared" si="27"/>
        <v>女</v>
      </c>
      <c r="F689" s="10"/>
    </row>
    <row r="690" spans="1:6" ht="30" customHeight="1">
      <c r="A690" s="9">
        <v>688</v>
      </c>
      <c r="B690" s="9" t="str">
        <f>"50322023032210272770032"</f>
        <v>50322023032210272770032</v>
      </c>
      <c r="C690" s="9" t="s">
        <v>64</v>
      </c>
      <c r="D690" s="10" t="str">
        <f>"苏菲娅"</f>
        <v>苏菲娅</v>
      </c>
      <c r="E690" s="9" t="str">
        <f t="shared" si="27"/>
        <v>女</v>
      </c>
      <c r="F690" s="10"/>
    </row>
    <row r="691" spans="1:6" ht="30" customHeight="1">
      <c r="A691" s="9">
        <v>689</v>
      </c>
      <c r="B691" s="9" t="str">
        <f>"50322023032217502673074"</f>
        <v>50322023032217502673074</v>
      </c>
      <c r="C691" s="9" t="s">
        <v>64</v>
      </c>
      <c r="D691" s="10" t="str">
        <f>"黎慧欣"</f>
        <v>黎慧欣</v>
      </c>
      <c r="E691" s="9" t="str">
        <f t="shared" si="27"/>
        <v>女</v>
      </c>
      <c r="F691" s="10"/>
    </row>
    <row r="692" spans="1:6" ht="30" customHeight="1">
      <c r="A692" s="9">
        <v>690</v>
      </c>
      <c r="B692" s="9" t="str">
        <f>"50322023032309161873899"</f>
        <v>50322023032309161873899</v>
      </c>
      <c r="C692" s="9" t="s">
        <v>64</v>
      </c>
      <c r="D692" s="10" t="str">
        <f>"韩欣欣 "</f>
        <v>韩欣欣 </v>
      </c>
      <c r="E692" s="9" t="str">
        <f t="shared" si="27"/>
        <v>女</v>
      </c>
      <c r="F692" s="10"/>
    </row>
    <row r="693" spans="1:6" ht="30" customHeight="1">
      <c r="A693" s="9">
        <v>691</v>
      </c>
      <c r="B693" s="9" t="str">
        <f>"50322023032314522474559"</f>
        <v>50322023032314522474559</v>
      </c>
      <c r="C693" s="9" t="s">
        <v>64</v>
      </c>
      <c r="D693" s="10" t="str">
        <f>"庞青青"</f>
        <v>庞青青</v>
      </c>
      <c r="E693" s="9" t="str">
        <f t="shared" si="27"/>
        <v>女</v>
      </c>
      <c r="F693" s="10"/>
    </row>
    <row r="694" spans="1:6" ht="30" customHeight="1">
      <c r="A694" s="9">
        <v>692</v>
      </c>
      <c r="B694" s="9" t="str">
        <f>"50322023032315111874585"</f>
        <v>50322023032315111874585</v>
      </c>
      <c r="C694" s="9" t="s">
        <v>64</v>
      </c>
      <c r="D694" s="10" t="str">
        <f>"李紫媛"</f>
        <v>李紫媛</v>
      </c>
      <c r="E694" s="9" t="str">
        <f t="shared" si="27"/>
        <v>女</v>
      </c>
      <c r="F694" s="10"/>
    </row>
    <row r="695" spans="1:6" ht="30" customHeight="1">
      <c r="A695" s="9">
        <v>693</v>
      </c>
      <c r="B695" s="9" t="str">
        <f>"50322023032315391574647"</f>
        <v>50322023032315391574647</v>
      </c>
      <c r="C695" s="9" t="s">
        <v>64</v>
      </c>
      <c r="D695" s="10" t="str">
        <f>"陈柔"</f>
        <v>陈柔</v>
      </c>
      <c r="E695" s="9" t="str">
        <f t="shared" si="27"/>
        <v>女</v>
      </c>
      <c r="F695" s="10"/>
    </row>
    <row r="696" spans="1:6" ht="30" customHeight="1">
      <c r="A696" s="9">
        <v>694</v>
      </c>
      <c r="B696" s="9" t="str">
        <f>"50322023032414184075895"</f>
        <v>50322023032414184075895</v>
      </c>
      <c r="C696" s="9" t="s">
        <v>64</v>
      </c>
      <c r="D696" s="10" t="str">
        <f>"王丽金"</f>
        <v>王丽金</v>
      </c>
      <c r="E696" s="9" t="str">
        <f t="shared" si="27"/>
        <v>女</v>
      </c>
      <c r="F696" s="10"/>
    </row>
    <row r="697" spans="1:6" ht="30" customHeight="1">
      <c r="A697" s="9">
        <v>695</v>
      </c>
      <c r="B697" s="9" t="str">
        <f>"50322023032422324976428"</f>
        <v>50322023032422324976428</v>
      </c>
      <c r="C697" s="9" t="s">
        <v>64</v>
      </c>
      <c r="D697" s="10" t="str">
        <f>"曾绳芳"</f>
        <v>曾绳芳</v>
      </c>
      <c r="E697" s="9" t="str">
        <f t="shared" si="27"/>
        <v>女</v>
      </c>
      <c r="F697" s="10"/>
    </row>
    <row r="698" spans="1:6" ht="30" customHeight="1">
      <c r="A698" s="9">
        <v>696</v>
      </c>
      <c r="B698" s="9" t="str">
        <f>"50322023032523255377211"</f>
        <v>50322023032523255377211</v>
      </c>
      <c r="C698" s="9" t="s">
        <v>64</v>
      </c>
      <c r="D698" s="10" t="str">
        <f>"唐思蕊"</f>
        <v>唐思蕊</v>
      </c>
      <c r="E698" s="9" t="str">
        <f t="shared" si="27"/>
        <v>女</v>
      </c>
      <c r="F698" s="10"/>
    </row>
    <row r="699" spans="1:6" ht="30" customHeight="1">
      <c r="A699" s="9">
        <v>697</v>
      </c>
      <c r="B699" s="9" t="str">
        <f>"50322023032608200277249"</f>
        <v>50322023032608200277249</v>
      </c>
      <c r="C699" s="9" t="s">
        <v>64</v>
      </c>
      <c r="D699" s="10" t="str">
        <f>"温莉"</f>
        <v>温莉</v>
      </c>
      <c r="E699" s="9" t="str">
        <f t="shared" si="27"/>
        <v>女</v>
      </c>
      <c r="F699" s="10"/>
    </row>
    <row r="700" spans="1:6" ht="30" customHeight="1">
      <c r="A700" s="9">
        <v>698</v>
      </c>
      <c r="B700" s="9" t="str">
        <f>"50322023032620400077631"</f>
        <v>50322023032620400077631</v>
      </c>
      <c r="C700" s="9" t="s">
        <v>64</v>
      </c>
      <c r="D700" s="10" t="str">
        <f>"张鸣"</f>
        <v>张鸣</v>
      </c>
      <c r="E700" s="9" t="str">
        <f>"男"</f>
        <v>男</v>
      </c>
      <c r="F700" s="10"/>
    </row>
    <row r="701" spans="1:6" ht="30" customHeight="1">
      <c r="A701" s="9">
        <v>699</v>
      </c>
      <c r="B701" s="9" t="str">
        <f>"50322023032621221977662"</f>
        <v>50322023032621221977662</v>
      </c>
      <c r="C701" s="9" t="s">
        <v>64</v>
      </c>
      <c r="D701" s="10" t="str">
        <f>"董朝燕"</f>
        <v>董朝燕</v>
      </c>
      <c r="E701" s="9" t="str">
        <f>"女"</f>
        <v>女</v>
      </c>
      <c r="F701" s="10"/>
    </row>
    <row r="702" spans="1:6" ht="30" customHeight="1">
      <c r="A702" s="9">
        <v>700</v>
      </c>
      <c r="B702" s="9" t="str">
        <f>"50322023032701362177790"</f>
        <v>50322023032701362177790</v>
      </c>
      <c r="C702" s="9" t="s">
        <v>64</v>
      </c>
      <c r="D702" s="10" t="str">
        <f>"陈丽花"</f>
        <v>陈丽花</v>
      </c>
      <c r="E702" s="9" t="str">
        <f>"女"</f>
        <v>女</v>
      </c>
      <c r="F702" s="10"/>
    </row>
    <row r="703" spans="1:6" ht="30" customHeight="1">
      <c r="A703" s="9">
        <v>701</v>
      </c>
      <c r="B703" s="9" t="str">
        <f>"50322023032709040277847"</f>
        <v>50322023032709040277847</v>
      </c>
      <c r="C703" s="9" t="s">
        <v>64</v>
      </c>
      <c r="D703" s="10" t="str">
        <f>"张紫涵"</f>
        <v>张紫涵</v>
      </c>
      <c r="E703" s="9" t="str">
        <f>"女"</f>
        <v>女</v>
      </c>
      <c r="F703" s="10"/>
    </row>
    <row r="704" spans="1:6" ht="30" customHeight="1">
      <c r="A704" s="9">
        <v>702</v>
      </c>
      <c r="B704" s="9" t="str">
        <f>"50322023032710484778074"</f>
        <v>50322023032710484778074</v>
      </c>
      <c r="C704" s="9" t="s">
        <v>64</v>
      </c>
      <c r="D704" s="10" t="str">
        <f>"刘张忠"</f>
        <v>刘张忠</v>
      </c>
      <c r="E704" s="9" t="str">
        <f>"男"</f>
        <v>男</v>
      </c>
      <c r="F704" s="10"/>
    </row>
    <row r="705" spans="1:6" ht="30" customHeight="1">
      <c r="A705" s="9">
        <v>703</v>
      </c>
      <c r="B705" s="9" t="str">
        <f>"50322023032711124978127"</f>
        <v>50322023032711124978127</v>
      </c>
      <c r="C705" s="9" t="s">
        <v>64</v>
      </c>
      <c r="D705" s="10" t="str">
        <f>"符驻在"</f>
        <v>符驻在</v>
      </c>
      <c r="E705" s="9" t="str">
        <f aca="true" t="shared" si="28" ref="E705:E717">"女"</f>
        <v>女</v>
      </c>
      <c r="F705" s="10"/>
    </row>
    <row r="706" spans="1:6" ht="30" customHeight="1">
      <c r="A706" s="9">
        <v>704</v>
      </c>
      <c r="B706" s="9" t="str">
        <f>"50322023032711534178192"</f>
        <v>50322023032711534178192</v>
      </c>
      <c r="C706" s="9" t="s">
        <v>64</v>
      </c>
      <c r="D706" s="10" t="str">
        <f>"朱宇雲"</f>
        <v>朱宇雲</v>
      </c>
      <c r="E706" s="9" t="str">
        <f t="shared" si="28"/>
        <v>女</v>
      </c>
      <c r="F706" s="10"/>
    </row>
    <row r="707" spans="1:6" ht="30" customHeight="1">
      <c r="A707" s="9">
        <v>705</v>
      </c>
      <c r="B707" s="9" t="str">
        <f>"50322023032715143478428"</f>
        <v>50322023032715143478428</v>
      </c>
      <c r="C707" s="9" t="s">
        <v>64</v>
      </c>
      <c r="D707" s="10" t="str">
        <f>"赵学清"</f>
        <v>赵学清</v>
      </c>
      <c r="E707" s="9" t="str">
        <f t="shared" si="28"/>
        <v>女</v>
      </c>
      <c r="F707" s="10"/>
    </row>
    <row r="708" spans="1:6" ht="30" customHeight="1">
      <c r="A708" s="9">
        <v>706</v>
      </c>
      <c r="B708" s="9" t="str">
        <f>"50322023032717244078620"</f>
        <v>50322023032717244078620</v>
      </c>
      <c r="C708" s="9" t="s">
        <v>64</v>
      </c>
      <c r="D708" s="10" t="str">
        <f>"林造芳"</f>
        <v>林造芳</v>
      </c>
      <c r="E708" s="9" t="str">
        <f t="shared" si="28"/>
        <v>女</v>
      </c>
      <c r="F708" s="10"/>
    </row>
    <row r="709" spans="1:6" ht="30" customHeight="1">
      <c r="A709" s="9">
        <v>707</v>
      </c>
      <c r="B709" s="9" t="str">
        <f>"50322023032720552578835"</f>
        <v>50322023032720552578835</v>
      </c>
      <c r="C709" s="9" t="s">
        <v>64</v>
      </c>
      <c r="D709" s="10" t="str">
        <f>"李月"</f>
        <v>李月</v>
      </c>
      <c r="E709" s="9" t="str">
        <f t="shared" si="28"/>
        <v>女</v>
      </c>
      <c r="F709" s="10"/>
    </row>
    <row r="710" spans="1:6" ht="30" customHeight="1">
      <c r="A710" s="9">
        <v>708</v>
      </c>
      <c r="B710" s="9" t="str">
        <f>"50322023032721520778914"</f>
        <v>50322023032721520778914</v>
      </c>
      <c r="C710" s="9" t="s">
        <v>64</v>
      </c>
      <c r="D710" s="10" t="str">
        <f>"罗文洁"</f>
        <v>罗文洁</v>
      </c>
      <c r="E710" s="9" t="str">
        <f t="shared" si="28"/>
        <v>女</v>
      </c>
      <c r="F710" s="10"/>
    </row>
    <row r="711" spans="1:6" ht="30" customHeight="1">
      <c r="A711" s="9">
        <v>709</v>
      </c>
      <c r="B711" s="9" t="str">
        <f>"50322023032809374679198"</f>
        <v>50322023032809374679198</v>
      </c>
      <c r="C711" s="9" t="s">
        <v>64</v>
      </c>
      <c r="D711" s="10" t="str">
        <f>"王不够"</f>
        <v>王不够</v>
      </c>
      <c r="E711" s="9" t="str">
        <f t="shared" si="28"/>
        <v>女</v>
      </c>
      <c r="F711" s="10"/>
    </row>
    <row r="712" spans="1:6" ht="30" customHeight="1">
      <c r="A712" s="9">
        <v>710</v>
      </c>
      <c r="B712" s="9" t="str">
        <f>"50322023032810441979335"</f>
        <v>50322023032810441979335</v>
      </c>
      <c r="C712" s="9" t="s">
        <v>64</v>
      </c>
      <c r="D712" s="10" t="str">
        <f>"容镜希"</f>
        <v>容镜希</v>
      </c>
      <c r="E712" s="9" t="str">
        <f t="shared" si="28"/>
        <v>女</v>
      </c>
      <c r="F712" s="10"/>
    </row>
    <row r="713" spans="1:6" ht="30" customHeight="1">
      <c r="A713" s="9">
        <v>711</v>
      </c>
      <c r="B713" s="9" t="str">
        <f>"50322023032814082979568"</f>
        <v>50322023032814082979568</v>
      </c>
      <c r="C713" s="9" t="s">
        <v>64</v>
      </c>
      <c r="D713" s="10" t="str">
        <f>"林彦敏"</f>
        <v>林彦敏</v>
      </c>
      <c r="E713" s="9" t="str">
        <f t="shared" si="28"/>
        <v>女</v>
      </c>
      <c r="F713" s="10"/>
    </row>
    <row r="714" spans="1:6" ht="30" customHeight="1">
      <c r="A714" s="9">
        <v>712</v>
      </c>
      <c r="B714" s="9" t="str">
        <f>"50322023032814515079621"</f>
        <v>50322023032814515079621</v>
      </c>
      <c r="C714" s="9" t="s">
        <v>64</v>
      </c>
      <c r="D714" s="10" t="str">
        <f>"邓婉靖"</f>
        <v>邓婉靖</v>
      </c>
      <c r="E714" s="9" t="str">
        <f t="shared" si="28"/>
        <v>女</v>
      </c>
      <c r="F714" s="10"/>
    </row>
    <row r="715" spans="1:6" ht="30" customHeight="1">
      <c r="A715" s="9">
        <v>713</v>
      </c>
      <c r="B715" s="9" t="str">
        <f>"50322023032815400479693"</f>
        <v>50322023032815400479693</v>
      </c>
      <c r="C715" s="9" t="s">
        <v>64</v>
      </c>
      <c r="D715" s="10" t="str">
        <f>"李影"</f>
        <v>李影</v>
      </c>
      <c r="E715" s="9" t="str">
        <f t="shared" si="28"/>
        <v>女</v>
      </c>
      <c r="F715" s="10"/>
    </row>
    <row r="716" spans="1:6" ht="30" customHeight="1">
      <c r="A716" s="9">
        <v>714</v>
      </c>
      <c r="B716" s="9" t="str">
        <f>"50322023032821063380084"</f>
        <v>50322023032821063380084</v>
      </c>
      <c r="C716" s="9" t="s">
        <v>64</v>
      </c>
      <c r="D716" s="10" t="str">
        <f>"吴姗姗"</f>
        <v>吴姗姗</v>
      </c>
      <c r="E716" s="9" t="str">
        <f t="shared" si="28"/>
        <v>女</v>
      </c>
      <c r="F716" s="10"/>
    </row>
    <row r="717" spans="1:6" ht="30" customHeight="1">
      <c r="A717" s="9">
        <v>715</v>
      </c>
      <c r="B717" s="9" t="str">
        <f>"50322023032901550180343"</f>
        <v>50322023032901550180343</v>
      </c>
      <c r="C717" s="9" t="s">
        <v>64</v>
      </c>
      <c r="D717" s="10" t="str">
        <f>"周晓红"</f>
        <v>周晓红</v>
      </c>
      <c r="E717" s="9" t="str">
        <f t="shared" si="28"/>
        <v>女</v>
      </c>
      <c r="F717" s="10"/>
    </row>
    <row r="718" spans="1:6" ht="30" customHeight="1">
      <c r="A718" s="9">
        <v>716</v>
      </c>
      <c r="B718" s="9" t="str">
        <f>"50322023032907080680354"</f>
        <v>50322023032907080680354</v>
      </c>
      <c r="C718" s="9" t="s">
        <v>64</v>
      </c>
      <c r="D718" s="10" t="str">
        <f>"陆明宇"</f>
        <v>陆明宇</v>
      </c>
      <c r="E718" s="9" t="str">
        <f>"男"</f>
        <v>男</v>
      </c>
      <c r="F718" s="10"/>
    </row>
    <row r="719" spans="1:6" ht="30" customHeight="1">
      <c r="A719" s="9">
        <v>717</v>
      </c>
      <c r="B719" s="9" t="str">
        <f>"50322023032909435980825"</f>
        <v>50322023032909435980825</v>
      </c>
      <c r="C719" s="9" t="s">
        <v>64</v>
      </c>
      <c r="D719" s="10" t="str">
        <f>"黄秋梅"</f>
        <v>黄秋梅</v>
      </c>
      <c r="E719" s="9" t="str">
        <f aca="true" t="shared" si="29" ref="E719:E741">"女"</f>
        <v>女</v>
      </c>
      <c r="F719" s="10"/>
    </row>
    <row r="720" spans="1:6" ht="30" customHeight="1">
      <c r="A720" s="9">
        <v>718</v>
      </c>
      <c r="B720" s="9" t="str">
        <f>"50322023032910435281196"</f>
        <v>50322023032910435281196</v>
      </c>
      <c r="C720" s="9" t="s">
        <v>64</v>
      </c>
      <c r="D720" s="10" t="str">
        <f>"王秋兰"</f>
        <v>王秋兰</v>
      </c>
      <c r="E720" s="9" t="str">
        <f t="shared" si="29"/>
        <v>女</v>
      </c>
      <c r="F720" s="10"/>
    </row>
    <row r="721" spans="1:6" ht="30" customHeight="1">
      <c r="A721" s="9">
        <v>719</v>
      </c>
      <c r="B721" s="9" t="str">
        <f>"50322023032910451981207"</f>
        <v>50322023032910451981207</v>
      </c>
      <c r="C721" s="9" t="s">
        <v>64</v>
      </c>
      <c r="D721" s="10" t="str">
        <f>"邢雅钤"</f>
        <v>邢雅钤</v>
      </c>
      <c r="E721" s="9" t="str">
        <f t="shared" si="29"/>
        <v>女</v>
      </c>
      <c r="F721" s="10"/>
    </row>
    <row r="722" spans="1:6" ht="30" customHeight="1">
      <c r="A722" s="9">
        <v>720</v>
      </c>
      <c r="B722" s="9" t="str">
        <f>"50322023032911351481470"</f>
        <v>50322023032911351481470</v>
      </c>
      <c r="C722" s="9" t="s">
        <v>64</v>
      </c>
      <c r="D722" s="10" t="str">
        <f>"陈楚甯"</f>
        <v>陈楚甯</v>
      </c>
      <c r="E722" s="9" t="str">
        <f t="shared" si="29"/>
        <v>女</v>
      </c>
      <c r="F722" s="10"/>
    </row>
    <row r="723" spans="1:6" ht="30" customHeight="1">
      <c r="A723" s="9">
        <v>721</v>
      </c>
      <c r="B723" s="9" t="str">
        <f>"50322023032911472281521"</f>
        <v>50322023032911472281521</v>
      </c>
      <c r="C723" s="9" t="s">
        <v>64</v>
      </c>
      <c r="D723" s="10" t="str">
        <f>"梁婷婷"</f>
        <v>梁婷婷</v>
      </c>
      <c r="E723" s="9" t="str">
        <f t="shared" si="29"/>
        <v>女</v>
      </c>
      <c r="F723" s="10"/>
    </row>
    <row r="724" spans="1:6" ht="30" customHeight="1">
      <c r="A724" s="9">
        <v>722</v>
      </c>
      <c r="B724" s="9" t="str">
        <f>"50322023032912525381769"</f>
        <v>50322023032912525381769</v>
      </c>
      <c r="C724" s="9" t="s">
        <v>64</v>
      </c>
      <c r="D724" s="10" t="str">
        <f>"陈思昱"</f>
        <v>陈思昱</v>
      </c>
      <c r="E724" s="9" t="str">
        <f t="shared" si="29"/>
        <v>女</v>
      </c>
      <c r="F724" s="10"/>
    </row>
    <row r="725" spans="1:6" ht="30" customHeight="1">
      <c r="A725" s="9">
        <v>723</v>
      </c>
      <c r="B725" s="9" t="str">
        <f>"50322023032914424682116"</f>
        <v>50322023032914424682116</v>
      </c>
      <c r="C725" s="9" t="s">
        <v>64</v>
      </c>
      <c r="D725" s="10" t="str">
        <f>"符火苗"</f>
        <v>符火苗</v>
      </c>
      <c r="E725" s="9" t="str">
        <f t="shared" si="29"/>
        <v>女</v>
      </c>
      <c r="F725" s="10"/>
    </row>
    <row r="726" spans="1:6" ht="30" customHeight="1">
      <c r="A726" s="9">
        <v>724</v>
      </c>
      <c r="B726" s="9" t="str">
        <f>"50322023032915421982354"</f>
        <v>50322023032915421982354</v>
      </c>
      <c r="C726" s="9" t="s">
        <v>64</v>
      </c>
      <c r="D726" s="10" t="str">
        <f>"王宇"</f>
        <v>王宇</v>
      </c>
      <c r="E726" s="9" t="str">
        <f t="shared" si="29"/>
        <v>女</v>
      </c>
      <c r="F726" s="10"/>
    </row>
    <row r="727" spans="1:6" ht="30" customHeight="1">
      <c r="A727" s="9">
        <v>725</v>
      </c>
      <c r="B727" s="9" t="str">
        <f>"50322023032916550482804"</f>
        <v>50322023032916550482804</v>
      </c>
      <c r="C727" s="9" t="s">
        <v>64</v>
      </c>
      <c r="D727" s="10" t="str">
        <f>"黄子虹"</f>
        <v>黄子虹</v>
      </c>
      <c r="E727" s="9" t="str">
        <f t="shared" si="29"/>
        <v>女</v>
      </c>
      <c r="F727" s="10"/>
    </row>
    <row r="728" spans="1:6" ht="30" customHeight="1">
      <c r="A728" s="9">
        <v>726</v>
      </c>
      <c r="B728" s="9" t="str">
        <f>"50322023032918034284031"</f>
        <v>50322023032918034284031</v>
      </c>
      <c r="C728" s="9" t="s">
        <v>64</v>
      </c>
      <c r="D728" s="10" t="str">
        <f>"陈怡婷"</f>
        <v>陈怡婷</v>
      </c>
      <c r="E728" s="9" t="str">
        <f t="shared" si="29"/>
        <v>女</v>
      </c>
      <c r="F728" s="10"/>
    </row>
    <row r="729" spans="1:6" ht="30" customHeight="1">
      <c r="A729" s="9">
        <v>727</v>
      </c>
      <c r="B729" s="9" t="str">
        <f>"50322023032918060984042"</f>
        <v>50322023032918060984042</v>
      </c>
      <c r="C729" s="9" t="s">
        <v>64</v>
      </c>
      <c r="D729" s="10" t="str">
        <f>"黄奎端"</f>
        <v>黄奎端</v>
      </c>
      <c r="E729" s="9" t="str">
        <f t="shared" si="29"/>
        <v>女</v>
      </c>
      <c r="F729" s="10"/>
    </row>
    <row r="730" spans="1:6" ht="30" customHeight="1">
      <c r="A730" s="9">
        <v>728</v>
      </c>
      <c r="B730" s="9" t="str">
        <f>"50322023032920143884524"</f>
        <v>50322023032920143884524</v>
      </c>
      <c r="C730" s="9" t="s">
        <v>64</v>
      </c>
      <c r="D730" s="10" t="str">
        <f>"韩依婷"</f>
        <v>韩依婷</v>
      </c>
      <c r="E730" s="9" t="str">
        <f t="shared" si="29"/>
        <v>女</v>
      </c>
      <c r="F730" s="10"/>
    </row>
    <row r="731" spans="1:6" ht="30" customHeight="1">
      <c r="A731" s="9">
        <v>729</v>
      </c>
      <c r="B731" s="9" t="str">
        <f>"50322023032921434284774"</f>
        <v>50322023032921434284774</v>
      </c>
      <c r="C731" s="9" t="s">
        <v>64</v>
      </c>
      <c r="D731" s="10" t="str">
        <f>"许先娇"</f>
        <v>许先娇</v>
      </c>
      <c r="E731" s="9" t="str">
        <f t="shared" si="29"/>
        <v>女</v>
      </c>
      <c r="F731" s="10"/>
    </row>
    <row r="732" spans="1:6" ht="30" customHeight="1">
      <c r="A732" s="9">
        <v>730</v>
      </c>
      <c r="B732" s="9" t="str">
        <f>"50322023032922411184935"</f>
        <v>50322023032922411184935</v>
      </c>
      <c r="C732" s="9" t="s">
        <v>64</v>
      </c>
      <c r="D732" s="10" t="str">
        <f>"蔡宛帧"</f>
        <v>蔡宛帧</v>
      </c>
      <c r="E732" s="9" t="str">
        <f t="shared" si="29"/>
        <v>女</v>
      </c>
      <c r="F732" s="10"/>
    </row>
    <row r="733" spans="1:6" ht="30" customHeight="1">
      <c r="A733" s="9">
        <v>731</v>
      </c>
      <c r="B733" s="9" t="str">
        <f>"50322023032923182484998"</f>
        <v>50322023032923182484998</v>
      </c>
      <c r="C733" s="9" t="s">
        <v>64</v>
      </c>
      <c r="D733" s="10" t="str">
        <f>"赵媛媛"</f>
        <v>赵媛媛</v>
      </c>
      <c r="E733" s="9" t="str">
        <f t="shared" si="29"/>
        <v>女</v>
      </c>
      <c r="F733" s="10"/>
    </row>
    <row r="734" spans="1:6" ht="30" customHeight="1">
      <c r="A734" s="9">
        <v>732</v>
      </c>
      <c r="B734" s="9" t="str">
        <f>"50322023032923432485041"</f>
        <v>50322023032923432485041</v>
      </c>
      <c r="C734" s="9" t="s">
        <v>64</v>
      </c>
      <c r="D734" s="10" t="str">
        <f>"段小红"</f>
        <v>段小红</v>
      </c>
      <c r="E734" s="9" t="str">
        <f t="shared" si="29"/>
        <v>女</v>
      </c>
      <c r="F734" s="10"/>
    </row>
    <row r="735" spans="1:6" ht="30" customHeight="1">
      <c r="A735" s="9">
        <v>733</v>
      </c>
      <c r="B735" s="9" t="str">
        <f>"50322023032923512985054"</f>
        <v>50322023032923512985054</v>
      </c>
      <c r="C735" s="9" t="s">
        <v>64</v>
      </c>
      <c r="D735" s="10" t="str">
        <f>"杨能"</f>
        <v>杨能</v>
      </c>
      <c r="E735" s="9" t="str">
        <f t="shared" si="29"/>
        <v>女</v>
      </c>
      <c r="F735" s="10"/>
    </row>
    <row r="736" spans="1:6" ht="30" customHeight="1">
      <c r="A736" s="9">
        <v>734</v>
      </c>
      <c r="B736" s="9" t="str">
        <f>"50322023033009444385491"</f>
        <v>50322023033009444385491</v>
      </c>
      <c r="C736" s="9" t="s">
        <v>64</v>
      </c>
      <c r="D736" s="10" t="str">
        <f>"林哲"</f>
        <v>林哲</v>
      </c>
      <c r="E736" s="9" t="str">
        <f t="shared" si="29"/>
        <v>女</v>
      </c>
      <c r="F736" s="10"/>
    </row>
    <row r="737" spans="1:6" ht="30" customHeight="1">
      <c r="A737" s="9">
        <v>735</v>
      </c>
      <c r="B737" s="9" t="str">
        <f>"50322023033010214085660"</f>
        <v>50322023033010214085660</v>
      </c>
      <c r="C737" s="9" t="s">
        <v>64</v>
      </c>
      <c r="D737" s="10" t="str">
        <f>"陆显任"</f>
        <v>陆显任</v>
      </c>
      <c r="E737" s="9" t="str">
        <f t="shared" si="29"/>
        <v>女</v>
      </c>
      <c r="F737" s="10"/>
    </row>
    <row r="738" spans="1:6" ht="30" customHeight="1">
      <c r="A738" s="9">
        <v>736</v>
      </c>
      <c r="B738" s="9" t="str">
        <f>"50322023032108032062955"</f>
        <v>50322023032108032062955</v>
      </c>
      <c r="C738" s="9" t="s">
        <v>65</v>
      </c>
      <c r="D738" s="10" t="str">
        <f>"王符姑"</f>
        <v>王符姑</v>
      </c>
      <c r="E738" s="9" t="str">
        <f t="shared" si="29"/>
        <v>女</v>
      </c>
      <c r="F738" s="10"/>
    </row>
    <row r="739" spans="1:6" ht="30" customHeight="1">
      <c r="A739" s="9">
        <v>737</v>
      </c>
      <c r="B739" s="9" t="str">
        <f>"50322023032109574463929"</f>
        <v>50322023032109574463929</v>
      </c>
      <c r="C739" s="9" t="s">
        <v>65</v>
      </c>
      <c r="D739" s="10" t="str">
        <f>"杨千"</f>
        <v>杨千</v>
      </c>
      <c r="E739" s="9" t="str">
        <f t="shared" si="29"/>
        <v>女</v>
      </c>
      <c r="F739" s="10"/>
    </row>
    <row r="740" spans="1:6" ht="30" customHeight="1">
      <c r="A740" s="9">
        <v>738</v>
      </c>
      <c r="B740" s="9" t="str">
        <f>"50322023032111524964966"</f>
        <v>50322023032111524964966</v>
      </c>
      <c r="C740" s="9" t="s">
        <v>65</v>
      </c>
      <c r="D740" s="10" t="str">
        <f>"安妮"</f>
        <v>安妮</v>
      </c>
      <c r="E740" s="9" t="str">
        <f t="shared" si="29"/>
        <v>女</v>
      </c>
      <c r="F740" s="10"/>
    </row>
    <row r="741" spans="1:6" ht="30" customHeight="1">
      <c r="A741" s="9">
        <v>739</v>
      </c>
      <c r="B741" s="9" t="str">
        <f>"50322023032111544164978"</f>
        <v>50322023032111544164978</v>
      </c>
      <c r="C741" s="9" t="s">
        <v>65</v>
      </c>
      <c r="D741" s="10" t="str">
        <f>"许泊茹"</f>
        <v>许泊茹</v>
      </c>
      <c r="E741" s="9" t="str">
        <f t="shared" si="29"/>
        <v>女</v>
      </c>
      <c r="F741" s="10"/>
    </row>
    <row r="742" spans="1:6" ht="30" customHeight="1">
      <c r="A742" s="9">
        <v>740</v>
      </c>
      <c r="B742" s="9" t="str">
        <f>"50322023032112390565237"</f>
        <v>50322023032112390565237</v>
      </c>
      <c r="C742" s="9" t="s">
        <v>65</v>
      </c>
      <c r="D742" s="10" t="str">
        <f>"林方蛟"</f>
        <v>林方蛟</v>
      </c>
      <c r="E742" s="9" t="str">
        <f>"男"</f>
        <v>男</v>
      </c>
      <c r="F742" s="10"/>
    </row>
    <row r="743" spans="1:6" ht="30" customHeight="1">
      <c r="A743" s="9">
        <v>741</v>
      </c>
      <c r="B743" s="9" t="str">
        <f>"50322023032114580666081"</f>
        <v>50322023032114580666081</v>
      </c>
      <c r="C743" s="9" t="s">
        <v>65</v>
      </c>
      <c r="D743" s="10" t="str">
        <f>"罗琼欣"</f>
        <v>罗琼欣</v>
      </c>
      <c r="E743" s="9" t="str">
        <f aca="true" t="shared" si="30" ref="E743:E750">"女"</f>
        <v>女</v>
      </c>
      <c r="F743" s="10"/>
    </row>
    <row r="744" spans="1:6" ht="30" customHeight="1">
      <c r="A744" s="9">
        <v>742</v>
      </c>
      <c r="B744" s="9" t="str">
        <f>"50322023032122013968583"</f>
        <v>50322023032122013968583</v>
      </c>
      <c r="C744" s="9" t="s">
        <v>65</v>
      </c>
      <c r="D744" s="10" t="str">
        <f>"吴艳艳"</f>
        <v>吴艳艳</v>
      </c>
      <c r="E744" s="9" t="str">
        <f t="shared" si="30"/>
        <v>女</v>
      </c>
      <c r="F744" s="10"/>
    </row>
    <row r="745" spans="1:6" ht="30" customHeight="1">
      <c r="A745" s="9">
        <v>743</v>
      </c>
      <c r="B745" s="9" t="str">
        <f>"50322023032216111572559"</f>
        <v>50322023032216111572559</v>
      </c>
      <c r="C745" s="9" t="s">
        <v>65</v>
      </c>
      <c r="D745" s="10" t="str">
        <f>"姜盼"</f>
        <v>姜盼</v>
      </c>
      <c r="E745" s="9" t="str">
        <f t="shared" si="30"/>
        <v>女</v>
      </c>
      <c r="F745" s="10"/>
    </row>
    <row r="746" spans="1:6" ht="30" customHeight="1">
      <c r="A746" s="9">
        <v>744</v>
      </c>
      <c r="B746" s="9" t="str">
        <f>"50322023032219592973308"</f>
        <v>50322023032219592973308</v>
      </c>
      <c r="C746" s="9" t="s">
        <v>65</v>
      </c>
      <c r="D746" s="10" t="str">
        <f>"薛媛媛"</f>
        <v>薛媛媛</v>
      </c>
      <c r="E746" s="9" t="str">
        <f t="shared" si="30"/>
        <v>女</v>
      </c>
      <c r="F746" s="10"/>
    </row>
    <row r="747" spans="1:6" ht="30" customHeight="1">
      <c r="A747" s="9">
        <v>745</v>
      </c>
      <c r="B747" s="9" t="str">
        <f>"50322023032400405875367"</f>
        <v>50322023032400405875367</v>
      </c>
      <c r="C747" s="9" t="s">
        <v>65</v>
      </c>
      <c r="D747" s="10" t="str">
        <f>"郭坤女"</f>
        <v>郭坤女</v>
      </c>
      <c r="E747" s="9" t="str">
        <f t="shared" si="30"/>
        <v>女</v>
      </c>
      <c r="F747" s="10"/>
    </row>
    <row r="748" spans="1:6" ht="30" customHeight="1">
      <c r="A748" s="9">
        <v>746</v>
      </c>
      <c r="B748" s="9" t="str">
        <f>"50322023032416045076057"</f>
        <v>50322023032416045076057</v>
      </c>
      <c r="C748" s="9" t="s">
        <v>65</v>
      </c>
      <c r="D748" s="10" t="str">
        <f>"马硕"</f>
        <v>马硕</v>
      </c>
      <c r="E748" s="9" t="str">
        <f t="shared" si="30"/>
        <v>女</v>
      </c>
      <c r="F748" s="10"/>
    </row>
    <row r="749" spans="1:6" ht="30" customHeight="1">
      <c r="A749" s="9">
        <v>747</v>
      </c>
      <c r="B749" s="9" t="str">
        <f>"50322023032422213776415"</f>
        <v>50322023032422213776415</v>
      </c>
      <c r="C749" s="9" t="s">
        <v>65</v>
      </c>
      <c r="D749" s="10" t="str">
        <f>"朱凯女"</f>
        <v>朱凯女</v>
      </c>
      <c r="E749" s="9" t="str">
        <f t="shared" si="30"/>
        <v>女</v>
      </c>
      <c r="F749" s="10"/>
    </row>
    <row r="750" spans="1:6" ht="30" customHeight="1">
      <c r="A750" s="9">
        <v>748</v>
      </c>
      <c r="B750" s="9" t="str">
        <f>"50322023032513443276802"</f>
        <v>50322023032513443276802</v>
      </c>
      <c r="C750" s="9" t="s">
        <v>65</v>
      </c>
      <c r="D750" s="10" t="str">
        <f>"孙碧蓝"</f>
        <v>孙碧蓝</v>
      </c>
      <c r="E750" s="9" t="str">
        <f t="shared" si="30"/>
        <v>女</v>
      </c>
      <c r="F750" s="10"/>
    </row>
    <row r="751" spans="1:6" ht="30" customHeight="1">
      <c r="A751" s="9">
        <v>749</v>
      </c>
      <c r="B751" s="9" t="str">
        <f>"50322023032520465377130"</f>
        <v>50322023032520465377130</v>
      </c>
      <c r="C751" s="9" t="s">
        <v>65</v>
      </c>
      <c r="D751" s="11" t="str">
        <f>"李伟"</f>
        <v>李伟</v>
      </c>
      <c r="E751" s="9" t="str">
        <f>"男"</f>
        <v>男</v>
      </c>
      <c r="F751" s="10"/>
    </row>
    <row r="752" spans="1:6" ht="30" customHeight="1">
      <c r="A752" s="9">
        <v>750</v>
      </c>
      <c r="B752" s="9" t="str">
        <f>"50322023032521050277141"</f>
        <v>50322023032521050277141</v>
      </c>
      <c r="C752" s="9" t="s">
        <v>65</v>
      </c>
      <c r="D752" s="10" t="str">
        <f>"庄垣秀"</f>
        <v>庄垣秀</v>
      </c>
      <c r="E752" s="9" t="str">
        <f>"女"</f>
        <v>女</v>
      </c>
      <c r="F752" s="10"/>
    </row>
    <row r="753" spans="1:6" ht="30" customHeight="1">
      <c r="A753" s="9">
        <v>751</v>
      </c>
      <c r="B753" s="9" t="str">
        <f>"50322023032615370277461"</f>
        <v>50322023032615370277461</v>
      </c>
      <c r="C753" s="9" t="s">
        <v>65</v>
      </c>
      <c r="D753" s="10" t="str">
        <f>"王湛怡"</f>
        <v>王湛怡</v>
      </c>
      <c r="E753" s="9" t="str">
        <f>"女"</f>
        <v>女</v>
      </c>
      <c r="F753" s="10"/>
    </row>
    <row r="754" spans="1:6" ht="30" customHeight="1">
      <c r="A754" s="9">
        <v>752</v>
      </c>
      <c r="B754" s="9" t="str">
        <f>"50322023032616412277503"</f>
        <v>50322023032616412277503</v>
      </c>
      <c r="C754" s="9" t="s">
        <v>65</v>
      </c>
      <c r="D754" s="10" t="str">
        <f>"林颖"</f>
        <v>林颖</v>
      </c>
      <c r="E754" s="9" t="str">
        <f>"女"</f>
        <v>女</v>
      </c>
      <c r="F754" s="11" t="s">
        <v>66</v>
      </c>
    </row>
    <row r="755" spans="1:6" ht="30" customHeight="1">
      <c r="A755" s="9">
        <v>753</v>
      </c>
      <c r="B755" s="9" t="str">
        <f>"50322023032619461277592"</f>
        <v>50322023032619461277592</v>
      </c>
      <c r="C755" s="9" t="s">
        <v>65</v>
      </c>
      <c r="D755" s="10" t="str">
        <f>"黎宁宁"</f>
        <v>黎宁宁</v>
      </c>
      <c r="E755" s="9" t="str">
        <f>"女"</f>
        <v>女</v>
      </c>
      <c r="F755" s="10"/>
    </row>
    <row r="756" spans="1:6" ht="30" customHeight="1">
      <c r="A756" s="9">
        <v>754</v>
      </c>
      <c r="B756" s="9" t="str">
        <f>"50322023032621340877670"</f>
        <v>50322023032621340877670</v>
      </c>
      <c r="C756" s="9" t="s">
        <v>65</v>
      </c>
      <c r="D756" s="10" t="str">
        <f>"于吉祥"</f>
        <v>于吉祥</v>
      </c>
      <c r="E756" s="9" t="str">
        <f>"男"</f>
        <v>男</v>
      </c>
      <c r="F756" s="10"/>
    </row>
    <row r="757" spans="1:6" ht="30" customHeight="1">
      <c r="A757" s="9">
        <v>755</v>
      </c>
      <c r="B757" s="9" t="str">
        <f>"50322023032622424777724"</f>
        <v>50322023032622424777724</v>
      </c>
      <c r="C757" s="9" t="s">
        <v>65</v>
      </c>
      <c r="D757" s="10" t="str">
        <f>"费菲"</f>
        <v>费菲</v>
      </c>
      <c r="E757" s="9" t="str">
        <f>"女"</f>
        <v>女</v>
      </c>
      <c r="F757" s="10"/>
    </row>
    <row r="758" spans="1:6" ht="30" customHeight="1">
      <c r="A758" s="9">
        <v>756</v>
      </c>
      <c r="B758" s="9" t="str">
        <f>"50322023032701345677789"</f>
        <v>50322023032701345677789</v>
      </c>
      <c r="C758" s="9" t="s">
        <v>65</v>
      </c>
      <c r="D758" s="10" t="str">
        <f>"陈婷婷"</f>
        <v>陈婷婷</v>
      </c>
      <c r="E758" s="9" t="str">
        <f>"女"</f>
        <v>女</v>
      </c>
      <c r="F758" s="10"/>
    </row>
    <row r="759" spans="1:6" ht="30" customHeight="1">
      <c r="A759" s="9">
        <v>757</v>
      </c>
      <c r="B759" s="9" t="str">
        <f>"50322023032708592477824"</f>
        <v>50322023032708592477824</v>
      </c>
      <c r="C759" s="9" t="s">
        <v>65</v>
      </c>
      <c r="D759" s="10" t="str">
        <f>"伍肃"</f>
        <v>伍肃</v>
      </c>
      <c r="E759" s="9" t="str">
        <f>"女"</f>
        <v>女</v>
      </c>
      <c r="F759" s="10"/>
    </row>
    <row r="760" spans="1:6" ht="30" customHeight="1">
      <c r="A760" s="9">
        <v>758</v>
      </c>
      <c r="B760" s="9" t="str">
        <f>"50322023032710310978041"</f>
        <v>50322023032710310978041</v>
      </c>
      <c r="C760" s="9" t="s">
        <v>65</v>
      </c>
      <c r="D760" s="10" t="str">
        <f>"李佳俐"</f>
        <v>李佳俐</v>
      </c>
      <c r="E760" s="9" t="str">
        <f>"女"</f>
        <v>女</v>
      </c>
      <c r="F760" s="10"/>
    </row>
    <row r="761" spans="1:6" ht="30" customHeight="1">
      <c r="A761" s="9">
        <v>759</v>
      </c>
      <c r="B761" s="9" t="str">
        <f>"50322023032712025878208"</f>
        <v>50322023032712025878208</v>
      </c>
      <c r="C761" s="9" t="s">
        <v>65</v>
      </c>
      <c r="D761" s="10" t="str">
        <f>"王义才"</f>
        <v>王义才</v>
      </c>
      <c r="E761" s="9" t="str">
        <f>"男"</f>
        <v>男</v>
      </c>
      <c r="F761" s="10"/>
    </row>
    <row r="762" spans="1:6" ht="30" customHeight="1">
      <c r="A762" s="9">
        <v>760</v>
      </c>
      <c r="B762" s="9" t="str">
        <f>"50322023032719573478769"</f>
        <v>50322023032719573478769</v>
      </c>
      <c r="C762" s="9" t="s">
        <v>65</v>
      </c>
      <c r="D762" s="10" t="str">
        <f>"董锐"</f>
        <v>董锐</v>
      </c>
      <c r="E762" s="9" t="str">
        <f aca="true" t="shared" si="31" ref="E762:E773">"女"</f>
        <v>女</v>
      </c>
      <c r="F762" s="10"/>
    </row>
    <row r="763" spans="1:6" ht="30" customHeight="1">
      <c r="A763" s="9">
        <v>761</v>
      </c>
      <c r="B763" s="9" t="str">
        <f>"50322023032722470378971"</f>
        <v>50322023032722470378971</v>
      </c>
      <c r="C763" s="9" t="s">
        <v>65</v>
      </c>
      <c r="D763" s="10" t="str">
        <f>"蔡乔乔"</f>
        <v>蔡乔乔</v>
      </c>
      <c r="E763" s="9" t="str">
        <f t="shared" si="31"/>
        <v>女</v>
      </c>
      <c r="F763" s="10"/>
    </row>
    <row r="764" spans="1:6" ht="30" customHeight="1">
      <c r="A764" s="9">
        <v>762</v>
      </c>
      <c r="B764" s="9" t="str">
        <f>"50322023032800133879033"</f>
        <v>50322023032800133879033</v>
      </c>
      <c r="C764" s="9" t="s">
        <v>65</v>
      </c>
      <c r="D764" s="10" t="str">
        <f>"刘佩瑶"</f>
        <v>刘佩瑶</v>
      </c>
      <c r="E764" s="9" t="str">
        <f t="shared" si="31"/>
        <v>女</v>
      </c>
      <c r="F764" s="10"/>
    </row>
    <row r="765" spans="1:6" ht="30" customHeight="1">
      <c r="A765" s="9">
        <v>763</v>
      </c>
      <c r="B765" s="9" t="str">
        <f>"50322023032810430579333"</f>
        <v>50322023032810430579333</v>
      </c>
      <c r="C765" s="9" t="s">
        <v>65</v>
      </c>
      <c r="D765" s="10" t="str">
        <f>"陈慧萍"</f>
        <v>陈慧萍</v>
      </c>
      <c r="E765" s="9" t="str">
        <f t="shared" si="31"/>
        <v>女</v>
      </c>
      <c r="F765" s="10"/>
    </row>
    <row r="766" spans="1:6" ht="30" customHeight="1">
      <c r="A766" s="9">
        <v>764</v>
      </c>
      <c r="B766" s="9" t="str">
        <f>"50322023032814421379604"</f>
        <v>50322023032814421379604</v>
      </c>
      <c r="C766" s="9" t="s">
        <v>65</v>
      </c>
      <c r="D766" s="10" t="str">
        <f>"王梦霞"</f>
        <v>王梦霞</v>
      </c>
      <c r="E766" s="9" t="str">
        <f t="shared" si="31"/>
        <v>女</v>
      </c>
      <c r="F766" s="10"/>
    </row>
    <row r="767" spans="1:6" ht="30" customHeight="1">
      <c r="A767" s="9">
        <v>765</v>
      </c>
      <c r="B767" s="9" t="str">
        <f>"50322023032815225379663"</f>
        <v>50322023032815225379663</v>
      </c>
      <c r="C767" s="9" t="s">
        <v>65</v>
      </c>
      <c r="D767" s="10" t="str">
        <f>"段雪云"</f>
        <v>段雪云</v>
      </c>
      <c r="E767" s="9" t="str">
        <f t="shared" si="31"/>
        <v>女</v>
      </c>
      <c r="F767" s="10"/>
    </row>
    <row r="768" spans="1:6" ht="30" customHeight="1">
      <c r="A768" s="9">
        <v>766</v>
      </c>
      <c r="B768" s="9" t="str">
        <f>"50322023032819462879954"</f>
        <v>50322023032819462879954</v>
      </c>
      <c r="C768" s="9" t="s">
        <v>65</v>
      </c>
      <c r="D768" s="10" t="str">
        <f>"陈西凤"</f>
        <v>陈西凤</v>
      </c>
      <c r="E768" s="9" t="str">
        <f t="shared" si="31"/>
        <v>女</v>
      </c>
      <c r="F768" s="10"/>
    </row>
    <row r="769" spans="1:6" ht="30" customHeight="1">
      <c r="A769" s="9">
        <v>767</v>
      </c>
      <c r="B769" s="9" t="str">
        <f>"50322023032823184080274"</f>
        <v>50322023032823184080274</v>
      </c>
      <c r="C769" s="9" t="s">
        <v>65</v>
      </c>
      <c r="D769" s="10" t="str">
        <f>"符冬妹"</f>
        <v>符冬妹</v>
      </c>
      <c r="E769" s="9" t="str">
        <f t="shared" si="31"/>
        <v>女</v>
      </c>
      <c r="F769" s="10"/>
    </row>
    <row r="770" spans="1:6" ht="30" customHeight="1">
      <c r="A770" s="9">
        <v>768</v>
      </c>
      <c r="B770" s="9" t="str">
        <f>"50322023032823501480303"</f>
        <v>50322023032823501480303</v>
      </c>
      <c r="C770" s="9" t="s">
        <v>65</v>
      </c>
      <c r="D770" s="10" t="str">
        <f>"梁秀英"</f>
        <v>梁秀英</v>
      </c>
      <c r="E770" s="9" t="str">
        <f t="shared" si="31"/>
        <v>女</v>
      </c>
      <c r="F770" s="10"/>
    </row>
    <row r="771" spans="1:6" ht="30" customHeight="1">
      <c r="A771" s="9">
        <v>769</v>
      </c>
      <c r="B771" s="9" t="str">
        <f>"50322023032911264281431"</f>
        <v>50322023032911264281431</v>
      </c>
      <c r="C771" s="9" t="s">
        <v>65</v>
      </c>
      <c r="D771" s="10" t="str">
        <f>"田兴华"</f>
        <v>田兴华</v>
      </c>
      <c r="E771" s="9" t="str">
        <f t="shared" si="31"/>
        <v>女</v>
      </c>
      <c r="F771" s="10"/>
    </row>
    <row r="772" spans="1:6" ht="30" customHeight="1">
      <c r="A772" s="9">
        <v>770</v>
      </c>
      <c r="B772" s="9" t="str">
        <f>"50322023032912123981615"</f>
        <v>50322023032912123981615</v>
      </c>
      <c r="C772" s="9" t="s">
        <v>65</v>
      </c>
      <c r="D772" s="10" t="str">
        <f>"赵红艳"</f>
        <v>赵红艳</v>
      </c>
      <c r="E772" s="9" t="str">
        <f t="shared" si="31"/>
        <v>女</v>
      </c>
      <c r="F772" s="10"/>
    </row>
    <row r="773" spans="1:6" ht="30" customHeight="1">
      <c r="A773" s="9">
        <v>771</v>
      </c>
      <c r="B773" s="9" t="str">
        <f>"50322023032916542782798"</f>
        <v>50322023032916542782798</v>
      </c>
      <c r="C773" s="9" t="s">
        <v>65</v>
      </c>
      <c r="D773" s="10" t="str">
        <f>"符雲玉"</f>
        <v>符雲玉</v>
      </c>
      <c r="E773" s="9" t="str">
        <f t="shared" si="31"/>
        <v>女</v>
      </c>
      <c r="F773" s="10"/>
    </row>
    <row r="774" spans="1:6" ht="30" customHeight="1">
      <c r="A774" s="9">
        <v>772</v>
      </c>
      <c r="B774" s="9" t="str">
        <f>"50322023032917070383210"</f>
        <v>50322023032917070383210</v>
      </c>
      <c r="C774" s="9" t="s">
        <v>65</v>
      </c>
      <c r="D774" s="10" t="str">
        <f>"廖琼辉"</f>
        <v>廖琼辉</v>
      </c>
      <c r="E774" s="9" t="str">
        <f>"男"</f>
        <v>男</v>
      </c>
      <c r="F774" s="10"/>
    </row>
    <row r="775" spans="1:6" ht="30" customHeight="1">
      <c r="A775" s="9">
        <v>773</v>
      </c>
      <c r="B775" s="9" t="str">
        <f>"50322023032919433184414"</f>
        <v>50322023032919433184414</v>
      </c>
      <c r="C775" s="9" t="s">
        <v>65</v>
      </c>
      <c r="D775" s="10" t="str">
        <f>"史豪杰"</f>
        <v>史豪杰</v>
      </c>
      <c r="E775" s="9" t="str">
        <f aca="true" t="shared" si="32" ref="E775:E835">"女"</f>
        <v>女</v>
      </c>
      <c r="F775" s="10"/>
    </row>
    <row r="776" spans="1:6" ht="30" customHeight="1">
      <c r="A776" s="9">
        <v>774</v>
      </c>
      <c r="B776" s="9" t="str">
        <f>"50322023032921464084782"</f>
        <v>50322023032921464084782</v>
      </c>
      <c r="C776" s="9" t="s">
        <v>65</v>
      </c>
      <c r="D776" s="10" t="str">
        <f>"符露娜"</f>
        <v>符露娜</v>
      </c>
      <c r="E776" s="9" t="str">
        <f t="shared" si="32"/>
        <v>女</v>
      </c>
      <c r="F776" s="10"/>
    </row>
    <row r="777" spans="1:6" ht="30" customHeight="1">
      <c r="A777" s="9">
        <v>775</v>
      </c>
      <c r="B777" s="9" t="str">
        <f>"50322023032922413484937"</f>
        <v>50322023032922413484937</v>
      </c>
      <c r="C777" s="9" t="s">
        <v>65</v>
      </c>
      <c r="D777" s="10" t="str">
        <f>"林秋焕"</f>
        <v>林秋焕</v>
      </c>
      <c r="E777" s="9" t="str">
        <f t="shared" si="32"/>
        <v>女</v>
      </c>
      <c r="F777" s="10"/>
    </row>
    <row r="778" spans="1:6" ht="30" customHeight="1">
      <c r="A778" s="9">
        <v>776</v>
      </c>
      <c r="B778" s="9" t="str">
        <f>"50322023033007522785149"</f>
        <v>50322023033007522785149</v>
      </c>
      <c r="C778" s="9" t="s">
        <v>65</v>
      </c>
      <c r="D778" s="10" t="str">
        <f>"李维庭"</f>
        <v>李维庭</v>
      </c>
      <c r="E778" s="9" t="str">
        <f t="shared" si="32"/>
        <v>女</v>
      </c>
      <c r="F778" s="10"/>
    </row>
    <row r="779" spans="1:6" ht="30" customHeight="1">
      <c r="A779" s="9">
        <v>777</v>
      </c>
      <c r="B779" s="9" t="str">
        <f>"50322023033008405985224"</f>
        <v>50322023033008405985224</v>
      </c>
      <c r="C779" s="9" t="s">
        <v>65</v>
      </c>
      <c r="D779" s="10" t="str">
        <f>"王雅芳"</f>
        <v>王雅芳</v>
      </c>
      <c r="E779" s="9" t="str">
        <f t="shared" si="32"/>
        <v>女</v>
      </c>
      <c r="F779" s="10"/>
    </row>
    <row r="780" spans="1:6" ht="30" customHeight="1">
      <c r="A780" s="9">
        <v>778</v>
      </c>
      <c r="B780" s="9" t="str">
        <f>"50322023033009172085375"</f>
        <v>50322023033009172085375</v>
      </c>
      <c r="C780" s="9" t="s">
        <v>65</v>
      </c>
      <c r="D780" s="10" t="str">
        <f>"黄孟丽"</f>
        <v>黄孟丽</v>
      </c>
      <c r="E780" s="9" t="str">
        <f t="shared" si="32"/>
        <v>女</v>
      </c>
      <c r="F780" s="10"/>
    </row>
    <row r="781" spans="1:6" ht="30" customHeight="1">
      <c r="A781" s="9">
        <v>779</v>
      </c>
      <c r="B781" s="9" t="str">
        <f>"50322023033010404485721"</f>
        <v>50322023033010404485721</v>
      </c>
      <c r="C781" s="9" t="s">
        <v>65</v>
      </c>
      <c r="D781" s="10" t="str">
        <f>"钟惠英"</f>
        <v>钟惠英</v>
      </c>
      <c r="E781" s="9" t="str">
        <f t="shared" si="32"/>
        <v>女</v>
      </c>
      <c r="F781" s="10"/>
    </row>
    <row r="782" spans="1:6" ht="30" customHeight="1">
      <c r="A782" s="9">
        <v>780</v>
      </c>
      <c r="B782" s="9" t="str">
        <f>"50322023033011060685829"</f>
        <v>50322023033011060685829</v>
      </c>
      <c r="C782" s="9" t="s">
        <v>65</v>
      </c>
      <c r="D782" s="10" t="str">
        <f>"王玉伟"</f>
        <v>王玉伟</v>
      </c>
      <c r="E782" s="9" t="str">
        <f t="shared" si="32"/>
        <v>女</v>
      </c>
      <c r="F782" s="10"/>
    </row>
    <row r="783" spans="1:6" ht="30" customHeight="1">
      <c r="A783" s="9">
        <v>781</v>
      </c>
      <c r="B783" s="9" t="str">
        <f>"50322023032109115363276"</f>
        <v>50322023032109115363276</v>
      </c>
      <c r="C783" s="9" t="s">
        <v>67</v>
      </c>
      <c r="D783" s="10" t="str">
        <f>"岳春琦"</f>
        <v>岳春琦</v>
      </c>
      <c r="E783" s="9" t="str">
        <f t="shared" si="32"/>
        <v>女</v>
      </c>
      <c r="F783" s="10"/>
    </row>
    <row r="784" spans="1:6" ht="30" customHeight="1">
      <c r="A784" s="9">
        <v>782</v>
      </c>
      <c r="B784" s="9" t="str">
        <f>"50322023032109422563511"</f>
        <v>50322023032109422563511</v>
      </c>
      <c r="C784" s="9" t="s">
        <v>67</v>
      </c>
      <c r="D784" s="10" t="str">
        <f>"林欣榕"</f>
        <v>林欣榕</v>
      </c>
      <c r="E784" s="9" t="str">
        <f t="shared" si="32"/>
        <v>女</v>
      </c>
      <c r="F784" s="10"/>
    </row>
    <row r="785" spans="1:6" ht="30" customHeight="1">
      <c r="A785" s="9">
        <v>783</v>
      </c>
      <c r="B785" s="9" t="str">
        <f>"50322023032111522264958"</f>
        <v>50322023032111522264958</v>
      </c>
      <c r="C785" s="9" t="s">
        <v>67</v>
      </c>
      <c r="D785" s="10" t="str">
        <f>"王安妮"</f>
        <v>王安妮</v>
      </c>
      <c r="E785" s="9" t="str">
        <f t="shared" si="32"/>
        <v>女</v>
      </c>
      <c r="F785" s="10"/>
    </row>
    <row r="786" spans="1:6" ht="30" customHeight="1">
      <c r="A786" s="9">
        <v>784</v>
      </c>
      <c r="B786" s="9" t="str">
        <f>"50322023032112021865021"</f>
        <v>50322023032112021865021</v>
      </c>
      <c r="C786" s="9" t="s">
        <v>67</v>
      </c>
      <c r="D786" s="10" t="str">
        <f>"颜书香"</f>
        <v>颜书香</v>
      </c>
      <c r="E786" s="9" t="str">
        <f t="shared" si="32"/>
        <v>女</v>
      </c>
      <c r="F786" s="10"/>
    </row>
    <row r="787" spans="1:6" ht="30" customHeight="1">
      <c r="A787" s="9">
        <v>785</v>
      </c>
      <c r="B787" s="9" t="str">
        <f>"50322023032115585766486"</f>
        <v>50322023032115585766486</v>
      </c>
      <c r="C787" s="9" t="s">
        <v>67</v>
      </c>
      <c r="D787" s="10" t="str">
        <f>"高珊珊"</f>
        <v>高珊珊</v>
      </c>
      <c r="E787" s="9" t="str">
        <f t="shared" si="32"/>
        <v>女</v>
      </c>
      <c r="F787" s="10"/>
    </row>
    <row r="788" spans="1:6" ht="30" customHeight="1">
      <c r="A788" s="9">
        <v>786</v>
      </c>
      <c r="B788" s="9" t="str">
        <f>"50322023032116092166566"</f>
        <v>50322023032116092166566</v>
      </c>
      <c r="C788" s="9" t="s">
        <v>67</v>
      </c>
      <c r="D788" s="10" t="str">
        <f>"高璇"</f>
        <v>高璇</v>
      </c>
      <c r="E788" s="9" t="str">
        <f t="shared" si="32"/>
        <v>女</v>
      </c>
      <c r="F788" s="10"/>
    </row>
    <row r="789" spans="1:6" ht="30" customHeight="1">
      <c r="A789" s="9">
        <v>787</v>
      </c>
      <c r="B789" s="9" t="str">
        <f>"50322023032116573766890"</f>
        <v>50322023032116573766890</v>
      </c>
      <c r="C789" s="9" t="s">
        <v>67</v>
      </c>
      <c r="D789" s="10" t="str">
        <f>"洪莹"</f>
        <v>洪莹</v>
      </c>
      <c r="E789" s="9" t="str">
        <f t="shared" si="32"/>
        <v>女</v>
      </c>
      <c r="F789" s="10"/>
    </row>
    <row r="790" spans="1:6" ht="30" customHeight="1">
      <c r="A790" s="9">
        <v>788</v>
      </c>
      <c r="B790" s="9" t="str">
        <f>"50322023032118470767382"</f>
        <v>50322023032118470767382</v>
      </c>
      <c r="C790" s="9" t="s">
        <v>67</v>
      </c>
      <c r="D790" s="10" t="str">
        <f>"黄慧倩"</f>
        <v>黄慧倩</v>
      </c>
      <c r="E790" s="9" t="str">
        <f t="shared" si="32"/>
        <v>女</v>
      </c>
      <c r="F790" s="10"/>
    </row>
    <row r="791" spans="1:6" ht="30" customHeight="1">
      <c r="A791" s="9">
        <v>789</v>
      </c>
      <c r="B791" s="9" t="str">
        <f>"50322023032120205767905"</f>
        <v>50322023032120205767905</v>
      </c>
      <c r="C791" s="9" t="s">
        <v>67</v>
      </c>
      <c r="D791" s="10" t="str">
        <f>"韩诗愉"</f>
        <v>韩诗愉</v>
      </c>
      <c r="E791" s="9" t="str">
        <f t="shared" si="32"/>
        <v>女</v>
      </c>
      <c r="F791" s="10"/>
    </row>
    <row r="792" spans="1:6" ht="30" customHeight="1">
      <c r="A792" s="9">
        <v>790</v>
      </c>
      <c r="B792" s="9" t="str">
        <f>"50322023032120552768107"</f>
        <v>50322023032120552768107</v>
      </c>
      <c r="C792" s="9" t="s">
        <v>67</v>
      </c>
      <c r="D792" s="10" t="str">
        <f>"丁裕丹"</f>
        <v>丁裕丹</v>
      </c>
      <c r="E792" s="9" t="str">
        <f t="shared" si="32"/>
        <v>女</v>
      </c>
      <c r="F792" s="10"/>
    </row>
    <row r="793" spans="1:6" ht="30" customHeight="1">
      <c r="A793" s="9">
        <v>791</v>
      </c>
      <c r="B793" s="9" t="str">
        <f>"50322023032210113769897"</f>
        <v>50322023032210113769897</v>
      </c>
      <c r="C793" s="9" t="s">
        <v>67</v>
      </c>
      <c r="D793" s="10" t="str">
        <f>"黄子慧"</f>
        <v>黄子慧</v>
      </c>
      <c r="E793" s="9" t="str">
        <f t="shared" si="32"/>
        <v>女</v>
      </c>
      <c r="F793" s="10"/>
    </row>
    <row r="794" spans="1:6" ht="30" customHeight="1">
      <c r="A794" s="9">
        <v>792</v>
      </c>
      <c r="B794" s="9" t="str">
        <f>"50322023032210542670221"</f>
        <v>50322023032210542670221</v>
      </c>
      <c r="C794" s="9" t="s">
        <v>67</v>
      </c>
      <c r="D794" s="10" t="str">
        <f>"刘欣"</f>
        <v>刘欣</v>
      </c>
      <c r="E794" s="9" t="str">
        <f t="shared" si="32"/>
        <v>女</v>
      </c>
      <c r="F794" s="10"/>
    </row>
    <row r="795" spans="1:6" ht="30" customHeight="1">
      <c r="A795" s="9">
        <v>793</v>
      </c>
      <c r="B795" s="9" t="str">
        <f>"50322023032217181173029"</f>
        <v>50322023032217181173029</v>
      </c>
      <c r="C795" s="9" t="s">
        <v>67</v>
      </c>
      <c r="D795" s="10" t="str">
        <f>"黎倩"</f>
        <v>黎倩</v>
      </c>
      <c r="E795" s="9" t="str">
        <f t="shared" si="32"/>
        <v>女</v>
      </c>
      <c r="F795" s="10"/>
    </row>
    <row r="796" spans="1:6" ht="30" customHeight="1">
      <c r="A796" s="9">
        <v>794</v>
      </c>
      <c r="B796" s="9" t="str">
        <f>"50322023032220504973418"</f>
        <v>50322023032220504973418</v>
      </c>
      <c r="C796" s="9" t="s">
        <v>67</v>
      </c>
      <c r="D796" s="10" t="str">
        <f>"唐善鹏"</f>
        <v>唐善鹏</v>
      </c>
      <c r="E796" s="9" t="str">
        <f t="shared" si="32"/>
        <v>女</v>
      </c>
      <c r="F796" s="10"/>
    </row>
    <row r="797" spans="1:6" ht="30" customHeight="1">
      <c r="A797" s="9">
        <v>795</v>
      </c>
      <c r="B797" s="9" t="str">
        <f>"50322023032222371873643"</f>
        <v>50322023032222371873643</v>
      </c>
      <c r="C797" s="9" t="s">
        <v>67</v>
      </c>
      <c r="D797" s="10" t="str">
        <f>"李丽"</f>
        <v>李丽</v>
      </c>
      <c r="E797" s="9" t="str">
        <f t="shared" si="32"/>
        <v>女</v>
      </c>
      <c r="F797" s="11" t="s">
        <v>68</v>
      </c>
    </row>
    <row r="798" spans="1:6" ht="30" customHeight="1">
      <c r="A798" s="9">
        <v>796</v>
      </c>
      <c r="B798" s="9" t="str">
        <f>"50322023032223065373692"</f>
        <v>50322023032223065373692</v>
      </c>
      <c r="C798" s="9" t="s">
        <v>67</v>
      </c>
      <c r="D798" s="10" t="str">
        <f>"黄晓欣"</f>
        <v>黄晓欣</v>
      </c>
      <c r="E798" s="9" t="str">
        <f t="shared" si="32"/>
        <v>女</v>
      </c>
      <c r="F798" s="10"/>
    </row>
    <row r="799" spans="1:6" ht="30" customHeight="1">
      <c r="A799" s="9">
        <v>797</v>
      </c>
      <c r="B799" s="9" t="str">
        <f>"50322023032316223574746"</f>
        <v>50322023032316223574746</v>
      </c>
      <c r="C799" s="9" t="s">
        <v>67</v>
      </c>
      <c r="D799" s="10" t="str">
        <f>"高颖"</f>
        <v>高颖</v>
      </c>
      <c r="E799" s="9" t="str">
        <f t="shared" si="32"/>
        <v>女</v>
      </c>
      <c r="F799" s="10"/>
    </row>
    <row r="800" spans="1:6" ht="30" customHeight="1">
      <c r="A800" s="9">
        <v>798</v>
      </c>
      <c r="B800" s="9" t="str">
        <f>"50322023032316500274797"</f>
        <v>50322023032316500274797</v>
      </c>
      <c r="C800" s="9" t="s">
        <v>67</v>
      </c>
      <c r="D800" s="10" t="str">
        <f>"范佳卉"</f>
        <v>范佳卉</v>
      </c>
      <c r="E800" s="9" t="str">
        <f t="shared" si="32"/>
        <v>女</v>
      </c>
      <c r="F800" s="10"/>
    </row>
    <row r="801" spans="1:6" ht="30" customHeight="1">
      <c r="A801" s="9">
        <v>799</v>
      </c>
      <c r="B801" s="9" t="str">
        <f>"50322023032317025174831"</f>
        <v>50322023032317025174831</v>
      </c>
      <c r="C801" s="9" t="s">
        <v>67</v>
      </c>
      <c r="D801" s="10" t="str">
        <f>"孙秀云"</f>
        <v>孙秀云</v>
      </c>
      <c r="E801" s="9" t="str">
        <f t="shared" si="32"/>
        <v>女</v>
      </c>
      <c r="F801" s="10"/>
    </row>
    <row r="802" spans="1:6" ht="30" customHeight="1">
      <c r="A802" s="9">
        <v>800</v>
      </c>
      <c r="B802" s="9" t="str">
        <f>"50322023032321564875202"</f>
        <v>50322023032321564875202</v>
      </c>
      <c r="C802" s="9" t="s">
        <v>67</v>
      </c>
      <c r="D802" s="10" t="str">
        <f>"林小翠"</f>
        <v>林小翠</v>
      </c>
      <c r="E802" s="9" t="str">
        <f t="shared" si="32"/>
        <v>女</v>
      </c>
      <c r="F802" s="10"/>
    </row>
    <row r="803" spans="1:6" ht="30" customHeight="1">
      <c r="A803" s="9">
        <v>801</v>
      </c>
      <c r="B803" s="9" t="str">
        <f>"50322023032408502375427"</f>
        <v>50322023032408502375427</v>
      </c>
      <c r="C803" s="9" t="s">
        <v>67</v>
      </c>
      <c r="D803" s="10" t="str">
        <f>"席梦圆"</f>
        <v>席梦圆</v>
      </c>
      <c r="E803" s="9" t="str">
        <f t="shared" si="32"/>
        <v>女</v>
      </c>
      <c r="F803" s="10"/>
    </row>
    <row r="804" spans="1:6" ht="30" customHeight="1">
      <c r="A804" s="9">
        <v>802</v>
      </c>
      <c r="B804" s="9" t="str">
        <f>"50322023032412083775713"</f>
        <v>50322023032412083775713</v>
      </c>
      <c r="C804" s="9" t="s">
        <v>67</v>
      </c>
      <c r="D804" s="10" t="str">
        <f>"刘泽"</f>
        <v>刘泽</v>
      </c>
      <c r="E804" s="9" t="str">
        <f t="shared" si="32"/>
        <v>女</v>
      </c>
      <c r="F804" s="10"/>
    </row>
    <row r="805" spans="1:6" ht="30" customHeight="1">
      <c r="A805" s="9">
        <v>803</v>
      </c>
      <c r="B805" s="9" t="str">
        <f>"50322023032419212576258"</f>
        <v>50322023032419212576258</v>
      </c>
      <c r="C805" s="9" t="s">
        <v>67</v>
      </c>
      <c r="D805" s="10" t="str">
        <f>"关火妹"</f>
        <v>关火妹</v>
      </c>
      <c r="E805" s="9" t="str">
        <f t="shared" si="32"/>
        <v>女</v>
      </c>
      <c r="F805" s="10"/>
    </row>
    <row r="806" spans="1:6" ht="30" customHeight="1">
      <c r="A806" s="9">
        <v>804</v>
      </c>
      <c r="B806" s="9" t="str">
        <f>"50322023032422525876440"</f>
        <v>50322023032422525876440</v>
      </c>
      <c r="C806" s="9" t="s">
        <v>67</v>
      </c>
      <c r="D806" s="10" t="str">
        <f>"贺婷玉"</f>
        <v>贺婷玉</v>
      </c>
      <c r="E806" s="9" t="str">
        <f t="shared" si="32"/>
        <v>女</v>
      </c>
      <c r="F806" s="10"/>
    </row>
    <row r="807" spans="1:6" ht="30" customHeight="1">
      <c r="A807" s="9">
        <v>805</v>
      </c>
      <c r="B807" s="9" t="str">
        <f>"50322023032515561176953"</f>
        <v>50322023032515561176953</v>
      </c>
      <c r="C807" s="9" t="s">
        <v>67</v>
      </c>
      <c r="D807" s="10" t="str">
        <f>"吴佳琪"</f>
        <v>吴佳琪</v>
      </c>
      <c r="E807" s="9" t="str">
        <f t="shared" si="32"/>
        <v>女</v>
      </c>
      <c r="F807" s="10"/>
    </row>
    <row r="808" spans="1:6" ht="30" customHeight="1">
      <c r="A808" s="9">
        <v>806</v>
      </c>
      <c r="B808" s="9" t="str">
        <f>"50322023032516432076994"</f>
        <v>50322023032516432076994</v>
      </c>
      <c r="C808" s="9" t="s">
        <v>67</v>
      </c>
      <c r="D808" s="10" t="str">
        <f>"陈美璇"</f>
        <v>陈美璇</v>
      </c>
      <c r="E808" s="9" t="str">
        <f t="shared" si="32"/>
        <v>女</v>
      </c>
      <c r="F808" s="10"/>
    </row>
    <row r="809" spans="1:6" ht="30" customHeight="1">
      <c r="A809" s="9">
        <v>807</v>
      </c>
      <c r="B809" s="9" t="str">
        <f>"50322023032518011277044"</f>
        <v>50322023032518011277044</v>
      </c>
      <c r="C809" s="9" t="s">
        <v>67</v>
      </c>
      <c r="D809" s="10" t="str">
        <f>"夏赏月"</f>
        <v>夏赏月</v>
      </c>
      <c r="E809" s="9" t="str">
        <f t="shared" si="32"/>
        <v>女</v>
      </c>
      <c r="F809" s="10"/>
    </row>
    <row r="810" spans="1:6" ht="30" customHeight="1">
      <c r="A810" s="9">
        <v>808</v>
      </c>
      <c r="B810" s="9" t="str">
        <f>"50322023032608342377253"</f>
        <v>50322023032608342377253</v>
      </c>
      <c r="C810" s="9" t="s">
        <v>67</v>
      </c>
      <c r="D810" s="10" t="str">
        <f>"万璐"</f>
        <v>万璐</v>
      </c>
      <c r="E810" s="9" t="str">
        <f t="shared" si="32"/>
        <v>女</v>
      </c>
      <c r="F810" s="10"/>
    </row>
    <row r="811" spans="1:6" ht="30" customHeight="1">
      <c r="A811" s="9">
        <v>809</v>
      </c>
      <c r="B811" s="9" t="str">
        <f>"50322023032611585477342"</f>
        <v>50322023032611585477342</v>
      </c>
      <c r="C811" s="9" t="s">
        <v>67</v>
      </c>
      <c r="D811" s="10" t="str">
        <f>"王江莲"</f>
        <v>王江莲</v>
      </c>
      <c r="E811" s="9" t="str">
        <f t="shared" si="32"/>
        <v>女</v>
      </c>
      <c r="F811" s="10"/>
    </row>
    <row r="812" spans="1:6" ht="30" customHeight="1">
      <c r="A812" s="9">
        <v>810</v>
      </c>
      <c r="B812" s="9" t="str">
        <f>"50322023032616411677502"</f>
        <v>50322023032616411677502</v>
      </c>
      <c r="C812" s="9" t="s">
        <v>67</v>
      </c>
      <c r="D812" s="10" t="str">
        <f>"王傲明"</f>
        <v>王傲明</v>
      </c>
      <c r="E812" s="9" t="str">
        <f t="shared" si="32"/>
        <v>女</v>
      </c>
      <c r="F812" s="10"/>
    </row>
    <row r="813" spans="1:6" ht="30" customHeight="1">
      <c r="A813" s="9">
        <v>811</v>
      </c>
      <c r="B813" s="9" t="str">
        <f>"50322023032617093177517"</f>
        <v>50322023032617093177517</v>
      </c>
      <c r="C813" s="9" t="s">
        <v>67</v>
      </c>
      <c r="D813" s="10" t="str">
        <f>"杨丹"</f>
        <v>杨丹</v>
      </c>
      <c r="E813" s="9" t="str">
        <f t="shared" si="32"/>
        <v>女</v>
      </c>
      <c r="F813" s="10"/>
    </row>
    <row r="814" spans="1:6" ht="30" customHeight="1">
      <c r="A814" s="9">
        <v>812</v>
      </c>
      <c r="B814" s="9" t="str">
        <f>"50322023032623561377770"</f>
        <v>50322023032623561377770</v>
      </c>
      <c r="C814" s="9" t="s">
        <v>67</v>
      </c>
      <c r="D814" s="10" t="str">
        <f>"刘文慧"</f>
        <v>刘文慧</v>
      </c>
      <c r="E814" s="9" t="str">
        <f t="shared" si="32"/>
        <v>女</v>
      </c>
      <c r="F814" s="10"/>
    </row>
    <row r="815" spans="1:6" ht="30" customHeight="1">
      <c r="A815" s="9">
        <v>813</v>
      </c>
      <c r="B815" s="9" t="str">
        <f>"50322023032700293777780"</f>
        <v>50322023032700293777780</v>
      </c>
      <c r="C815" s="9" t="s">
        <v>67</v>
      </c>
      <c r="D815" s="10" t="str">
        <f>"张舒"</f>
        <v>张舒</v>
      </c>
      <c r="E815" s="9" t="str">
        <f t="shared" si="32"/>
        <v>女</v>
      </c>
      <c r="F815" s="10"/>
    </row>
    <row r="816" spans="1:6" ht="30" customHeight="1">
      <c r="A816" s="9">
        <v>814</v>
      </c>
      <c r="B816" s="9" t="str">
        <f>"50322023032712533378267"</f>
        <v>50322023032712533378267</v>
      </c>
      <c r="C816" s="9" t="s">
        <v>67</v>
      </c>
      <c r="D816" s="10" t="str">
        <f>"陈咪咪"</f>
        <v>陈咪咪</v>
      </c>
      <c r="E816" s="9" t="str">
        <f t="shared" si="32"/>
        <v>女</v>
      </c>
      <c r="F816" s="10"/>
    </row>
    <row r="817" spans="1:6" ht="30" customHeight="1">
      <c r="A817" s="9">
        <v>815</v>
      </c>
      <c r="B817" s="9" t="str">
        <f>"50322023032715453778470"</f>
        <v>50322023032715453778470</v>
      </c>
      <c r="C817" s="9" t="s">
        <v>67</v>
      </c>
      <c r="D817" s="10" t="str">
        <f>"张惠婷"</f>
        <v>张惠婷</v>
      </c>
      <c r="E817" s="9" t="str">
        <f t="shared" si="32"/>
        <v>女</v>
      </c>
      <c r="F817" s="10"/>
    </row>
    <row r="818" spans="1:6" ht="30" customHeight="1">
      <c r="A818" s="9">
        <v>816</v>
      </c>
      <c r="B818" s="9" t="str">
        <f>"50322023032716080978511"</f>
        <v>50322023032716080978511</v>
      </c>
      <c r="C818" s="9" t="s">
        <v>67</v>
      </c>
      <c r="D818" s="10" t="str">
        <f>"胡佳祺"</f>
        <v>胡佳祺</v>
      </c>
      <c r="E818" s="9" t="str">
        <f t="shared" si="32"/>
        <v>女</v>
      </c>
      <c r="F818" s="10"/>
    </row>
    <row r="819" spans="1:6" ht="30" customHeight="1">
      <c r="A819" s="9">
        <v>817</v>
      </c>
      <c r="B819" s="9" t="str">
        <f>"50322023032720483478823"</f>
        <v>50322023032720483478823</v>
      </c>
      <c r="C819" s="9" t="s">
        <v>67</v>
      </c>
      <c r="D819" s="10" t="str">
        <f>"詹嘉雯"</f>
        <v>詹嘉雯</v>
      </c>
      <c r="E819" s="9" t="str">
        <f t="shared" si="32"/>
        <v>女</v>
      </c>
      <c r="F819" s="10"/>
    </row>
    <row r="820" spans="1:6" ht="30" customHeight="1">
      <c r="A820" s="9">
        <v>818</v>
      </c>
      <c r="B820" s="9" t="str">
        <f>"50322023032721140478858"</f>
        <v>50322023032721140478858</v>
      </c>
      <c r="C820" s="9" t="s">
        <v>67</v>
      </c>
      <c r="D820" s="10" t="str">
        <f>"田夏梦"</f>
        <v>田夏梦</v>
      </c>
      <c r="E820" s="9" t="str">
        <f t="shared" si="32"/>
        <v>女</v>
      </c>
      <c r="F820" s="10"/>
    </row>
    <row r="821" spans="1:6" ht="30" customHeight="1">
      <c r="A821" s="9">
        <v>819</v>
      </c>
      <c r="B821" s="9" t="str">
        <f>"50322023032721505778912"</f>
        <v>50322023032721505778912</v>
      </c>
      <c r="C821" s="9" t="s">
        <v>67</v>
      </c>
      <c r="D821" s="10" t="str">
        <f>"张汉月"</f>
        <v>张汉月</v>
      </c>
      <c r="E821" s="9" t="str">
        <f t="shared" si="32"/>
        <v>女</v>
      </c>
      <c r="F821" s="10"/>
    </row>
    <row r="822" spans="1:6" ht="30" customHeight="1">
      <c r="A822" s="9">
        <v>820</v>
      </c>
      <c r="B822" s="9" t="str">
        <f>"50322023032723365579009"</f>
        <v>50322023032723365579009</v>
      </c>
      <c r="C822" s="9" t="s">
        <v>67</v>
      </c>
      <c r="D822" s="10" t="str">
        <f>"刘敏"</f>
        <v>刘敏</v>
      </c>
      <c r="E822" s="9" t="str">
        <f t="shared" si="32"/>
        <v>女</v>
      </c>
      <c r="F822" s="10"/>
    </row>
    <row r="823" spans="1:6" ht="30" customHeight="1">
      <c r="A823" s="9">
        <v>821</v>
      </c>
      <c r="B823" s="9" t="str">
        <f>"50322023032819174779913"</f>
        <v>50322023032819174779913</v>
      </c>
      <c r="C823" s="9" t="s">
        <v>67</v>
      </c>
      <c r="D823" s="10" t="str">
        <f>"王庆林"</f>
        <v>王庆林</v>
      </c>
      <c r="E823" s="9" t="str">
        <f t="shared" si="32"/>
        <v>女</v>
      </c>
      <c r="F823" s="10"/>
    </row>
    <row r="824" spans="1:6" ht="30" customHeight="1">
      <c r="A824" s="9">
        <v>822</v>
      </c>
      <c r="B824" s="9" t="str">
        <f>"50322023032820435880051"</f>
        <v>50322023032820435880051</v>
      </c>
      <c r="C824" s="9" t="s">
        <v>67</v>
      </c>
      <c r="D824" s="10" t="str">
        <f>"李丽娜"</f>
        <v>李丽娜</v>
      </c>
      <c r="E824" s="9" t="str">
        <f t="shared" si="32"/>
        <v>女</v>
      </c>
      <c r="F824" s="10"/>
    </row>
    <row r="825" spans="1:6" ht="30" customHeight="1">
      <c r="A825" s="9">
        <v>823</v>
      </c>
      <c r="B825" s="9" t="str">
        <f>"50322023032821582680162"</f>
        <v>50322023032821582680162</v>
      </c>
      <c r="C825" s="9" t="s">
        <v>67</v>
      </c>
      <c r="D825" s="10" t="str">
        <f>"孙维奇"</f>
        <v>孙维奇</v>
      </c>
      <c r="E825" s="9" t="str">
        <f t="shared" si="32"/>
        <v>女</v>
      </c>
      <c r="F825" s="10"/>
    </row>
    <row r="826" spans="1:6" ht="30" customHeight="1">
      <c r="A826" s="9">
        <v>824</v>
      </c>
      <c r="B826" s="9" t="str">
        <f>"50322023032822085480179"</f>
        <v>50322023032822085480179</v>
      </c>
      <c r="C826" s="9" t="s">
        <v>67</v>
      </c>
      <c r="D826" s="10" t="str">
        <f>"羊钰婷"</f>
        <v>羊钰婷</v>
      </c>
      <c r="E826" s="9" t="str">
        <f t="shared" si="32"/>
        <v>女</v>
      </c>
      <c r="F826" s="10"/>
    </row>
    <row r="827" spans="1:6" ht="30" customHeight="1">
      <c r="A827" s="9">
        <v>825</v>
      </c>
      <c r="B827" s="9" t="str">
        <f>"50322023032912105381607"</f>
        <v>50322023032912105381607</v>
      </c>
      <c r="C827" s="9" t="s">
        <v>67</v>
      </c>
      <c r="D827" s="10" t="str">
        <f>"张璐莹"</f>
        <v>张璐莹</v>
      </c>
      <c r="E827" s="9" t="str">
        <f t="shared" si="32"/>
        <v>女</v>
      </c>
      <c r="F827" s="10"/>
    </row>
    <row r="828" spans="1:6" ht="30" customHeight="1">
      <c r="A828" s="9">
        <v>826</v>
      </c>
      <c r="B828" s="9" t="str">
        <f>"50322023032913284081901"</f>
        <v>50322023032913284081901</v>
      </c>
      <c r="C828" s="9" t="s">
        <v>67</v>
      </c>
      <c r="D828" s="10" t="str">
        <f>"黎秋丽"</f>
        <v>黎秋丽</v>
      </c>
      <c r="E828" s="9" t="str">
        <f t="shared" si="32"/>
        <v>女</v>
      </c>
      <c r="F828" s="10"/>
    </row>
    <row r="829" spans="1:6" ht="30" customHeight="1">
      <c r="A829" s="9">
        <v>827</v>
      </c>
      <c r="B829" s="9" t="str">
        <f>"50322023032914512782146"</f>
        <v>50322023032914512782146</v>
      </c>
      <c r="C829" s="9" t="s">
        <v>67</v>
      </c>
      <c r="D829" s="10" t="str">
        <f>"范继方"</f>
        <v>范继方</v>
      </c>
      <c r="E829" s="9" t="str">
        <f t="shared" si="32"/>
        <v>女</v>
      </c>
      <c r="F829" s="10"/>
    </row>
    <row r="830" spans="1:6" ht="30" customHeight="1">
      <c r="A830" s="9">
        <v>828</v>
      </c>
      <c r="B830" s="9" t="str">
        <f>"50322023032915362482328"</f>
        <v>50322023032915362482328</v>
      </c>
      <c r="C830" s="9" t="s">
        <v>67</v>
      </c>
      <c r="D830" s="10" t="str">
        <f>"曾德敏"</f>
        <v>曾德敏</v>
      </c>
      <c r="E830" s="9" t="str">
        <f t="shared" si="32"/>
        <v>女</v>
      </c>
      <c r="F830" s="10"/>
    </row>
    <row r="831" spans="1:6" ht="30" customHeight="1">
      <c r="A831" s="9">
        <v>829</v>
      </c>
      <c r="B831" s="9" t="str">
        <f>"50322023032918561884277"</f>
        <v>50322023032918561884277</v>
      </c>
      <c r="C831" s="9" t="s">
        <v>67</v>
      </c>
      <c r="D831" s="10" t="str">
        <f>"唐容"</f>
        <v>唐容</v>
      </c>
      <c r="E831" s="9" t="str">
        <f t="shared" si="32"/>
        <v>女</v>
      </c>
      <c r="F831" s="10"/>
    </row>
    <row r="832" spans="1:6" ht="30" customHeight="1">
      <c r="A832" s="9">
        <v>830</v>
      </c>
      <c r="B832" s="9" t="str">
        <f>"50322023032922373584923"</f>
        <v>50322023032922373584923</v>
      </c>
      <c r="C832" s="9" t="s">
        <v>67</v>
      </c>
      <c r="D832" s="10" t="str">
        <f>"叶金晓"</f>
        <v>叶金晓</v>
      </c>
      <c r="E832" s="9" t="str">
        <f t="shared" si="32"/>
        <v>女</v>
      </c>
      <c r="F832" s="10"/>
    </row>
    <row r="833" spans="1:6" ht="30" customHeight="1">
      <c r="A833" s="9">
        <v>831</v>
      </c>
      <c r="B833" s="9" t="str">
        <f>"50322023033010090785613"</f>
        <v>50322023033010090785613</v>
      </c>
      <c r="C833" s="9" t="s">
        <v>67</v>
      </c>
      <c r="D833" s="10" t="str">
        <f>"高筱花"</f>
        <v>高筱花</v>
      </c>
      <c r="E833" s="9" t="str">
        <f t="shared" si="32"/>
        <v>女</v>
      </c>
      <c r="F833" s="10"/>
    </row>
    <row r="834" spans="1:6" ht="30" customHeight="1">
      <c r="A834" s="9">
        <v>832</v>
      </c>
      <c r="B834" s="9" t="str">
        <f>"50322023032108143262988"</f>
        <v>50322023032108143262988</v>
      </c>
      <c r="C834" s="9" t="s">
        <v>69</v>
      </c>
      <c r="D834" s="10" t="str">
        <f>"陈金丹"</f>
        <v>陈金丹</v>
      </c>
      <c r="E834" s="9" t="str">
        <f t="shared" si="32"/>
        <v>女</v>
      </c>
      <c r="F834" s="10"/>
    </row>
    <row r="835" spans="1:6" ht="30" customHeight="1">
      <c r="A835" s="9">
        <v>833</v>
      </c>
      <c r="B835" s="9" t="str">
        <f>"50322023032109553063903"</f>
        <v>50322023032109553063903</v>
      </c>
      <c r="C835" s="9" t="s">
        <v>69</v>
      </c>
      <c r="D835" s="10" t="str">
        <f>"徐有连"</f>
        <v>徐有连</v>
      </c>
      <c r="E835" s="9" t="str">
        <f t="shared" si="32"/>
        <v>女</v>
      </c>
      <c r="F835" s="10"/>
    </row>
    <row r="836" spans="1:6" ht="30" customHeight="1">
      <c r="A836" s="9">
        <v>834</v>
      </c>
      <c r="B836" s="9" t="str">
        <f>"50322023032110370264295"</f>
        <v>50322023032110370264295</v>
      </c>
      <c r="C836" s="9" t="s">
        <v>69</v>
      </c>
      <c r="D836" s="10" t="str">
        <f>"郑义锋"</f>
        <v>郑义锋</v>
      </c>
      <c r="E836" s="9" t="str">
        <f>"男"</f>
        <v>男</v>
      </c>
      <c r="F836" s="10"/>
    </row>
    <row r="837" spans="1:6" ht="30" customHeight="1">
      <c r="A837" s="9">
        <v>835</v>
      </c>
      <c r="B837" s="9" t="str">
        <f>"50322023032111485564936"</f>
        <v>50322023032111485564936</v>
      </c>
      <c r="C837" s="9" t="s">
        <v>69</v>
      </c>
      <c r="D837" s="10" t="str">
        <f>"梁春兰"</f>
        <v>梁春兰</v>
      </c>
      <c r="E837" s="9" t="str">
        <f>"女"</f>
        <v>女</v>
      </c>
      <c r="F837" s="10"/>
    </row>
    <row r="838" spans="1:6" ht="30" customHeight="1">
      <c r="A838" s="9">
        <v>836</v>
      </c>
      <c r="B838" s="9" t="str">
        <f>"50322023032112002665012"</f>
        <v>50322023032112002665012</v>
      </c>
      <c r="C838" s="9" t="s">
        <v>69</v>
      </c>
      <c r="D838" s="10" t="str">
        <f>"陈石蕾"</f>
        <v>陈石蕾</v>
      </c>
      <c r="E838" s="9" t="str">
        <f>"女"</f>
        <v>女</v>
      </c>
      <c r="F838" s="10"/>
    </row>
    <row r="839" spans="1:6" ht="30" customHeight="1">
      <c r="A839" s="9">
        <v>837</v>
      </c>
      <c r="B839" s="9" t="str">
        <f>"50322023032112301865188"</f>
        <v>50322023032112301865188</v>
      </c>
      <c r="C839" s="9" t="s">
        <v>69</v>
      </c>
      <c r="D839" s="10" t="str">
        <f>"马越"</f>
        <v>马越</v>
      </c>
      <c r="E839" s="9" t="str">
        <f>"男"</f>
        <v>男</v>
      </c>
      <c r="F839" s="10"/>
    </row>
    <row r="840" spans="1:6" ht="30" customHeight="1">
      <c r="A840" s="9">
        <v>838</v>
      </c>
      <c r="B840" s="9" t="str">
        <f>"50322023032113142365438"</f>
        <v>50322023032113142365438</v>
      </c>
      <c r="C840" s="9" t="s">
        <v>69</v>
      </c>
      <c r="D840" s="10" t="str">
        <f>"罗丹"</f>
        <v>罗丹</v>
      </c>
      <c r="E840" s="9" t="str">
        <f aca="true" t="shared" si="33" ref="E840:E879">"女"</f>
        <v>女</v>
      </c>
      <c r="F840" s="10"/>
    </row>
    <row r="841" spans="1:6" ht="30" customHeight="1">
      <c r="A841" s="9">
        <v>839</v>
      </c>
      <c r="B841" s="9" t="str">
        <f>"50322023032116172666639"</f>
        <v>50322023032116172666639</v>
      </c>
      <c r="C841" s="9" t="s">
        <v>69</v>
      </c>
      <c r="D841" s="10" t="str">
        <f>"黎俊诗"</f>
        <v>黎俊诗</v>
      </c>
      <c r="E841" s="9" t="str">
        <f t="shared" si="33"/>
        <v>女</v>
      </c>
      <c r="F841" s="10"/>
    </row>
    <row r="842" spans="1:6" ht="30" customHeight="1">
      <c r="A842" s="9">
        <v>840</v>
      </c>
      <c r="B842" s="9" t="str">
        <f>"50322023032122270368743"</f>
        <v>50322023032122270368743</v>
      </c>
      <c r="C842" s="9" t="s">
        <v>69</v>
      </c>
      <c r="D842" s="10" t="str">
        <f>"王材升"</f>
        <v>王材升</v>
      </c>
      <c r="E842" s="9" t="str">
        <f t="shared" si="33"/>
        <v>女</v>
      </c>
      <c r="F842" s="10"/>
    </row>
    <row r="843" spans="1:6" ht="30" customHeight="1">
      <c r="A843" s="9">
        <v>841</v>
      </c>
      <c r="B843" s="9" t="str">
        <f>"50322023032210183969953"</f>
        <v>50322023032210183969953</v>
      </c>
      <c r="C843" s="9" t="s">
        <v>69</v>
      </c>
      <c r="D843" s="10" t="str">
        <f>"王燕妮"</f>
        <v>王燕妮</v>
      </c>
      <c r="E843" s="9" t="str">
        <f t="shared" si="33"/>
        <v>女</v>
      </c>
      <c r="F843" s="10"/>
    </row>
    <row r="844" spans="1:6" ht="30" customHeight="1">
      <c r="A844" s="9">
        <v>842</v>
      </c>
      <c r="B844" s="9" t="str">
        <f>"50322023032210233669997"</f>
        <v>50322023032210233669997</v>
      </c>
      <c r="C844" s="9" t="s">
        <v>69</v>
      </c>
      <c r="D844" s="10" t="str">
        <f>"麦娱"</f>
        <v>麦娱</v>
      </c>
      <c r="E844" s="9" t="str">
        <f t="shared" si="33"/>
        <v>女</v>
      </c>
      <c r="F844" s="10"/>
    </row>
    <row r="845" spans="1:6" ht="30" customHeight="1">
      <c r="A845" s="9">
        <v>843</v>
      </c>
      <c r="B845" s="9" t="str">
        <f>"50322023032218285973151"</f>
        <v>50322023032218285973151</v>
      </c>
      <c r="C845" s="9" t="s">
        <v>69</v>
      </c>
      <c r="D845" s="10" t="str">
        <f>"吴小燕"</f>
        <v>吴小燕</v>
      </c>
      <c r="E845" s="9" t="str">
        <f t="shared" si="33"/>
        <v>女</v>
      </c>
      <c r="F845" s="10"/>
    </row>
    <row r="846" spans="1:6" ht="30" customHeight="1">
      <c r="A846" s="9">
        <v>844</v>
      </c>
      <c r="B846" s="9" t="str">
        <f>"50322023032221483873533"</f>
        <v>50322023032221483873533</v>
      </c>
      <c r="C846" s="9" t="s">
        <v>69</v>
      </c>
      <c r="D846" s="10" t="str">
        <f>"李雅慧"</f>
        <v>李雅慧</v>
      </c>
      <c r="E846" s="9" t="str">
        <f t="shared" si="33"/>
        <v>女</v>
      </c>
      <c r="F846" s="10"/>
    </row>
    <row r="847" spans="1:6" ht="30" customHeight="1">
      <c r="A847" s="9">
        <v>845</v>
      </c>
      <c r="B847" s="9" t="str">
        <f>"50322023032309091473879"</f>
        <v>50322023032309091473879</v>
      </c>
      <c r="C847" s="9" t="s">
        <v>69</v>
      </c>
      <c r="D847" s="10" t="str">
        <f>"吴琼"</f>
        <v>吴琼</v>
      </c>
      <c r="E847" s="9" t="str">
        <f t="shared" si="33"/>
        <v>女</v>
      </c>
      <c r="F847" s="10"/>
    </row>
    <row r="848" spans="1:6" ht="30" customHeight="1">
      <c r="A848" s="9">
        <v>846</v>
      </c>
      <c r="B848" s="9" t="str">
        <f>"50322023032312313874339"</f>
        <v>50322023032312313874339</v>
      </c>
      <c r="C848" s="9" t="s">
        <v>69</v>
      </c>
      <c r="D848" s="10" t="str">
        <f>"罗晓欣"</f>
        <v>罗晓欣</v>
      </c>
      <c r="E848" s="9" t="str">
        <f t="shared" si="33"/>
        <v>女</v>
      </c>
      <c r="F848" s="10"/>
    </row>
    <row r="849" spans="1:6" ht="30" customHeight="1">
      <c r="A849" s="9">
        <v>847</v>
      </c>
      <c r="B849" s="9" t="str">
        <f>"50322023032319114174987"</f>
        <v>50322023032319114174987</v>
      </c>
      <c r="C849" s="9" t="s">
        <v>69</v>
      </c>
      <c r="D849" s="10" t="str">
        <f>"李华姑"</f>
        <v>李华姑</v>
      </c>
      <c r="E849" s="9" t="str">
        <f t="shared" si="33"/>
        <v>女</v>
      </c>
      <c r="F849" s="10"/>
    </row>
    <row r="850" spans="1:6" ht="30" customHeight="1">
      <c r="A850" s="9">
        <v>848</v>
      </c>
      <c r="B850" s="9" t="str">
        <f>"50322023032407514975398"</f>
        <v>50322023032407514975398</v>
      </c>
      <c r="C850" s="9" t="s">
        <v>69</v>
      </c>
      <c r="D850" s="10" t="str">
        <f>"谭彩玲"</f>
        <v>谭彩玲</v>
      </c>
      <c r="E850" s="9" t="str">
        <f t="shared" si="33"/>
        <v>女</v>
      </c>
      <c r="F850" s="10"/>
    </row>
    <row r="851" spans="1:6" ht="30" customHeight="1">
      <c r="A851" s="9">
        <v>849</v>
      </c>
      <c r="B851" s="9" t="str">
        <f>"50322023032411363875666"</f>
        <v>50322023032411363875666</v>
      </c>
      <c r="C851" s="9" t="s">
        <v>69</v>
      </c>
      <c r="D851" s="10" t="str">
        <f>"杨瑜"</f>
        <v>杨瑜</v>
      </c>
      <c r="E851" s="9" t="str">
        <f t="shared" si="33"/>
        <v>女</v>
      </c>
      <c r="F851" s="10"/>
    </row>
    <row r="852" spans="1:6" ht="30" customHeight="1">
      <c r="A852" s="9">
        <v>850</v>
      </c>
      <c r="B852" s="9" t="str">
        <f>"50322023032415505076037"</f>
        <v>50322023032415505076037</v>
      </c>
      <c r="C852" s="9" t="s">
        <v>69</v>
      </c>
      <c r="D852" s="10" t="str">
        <f>"邢文明"</f>
        <v>邢文明</v>
      </c>
      <c r="E852" s="9" t="str">
        <f t="shared" si="33"/>
        <v>女</v>
      </c>
      <c r="F852" s="10"/>
    </row>
    <row r="853" spans="1:6" ht="30" customHeight="1">
      <c r="A853" s="9">
        <v>851</v>
      </c>
      <c r="B853" s="9" t="str">
        <f>"50322023032509515576561"</f>
        <v>50322023032509515576561</v>
      </c>
      <c r="C853" s="9" t="s">
        <v>69</v>
      </c>
      <c r="D853" s="10" t="str">
        <f>"张文盈"</f>
        <v>张文盈</v>
      </c>
      <c r="E853" s="9" t="str">
        <f t="shared" si="33"/>
        <v>女</v>
      </c>
      <c r="F853" s="10"/>
    </row>
    <row r="854" spans="1:6" ht="30" customHeight="1">
      <c r="A854" s="9">
        <v>852</v>
      </c>
      <c r="B854" s="9" t="str">
        <f>"50322023032516310376981"</f>
        <v>50322023032516310376981</v>
      </c>
      <c r="C854" s="9" t="s">
        <v>69</v>
      </c>
      <c r="D854" s="10" t="str">
        <f>"王春晓"</f>
        <v>王春晓</v>
      </c>
      <c r="E854" s="9" t="str">
        <f t="shared" si="33"/>
        <v>女</v>
      </c>
      <c r="F854" s="10"/>
    </row>
    <row r="855" spans="1:6" ht="30" customHeight="1">
      <c r="A855" s="9">
        <v>853</v>
      </c>
      <c r="B855" s="9" t="str">
        <f>"50322023032516570977008"</f>
        <v>50322023032516570977008</v>
      </c>
      <c r="C855" s="9" t="s">
        <v>69</v>
      </c>
      <c r="D855" s="10" t="str">
        <f>"陈菊"</f>
        <v>陈菊</v>
      </c>
      <c r="E855" s="9" t="str">
        <f t="shared" si="33"/>
        <v>女</v>
      </c>
      <c r="F855" s="10"/>
    </row>
    <row r="856" spans="1:6" ht="30" customHeight="1">
      <c r="A856" s="9">
        <v>854</v>
      </c>
      <c r="B856" s="9" t="str">
        <f>"50322023032609515077281"</f>
        <v>50322023032609515077281</v>
      </c>
      <c r="C856" s="9" t="s">
        <v>69</v>
      </c>
      <c r="D856" s="10" t="str">
        <f>"刘海惠"</f>
        <v>刘海惠</v>
      </c>
      <c r="E856" s="9" t="str">
        <f t="shared" si="33"/>
        <v>女</v>
      </c>
      <c r="F856" s="10"/>
    </row>
    <row r="857" spans="1:6" ht="30" customHeight="1">
      <c r="A857" s="9">
        <v>855</v>
      </c>
      <c r="B857" s="9" t="str">
        <f>"50322023032612353577367"</f>
        <v>50322023032612353577367</v>
      </c>
      <c r="C857" s="9" t="s">
        <v>69</v>
      </c>
      <c r="D857" s="10" t="str">
        <f>"符丽纳"</f>
        <v>符丽纳</v>
      </c>
      <c r="E857" s="9" t="str">
        <f t="shared" si="33"/>
        <v>女</v>
      </c>
      <c r="F857" s="10"/>
    </row>
    <row r="858" spans="1:6" ht="30" customHeight="1">
      <c r="A858" s="9">
        <v>856</v>
      </c>
      <c r="B858" s="9" t="str">
        <f>"50322023032615191677448"</f>
        <v>50322023032615191677448</v>
      </c>
      <c r="C858" s="9" t="s">
        <v>69</v>
      </c>
      <c r="D858" s="10" t="str">
        <f>"李翼桃"</f>
        <v>李翼桃</v>
      </c>
      <c r="E858" s="9" t="str">
        <f t="shared" si="33"/>
        <v>女</v>
      </c>
      <c r="F858" s="10"/>
    </row>
    <row r="859" spans="1:6" ht="30" customHeight="1">
      <c r="A859" s="9">
        <v>857</v>
      </c>
      <c r="B859" s="9" t="str">
        <f>"50322023032622142277703"</f>
        <v>50322023032622142277703</v>
      </c>
      <c r="C859" s="9" t="s">
        <v>69</v>
      </c>
      <c r="D859" s="10" t="str">
        <f>"林先燕"</f>
        <v>林先燕</v>
      </c>
      <c r="E859" s="9" t="str">
        <f t="shared" si="33"/>
        <v>女</v>
      </c>
      <c r="F859" s="10"/>
    </row>
    <row r="860" spans="1:6" ht="30" customHeight="1">
      <c r="A860" s="9">
        <v>858</v>
      </c>
      <c r="B860" s="9" t="str">
        <f>"50322023032718243378683"</f>
        <v>50322023032718243378683</v>
      </c>
      <c r="C860" s="9" t="s">
        <v>69</v>
      </c>
      <c r="D860" s="10" t="str">
        <f>"羊英荣"</f>
        <v>羊英荣</v>
      </c>
      <c r="E860" s="9" t="str">
        <f t="shared" si="33"/>
        <v>女</v>
      </c>
      <c r="F860" s="10"/>
    </row>
    <row r="861" spans="1:6" ht="30" customHeight="1">
      <c r="A861" s="9">
        <v>859</v>
      </c>
      <c r="B861" s="9" t="str">
        <f>"50322023032718432478698"</f>
        <v>50322023032718432478698</v>
      </c>
      <c r="C861" s="9" t="s">
        <v>69</v>
      </c>
      <c r="D861" s="10" t="str">
        <f>"陈银"</f>
        <v>陈银</v>
      </c>
      <c r="E861" s="9" t="str">
        <f t="shared" si="33"/>
        <v>女</v>
      </c>
      <c r="F861" s="10"/>
    </row>
    <row r="862" spans="1:6" ht="30" customHeight="1">
      <c r="A862" s="9">
        <v>860</v>
      </c>
      <c r="B862" s="9" t="str">
        <f>"50322023032722245678950"</f>
        <v>50322023032722245678950</v>
      </c>
      <c r="C862" s="9" t="s">
        <v>69</v>
      </c>
      <c r="D862" s="10" t="str">
        <f>"邢迎"</f>
        <v>邢迎</v>
      </c>
      <c r="E862" s="9" t="str">
        <f t="shared" si="33"/>
        <v>女</v>
      </c>
      <c r="F862" s="10"/>
    </row>
    <row r="863" spans="1:6" ht="30" customHeight="1">
      <c r="A863" s="9">
        <v>861</v>
      </c>
      <c r="B863" s="9" t="str">
        <f>"50322023032809064579126"</f>
        <v>50322023032809064579126</v>
      </c>
      <c r="C863" s="9" t="s">
        <v>69</v>
      </c>
      <c r="D863" s="10" t="str">
        <f>"陈明爱"</f>
        <v>陈明爱</v>
      </c>
      <c r="E863" s="9" t="str">
        <f t="shared" si="33"/>
        <v>女</v>
      </c>
      <c r="F863" s="10"/>
    </row>
    <row r="864" spans="1:6" ht="30" customHeight="1">
      <c r="A864" s="9">
        <v>862</v>
      </c>
      <c r="B864" s="9" t="str">
        <f>"50322023032816472579773"</f>
        <v>50322023032816472579773</v>
      </c>
      <c r="C864" s="9" t="s">
        <v>69</v>
      </c>
      <c r="D864" s="10" t="str">
        <f>"符丽莹"</f>
        <v>符丽莹</v>
      </c>
      <c r="E864" s="9" t="str">
        <f t="shared" si="33"/>
        <v>女</v>
      </c>
      <c r="F864" s="10"/>
    </row>
    <row r="865" spans="1:6" ht="30" customHeight="1">
      <c r="A865" s="9">
        <v>863</v>
      </c>
      <c r="B865" s="9" t="str">
        <f>"50322023032823055580267"</f>
        <v>50322023032823055580267</v>
      </c>
      <c r="C865" s="9" t="s">
        <v>69</v>
      </c>
      <c r="D865" s="10" t="str">
        <f>"王传珠"</f>
        <v>王传珠</v>
      </c>
      <c r="E865" s="9" t="str">
        <f t="shared" si="33"/>
        <v>女</v>
      </c>
      <c r="F865" s="10"/>
    </row>
    <row r="866" spans="1:6" ht="30" customHeight="1">
      <c r="A866" s="9">
        <v>864</v>
      </c>
      <c r="B866" s="9" t="str">
        <f>"50322023033008590585275"</f>
        <v>50322023033008590585275</v>
      </c>
      <c r="C866" s="9" t="s">
        <v>69</v>
      </c>
      <c r="D866" s="10" t="str">
        <f>"陈文娥"</f>
        <v>陈文娥</v>
      </c>
      <c r="E866" s="9" t="str">
        <f t="shared" si="33"/>
        <v>女</v>
      </c>
      <c r="F866" s="10"/>
    </row>
    <row r="867" spans="1:6" ht="30" customHeight="1">
      <c r="A867" s="9">
        <v>865</v>
      </c>
      <c r="B867" s="9" t="str">
        <f>"50322023032108404663086"</f>
        <v>50322023032108404663086</v>
      </c>
      <c r="C867" s="9" t="s">
        <v>70</v>
      </c>
      <c r="D867" s="10" t="str">
        <f>"陈雪珠"</f>
        <v>陈雪珠</v>
      </c>
      <c r="E867" s="9" t="str">
        <f t="shared" si="33"/>
        <v>女</v>
      </c>
      <c r="F867" s="10"/>
    </row>
    <row r="868" spans="1:6" ht="30" customHeight="1">
      <c r="A868" s="9">
        <v>866</v>
      </c>
      <c r="B868" s="9" t="str">
        <f>"50322023032113090665411"</f>
        <v>50322023032113090665411</v>
      </c>
      <c r="C868" s="9" t="s">
        <v>70</v>
      </c>
      <c r="D868" s="10" t="str">
        <f>"薛桃秋"</f>
        <v>薛桃秋</v>
      </c>
      <c r="E868" s="9" t="str">
        <f t="shared" si="33"/>
        <v>女</v>
      </c>
      <c r="F868" s="10"/>
    </row>
    <row r="869" spans="1:6" ht="30" customHeight="1">
      <c r="A869" s="9">
        <v>867</v>
      </c>
      <c r="B869" s="9" t="str">
        <f>"50322023032116374566776"</f>
        <v>50322023032116374566776</v>
      </c>
      <c r="C869" s="9" t="s">
        <v>70</v>
      </c>
      <c r="D869" s="10" t="str">
        <f>"李祥燕"</f>
        <v>李祥燕</v>
      </c>
      <c r="E869" s="9" t="str">
        <f t="shared" si="33"/>
        <v>女</v>
      </c>
      <c r="F869" s="10"/>
    </row>
    <row r="870" spans="1:6" ht="30" customHeight="1">
      <c r="A870" s="9">
        <v>868</v>
      </c>
      <c r="B870" s="9" t="str">
        <f>"50322023032120441768046"</f>
        <v>50322023032120441768046</v>
      </c>
      <c r="C870" s="9" t="s">
        <v>70</v>
      </c>
      <c r="D870" s="10" t="str">
        <f>"李瞳"</f>
        <v>李瞳</v>
      </c>
      <c r="E870" s="9" t="str">
        <f t="shared" si="33"/>
        <v>女</v>
      </c>
      <c r="F870" s="10"/>
    </row>
    <row r="871" spans="1:6" ht="30" customHeight="1">
      <c r="A871" s="9">
        <v>869</v>
      </c>
      <c r="B871" s="9" t="str">
        <f>"50322023032121195068269"</f>
        <v>50322023032121195068269</v>
      </c>
      <c r="C871" s="9" t="s">
        <v>70</v>
      </c>
      <c r="D871" s="10" t="str">
        <f>"李海川"</f>
        <v>李海川</v>
      </c>
      <c r="E871" s="9" t="str">
        <f t="shared" si="33"/>
        <v>女</v>
      </c>
      <c r="F871" s="10"/>
    </row>
    <row r="872" spans="1:6" ht="30" customHeight="1">
      <c r="A872" s="9">
        <v>870</v>
      </c>
      <c r="B872" s="9" t="str">
        <f>"50322023032309321773939"</f>
        <v>50322023032309321773939</v>
      </c>
      <c r="C872" s="9" t="s">
        <v>70</v>
      </c>
      <c r="D872" s="10" t="str">
        <f>"赵铭婷"</f>
        <v>赵铭婷</v>
      </c>
      <c r="E872" s="9" t="str">
        <f t="shared" si="33"/>
        <v>女</v>
      </c>
      <c r="F872" s="10"/>
    </row>
    <row r="873" spans="1:6" ht="30" customHeight="1">
      <c r="A873" s="9">
        <v>871</v>
      </c>
      <c r="B873" s="9" t="str">
        <f>"50322023032317195574860"</f>
        <v>50322023032317195574860</v>
      </c>
      <c r="C873" s="9" t="s">
        <v>70</v>
      </c>
      <c r="D873" s="10" t="str">
        <f>"梁惠霖"</f>
        <v>梁惠霖</v>
      </c>
      <c r="E873" s="9" t="str">
        <f t="shared" si="33"/>
        <v>女</v>
      </c>
      <c r="F873" s="10"/>
    </row>
    <row r="874" spans="1:6" ht="30" customHeight="1">
      <c r="A874" s="9">
        <v>872</v>
      </c>
      <c r="B874" s="9" t="str">
        <f>"50322023032319344775013"</f>
        <v>50322023032319344775013</v>
      </c>
      <c r="C874" s="9" t="s">
        <v>70</v>
      </c>
      <c r="D874" s="10" t="str">
        <f>"伊超"</f>
        <v>伊超</v>
      </c>
      <c r="E874" s="9" t="str">
        <f t="shared" si="33"/>
        <v>女</v>
      </c>
      <c r="F874" s="10"/>
    </row>
    <row r="875" spans="1:6" ht="30" customHeight="1">
      <c r="A875" s="9">
        <v>873</v>
      </c>
      <c r="B875" s="9" t="str">
        <f>"50322023032320102975060"</f>
        <v>50322023032320102975060</v>
      </c>
      <c r="C875" s="9" t="s">
        <v>70</v>
      </c>
      <c r="D875" s="10" t="str">
        <f>"徐创蕾"</f>
        <v>徐创蕾</v>
      </c>
      <c r="E875" s="9" t="str">
        <f t="shared" si="33"/>
        <v>女</v>
      </c>
      <c r="F875" s="10"/>
    </row>
    <row r="876" spans="1:6" ht="30" customHeight="1">
      <c r="A876" s="9">
        <v>874</v>
      </c>
      <c r="B876" s="9" t="str">
        <f>"50322023032322323575254"</f>
        <v>50322023032322323575254</v>
      </c>
      <c r="C876" s="9" t="s">
        <v>70</v>
      </c>
      <c r="D876" s="10" t="str">
        <f>"周清风"</f>
        <v>周清风</v>
      </c>
      <c r="E876" s="9" t="str">
        <f t="shared" si="33"/>
        <v>女</v>
      </c>
      <c r="F876" s="10"/>
    </row>
    <row r="877" spans="1:6" ht="30" customHeight="1">
      <c r="A877" s="9">
        <v>875</v>
      </c>
      <c r="B877" s="9" t="str">
        <f>"50322023032412483975774"</f>
        <v>50322023032412483975774</v>
      </c>
      <c r="C877" s="9" t="s">
        <v>70</v>
      </c>
      <c r="D877" s="10" t="str">
        <f>"杨中妹"</f>
        <v>杨中妹</v>
      </c>
      <c r="E877" s="9" t="str">
        <f t="shared" si="33"/>
        <v>女</v>
      </c>
      <c r="F877" s="10"/>
    </row>
    <row r="878" spans="1:6" ht="30" customHeight="1">
      <c r="A878" s="9">
        <v>876</v>
      </c>
      <c r="B878" s="9" t="str">
        <f>"50322023032510393476621"</f>
        <v>50322023032510393476621</v>
      </c>
      <c r="C878" s="9" t="s">
        <v>70</v>
      </c>
      <c r="D878" s="10" t="str">
        <f>"唐二花"</f>
        <v>唐二花</v>
      </c>
      <c r="E878" s="9" t="str">
        <f t="shared" si="33"/>
        <v>女</v>
      </c>
      <c r="F878" s="10"/>
    </row>
    <row r="879" spans="1:6" ht="30" customHeight="1">
      <c r="A879" s="9">
        <v>877</v>
      </c>
      <c r="B879" s="9" t="str">
        <f>"50322023032514491076880"</f>
        <v>50322023032514491076880</v>
      </c>
      <c r="C879" s="9" t="s">
        <v>70</v>
      </c>
      <c r="D879" s="10" t="str">
        <f>"邢其秋"</f>
        <v>邢其秋</v>
      </c>
      <c r="E879" s="9" t="str">
        <f t="shared" si="33"/>
        <v>女</v>
      </c>
      <c r="F879" s="10"/>
    </row>
    <row r="880" spans="1:6" ht="30" customHeight="1">
      <c r="A880" s="9">
        <v>878</v>
      </c>
      <c r="B880" s="9" t="str">
        <f>"50322023032520385077120"</f>
        <v>50322023032520385077120</v>
      </c>
      <c r="C880" s="9" t="s">
        <v>70</v>
      </c>
      <c r="D880" s="10" t="str">
        <f>"高德发"</f>
        <v>高德发</v>
      </c>
      <c r="E880" s="9" t="str">
        <f>"男"</f>
        <v>男</v>
      </c>
      <c r="F880" s="10"/>
    </row>
    <row r="881" spans="1:6" ht="30" customHeight="1">
      <c r="A881" s="9">
        <v>879</v>
      </c>
      <c r="B881" s="9" t="str">
        <f>"50322023032522060377177"</f>
        <v>50322023032522060377177</v>
      </c>
      <c r="C881" s="9" t="s">
        <v>70</v>
      </c>
      <c r="D881" s="10" t="str">
        <f>"张信明"</f>
        <v>张信明</v>
      </c>
      <c r="E881" s="9" t="str">
        <f aca="true" t="shared" si="34" ref="E881:E897">"女"</f>
        <v>女</v>
      </c>
      <c r="F881" s="10"/>
    </row>
    <row r="882" spans="1:6" ht="30" customHeight="1">
      <c r="A882" s="9">
        <v>880</v>
      </c>
      <c r="B882" s="9" t="str">
        <f>"50322023032523432577221"</f>
        <v>50322023032523432577221</v>
      </c>
      <c r="C882" s="9" t="s">
        <v>70</v>
      </c>
      <c r="D882" s="10" t="str">
        <f>"卢健瞳"</f>
        <v>卢健瞳</v>
      </c>
      <c r="E882" s="9" t="str">
        <f t="shared" si="34"/>
        <v>女</v>
      </c>
      <c r="F882" s="10"/>
    </row>
    <row r="883" spans="1:6" ht="30" customHeight="1">
      <c r="A883" s="9">
        <v>881</v>
      </c>
      <c r="B883" s="9" t="str">
        <f>"50322023032610320477293"</f>
        <v>50322023032610320477293</v>
      </c>
      <c r="C883" s="9" t="s">
        <v>70</v>
      </c>
      <c r="D883" s="10" t="str">
        <f>"黎昌柳"</f>
        <v>黎昌柳</v>
      </c>
      <c r="E883" s="9" t="str">
        <f t="shared" si="34"/>
        <v>女</v>
      </c>
      <c r="F883" s="10"/>
    </row>
    <row r="884" spans="1:6" ht="30" customHeight="1">
      <c r="A884" s="9">
        <v>882</v>
      </c>
      <c r="B884" s="9" t="str">
        <f>"50322023032711513978188"</f>
        <v>50322023032711513978188</v>
      </c>
      <c r="C884" s="9" t="s">
        <v>70</v>
      </c>
      <c r="D884" s="10" t="str">
        <f>"李苗"</f>
        <v>李苗</v>
      </c>
      <c r="E884" s="9" t="str">
        <f t="shared" si="34"/>
        <v>女</v>
      </c>
      <c r="F884" s="10"/>
    </row>
    <row r="885" spans="1:6" ht="30" customHeight="1">
      <c r="A885" s="9">
        <v>883</v>
      </c>
      <c r="B885" s="9" t="str">
        <f>"50322023032712355678242"</f>
        <v>50322023032712355678242</v>
      </c>
      <c r="C885" s="9" t="s">
        <v>70</v>
      </c>
      <c r="D885" s="10" t="str">
        <f>"柳雨霞"</f>
        <v>柳雨霞</v>
      </c>
      <c r="E885" s="9" t="str">
        <f t="shared" si="34"/>
        <v>女</v>
      </c>
      <c r="F885" s="10"/>
    </row>
    <row r="886" spans="1:6" ht="30" customHeight="1">
      <c r="A886" s="9">
        <v>884</v>
      </c>
      <c r="B886" s="9" t="str">
        <f>"50322023032811284379409"</f>
        <v>50322023032811284379409</v>
      </c>
      <c r="C886" s="9" t="s">
        <v>70</v>
      </c>
      <c r="D886" s="10" t="str">
        <f>"梁楚倩"</f>
        <v>梁楚倩</v>
      </c>
      <c r="E886" s="9" t="str">
        <f t="shared" si="34"/>
        <v>女</v>
      </c>
      <c r="F886" s="10"/>
    </row>
    <row r="887" spans="1:6" ht="30" customHeight="1">
      <c r="A887" s="9">
        <v>885</v>
      </c>
      <c r="B887" s="9" t="str">
        <f>"50322023032812405979484"</f>
        <v>50322023032812405979484</v>
      </c>
      <c r="C887" s="9" t="s">
        <v>70</v>
      </c>
      <c r="D887" s="10" t="str">
        <f>"曹丽娟"</f>
        <v>曹丽娟</v>
      </c>
      <c r="E887" s="9" t="str">
        <f t="shared" si="34"/>
        <v>女</v>
      </c>
      <c r="F887" s="10"/>
    </row>
    <row r="888" spans="1:6" ht="30" customHeight="1">
      <c r="A888" s="9">
        <v>886</v>
      </c>
      <c r="B888" s="9" t="str">
        <f>"50322023032909021080435"</f>
        <v>50322023032909021080435</v>
      </c>
      <c r="C888" s="9" t="s">
        <v>70</v>
      </c>
      <c r="D888" s="10" t="str">
        <f>"许文雅"</f>
        <v>许文雅</v>
      </c>
      <c r="E888" s="9" t="str">
        <f t="shared" si="34"/>
        <v>女</v>
      </c>
      <c r="F888" s="10"/>
    </row>
    <row r="889" spans="1:6" ht="30" customHeight="1">
      <c r="A889" s="9">
        <v>887</v>
      </c>
      <c r="B889" s="9" t="str">
        <f>"50322023032910545681256"</f>
        <v>50322023032910545681256</v>
      </c>
      <c r="C889" s="9" t="s">
        <v>70</v>
      </c>
      <c r="D889" s="10" t="str">
        <f>"李海艳"</f>
        <v>李海艳</v>
      </c>
      <c r="E889" s="9" t="str">
        <f t="shared" si="34"/>
        <v>女</v>
      </c>
      <c r="F889" s="10"/>
    </row>
    <row r="890" spans="1:6" ht="30" customHeight="1">
      <c r="A890" s="9">
        <v>888</v>
      </c>
      <c r="B890" s="9" t="str">
        <f>"50322023032915000482187"</f>
        <v>50322023032915000482187</v>
      </c>
      <c r="C890" s="9" t="s">
        <v>70</v>
      </c>
      <c r="D890" s="10" t="str">
        <f>"黄柔柔"</f>
        <v>黄柔柔</v>
      </c>
      <c r="E890" s="9" t="str">
        <f t="shared" si="34"/>
        <v>女</v>
      </c>
      <c r="F890" s="10"/>
    </row>
    <row r="891" spans="1:6" ht="30" customHeight="1">
      <c r="A891" s="9">
        <v>889</v>
      </c>
      <c r="B891" s="9" t="str">
        <f>"50322023032916353582599"</f>
        <v>50322023032916353582599</v>
      </c>
      <c r="C891" s="9" t="s">
        <v>70</v>
      </c>
      <c r="D891" s="10" t="str">
        <f>"李桂萍"</f>
        <v>李桂萍</v>
      </c>
      <c r="E891" s="9" t="str">
        <f t="shared" si="34"/>
        <v>女</v>
      </c>
      <c r="F891" s="10"/>
    </row>
    <row r="892" spans="1:6" ht="30" customHeight="1">
      <c r="A892" s="9">
        <v>890</v>
      </c>
      <c r="B892" s="9" t="str">
        <f>"50322023032917563084018"</f>
        <v>50322023032917563084018</v>
      </c>
      <c r="C892" s="9" t="s">
        <v>70</v>
      </c>
      <c r="D892" s="10" t="str">
        <f>"林永教"</f>
        <v>林永教</v>
      </c>
      <c r="E892" s="9" t="str">
        <f t="shared" si="34"/>
        <v>女</v>
      </c>
      <c r="F892" s="10"/>
    </row>
    <row r="893" spans="1:6" ht="30" customHeight="1">
      <c r="A893" s="9">
        <v>891</v>
      </c>
      <c r="B893" s="9" t="str">
        <f>"50322023032918133084173"</f>
        <v>50322023032918133084173</v>
      </c>
      <c r="C893" s="9" t="s">
        <v>70</v>
      </c>
      <c r="D893" s="10" t="str">
        <f>"王玲霞"</f>
        <v>王玲霞</v>
      </c>
      <c r="E893" s="9" t="str">
        <f t="shared" si="34"/>
        <v>女</v>
      </c>
      <c r="F893" s="10"/>
    </row>
    <row r="894" spans="1:6" ht="30" customHeight="1">
      <c r="A894" s="9">
        <v>892</v>
      </c>
      <c r="B894" s="9" t="str">
        <f>"50322023032920445984608"</f>
        <v>50322023032920445984608</v>
      </c>
      <c r="C894" s="9" t="s">
        <v>70</v>
      </c>
      <c r="D894" s="10" t="str">
        <f>"符慧红"</f>
        <v>符慧红</v>
      </c>
      <c r="E894" s="9" t="str">
        <f t="shared" si="34"/>
        <v>女</v>
      </c>
      <c r="F894" s="10"/>
    </row>
    <row r="895" spans="1:6" ht="30" customHeight="1">
      <c r="A895" s="9">
        <v>893</v>
      </c>
      <c r="B895" s="9" t="str">
        <f>"50322023033010091685614"</f>
        <v>50322023033010091685614</v>
      </c>
      <c r="C895" s="9" t="s">
        <v>70</v>
      </c>
      <c r="D895" s="10" t="str">
        <f>"庄珍妮"</f>
        <v>庄珍妮</v>
      </c>
      <c r="E895" s="9" t="str">
        <f t="shared" si="34"/>
        <v>女</v>
      </c>
      <c r="F895" s="10"/>
    </row>
    <row r="896" spans="1:6" ht="30" customHeight="1">
      <c r="A896" s="9">
        <v>894</v>
      </c>
      <c r="B896" s="9" t="str">
        <f>"50322023033010174385650"</f>
        <v>50322023033010174385650</v>
      </c>
      <c r="C896" s="9" t="s">
        <v>70</v>
      </c>
      <c r="D896" s="10" t="str">
        <f>"邱惠清"</f>
        <v>邱惠清</v>
      </c>
      <c r="E896" s="9" t="str">
        <f t="shared" si="34"/>
        <v>女</v>
      </c>
      <c r="F896" s="10"/>
    </row>
    <row r="897" spans="1:6" ht="30" customHeight="1">
      <c r="A897" s="9">
        <v>895</v>
      </c>
      <c r="B897" s="9" t="str">
        <f>"50322023032114225965872"</f>
        <v>50322023032114225965872</v>
      </c>
      <c r="C897" s="9" t="s">
        <v>71</v>
      </c>
      <c r="D897" s="10" t="str">
        <f>"周兰"</f>
        <v>周兰</v>
      </c>
      <c r="E897" s="9" t="str">
        <f t="shared" si="34"/>
        <v>女</v>
      </c>
      <c r="F897" s="10"/>
    </row>
    <row r="898" spans="1:6" ht="30" customHeight="1">
      <c r="A898" s="9">
        <v>896</v>
      </c>
      <c r="B898" s="9" t="str">
        <f>"50322023032123385369078"</f>
        <v>50322023032123385369078</v>
      </c>
      <c r="C898" s="9" t="s">
        <v>71</v>
      </c>
      <c r="D898" s="10" t="str">
        <f>"朱亚辰"</f>
        <v>朱亚辰</v>
      </c>
      <c r="E898" s="9" t="str">
        <f>"男"</f>
        <v>男</v>
      </c>
      <c r="F898" s="10"/>
    </row>
    <row r="899" spans="1:6" ht="30" customHeight="1">
      <c r="A899" s="9">
        <v>897</v>
      </c>
      <c r="B899" s="9" t="str">
        <f>"50322023032216292772733"</f>
        <v>50322023032216292772733</v>
      </c>
      <c r="C899" s="9" t="s">
        <v>71</v>
      </c>
      <c r="D899" s="10" t="str">
        <f>"王乙如"</f>
        <v>王乙如</v>
      </c>
      <c r="E899" s="9" t="str">
        <f>"女"</f>
        <v>女</v>
      </c>
      <c r="F899" s="10"/>
    </row>
    <row r="900" spans="1:6" ht="30" customHeight="1">
      <c r="A900" s="9">
        <v>898</v>
      </c>
      <c r="B900" s="9" t="str">
        <f>"50322023032217152473023"</f>
        <v>50322023032217152473023</v>
      </c>
      <c r="C900" s="9" t="s">
        <v>71</v>
      </c>
      <c r="D900" s="10" t="str">
        <f>"王义桃"</f>
        <v>王义桃</v>
      </c>
      <c r="E900" s="9" t="str">
        <f>"女"</f>
        <v>女</v>
      </c>
      <c r="F900" s="10"/>
    </row>
    <row r="901" spans="1:6" ht="30" customHeight="1">
      <c r="A901" s="9">
        <v>899</v>
      </c>
      <c r="B901" s="9" t="str">
        <f>"50322023032220450773400"</f>
        <v>50322023032220450773400</v>
      </c>
      <c r="C901" s="9" t="s">
        <v>71</v>
      </c>
      <c r="D901" s="10" t="str">
        <f>"王娜"</f>
        <v>王娜</v>
      </c>
      <c r="E901" s="9" t="str">
        <f>"女"</f>
        <v>女</v>
      </c>
      <c r="F901" s="10"/>
    </row>
    <row r="902" spans="1:6" ht="30" customHeight="1">
      <c r="A902" s="9">
        <v>900</v>
      </c>
      <c r="B902" s="9" t="str">
        <f>"50322023032310415674095"</f>
        <v>50322023032310415674095</v>
      </c>
      <c r="C902" s="9" t="s">
        <v>71</v>
      </c>
      <c r="D902" s="10" t="str">
        <f>"邢孔芸"</f>
        <v>邢孔芸</v>
      </c>
      <c r="E902" s="9" t="str">
        <f>"女"</f>
        <v>女</v>
      </c>
      <c r="F902" s="10"/>
    </row>
    <row r="903" spans="1:6" ht="30" customHeight="1">
      <c r="A903" s="9">
        <v>901</v>
      </c>
      <c r="B903" s="9" t="str">
        <f>"50322023032404082775384"</f>
        <v>50322023032404082775384</v>
      </c>
      <c r="C903" s="9" t="s">
        <v>71</v>
      </c>
      <c r="D903" s="10" t="str">
        <f>"骆华转"</f>
        <v>骆华转</v>
      </c>
      <c r="E903" s="9" t="str">
        <f>"女"</f>
        <v>女</v>
      </c>
      <c r="F903" s="10"/>
    </row>
    <row r="904" spans="1:6" ht="30" customHeight="1">
      <c r="A904" s="9">
        <v>902</v>
      </c>
      <c r="B904" s="9" t="str">
        <f>"50322023032413244575835"</f>
        <v>50322023032413244575835</v>
      </c>
      <c r="C904" s="9" t="s">
        <v>71</v>
      </c>
      <c r="D904" s="11" t="str">
        <f>"方世斌"</f>
        <v>方世斌</v>
      </c>
      <c r="E904" s="9" t="str">
        <f>"男"</f>
        <v>男</v>
      </c>
      <c r="F904" s="10"/>
    </row>
    <row r="905" spans="1:6" ht="30" customHeight="1">
      <c r="A905" s="9">
        <v>903</v>
      </c>
      <c r="B905" s="9" t="str">
        <f>"50322023032507444176499"</f>
        <v>50322023032507444176499</v>
      </c>
      <c r="C905" s="9" t="s">
        <v>71</v>
      </c>
      <c r="D905" s="10" t="str">
        <f>"董康超"</f>
        <v>董康超</v>
      </c>
      <c r="E905" s="9" t="str">
        <f>"男"</f>
        <v>男</v>
      </c>
      <c r="F905" s="10"/>
    </row>
    <row r="906" spans="1:6" ht="30" customHeight="1">
      <c r="A906" s="9">
        <v>904</v>
      </c>
      <c r="B906" s="9" t="str">
        <f>"50322023032522380277192"</f>
        <v>50322023032522380277192</v>
      </c>
      <c r="C906" s="9" t="s">
        <v>71</v>
      </c>
      <c r="D906" s="10" t="str">
        <f>"陈泰琦"</f>
        <v>陈泰琦</v>
      </c>
      <c r="E906" s="9" t="str">
        <f aca="true" t="shared" si="35" ref="E906:E915">"女"</f>
        <v>女</v>
      </c>
      <c r="F906" s="10"/>
    </row>
    <row r="907" spans="1:6" ht="30" customHeight="1">
      <c r="A907" s="9">
        <v>905</v>
      </c>
      <c r="B907" s="9" t="str">
        <f>"50322023032621250477664"</f>
        <v>50322023032621250477664</v>
      </c>
      <c r="C907" s="9" t="s">
        <v>71</v>
      </c>
      <c r="D907" s="10" t="str">
        <f>"黄和蕾"</f>
        <v>黄和蕾</v>
      </c>
      <c r="E907" s="9" t="str">
        <f t="shared" si="35"/>
        <v>女</v>
      </c>
      <c r="F907" s="10"/>
    </row>
    <row r="908" spans="1:6" ht="30" customHeight="1">
      <c r="A908" s="9">
        <v>906</v>
      </c>
      <c r="B908" s="9" t="str">
        <f>"50322023032708305777807"</f>
        <v>50322023032708305777807</v>
      </c>
      <c r="C908" s="9" t="s">
        <v>71</v>
      </c>
      <c r="D908" s="10" t="str">
        <f>"文新芬"</f>
        <v>文新芬</v>
      </c>
      <c r="E908" s="9" t="str">
        <f t="shared" si="35"/>
        <v>女</v>
      </c>
      <c r="F908" s="10"/>
    </row>
    <row r="909" spans="1:6" ht="30" customHeight="1">
      <c r="A909" s="9">
        <v>907</v>
      </c>
      <c r="B909" s="9" t="str">
        <f>"50322023032717233878617"</f>
        <v>50322023032717233878617</v>
      </c>
      <c r="C909" s="9" t="s">
        <v>71</v>
      </c>
      <c r="D909" s="10" t="str">
        <f>"黎玉花"</f>
        <v>黎玉花</v>
      </c>
      <c r="E909" s="9" t="str">
        <f t="shared" si="35"/>
        <v>女</v>
      </c>
      <c r="F909" s="10"/>
    </row>
    <row r="910" spans="1:6" ht="30" customHeight="1">
      <c r="A910" s="9">
        <v>908</v>
      </c>
      <c r="B910" s="9" t="str">
        <f>"50322023032723121578988"</f>
        <v>50322023032723121578988</v>
      </c>
      <c r="C910" s="9" t="s">
        <v>71</v>
      </c>
      <c r="D910" s="10" t="str">
        <f>"符子媛"</f>
        <v>符子媛</v>
      </c>
      <c r="E910" s="9" t="str">
        <f t="shared" si="35"/>
        <v>女</v>
      </c>
      <c r="F910" s="10"/>
    </row>
    <row r="911" spans="1:6" ht="30" customHeight="1">
      <c r="A911" s="9">
        <v>909</v>
      </c>
      <c r="B911" s="9" t="str">
        <f>"50322023032723225078998"</f>
        <v>50322023032723225078998</v>
      </c>
      <c r="C911" s="9" t="s">
        <v>71</v>
      </c>
      <c r="D911" s="10" t="str">
        <f>"陈吉瑞"</f>
        <v>陈吉瑞</v>
      </c>
      <c r="E911" s="9" t="str">
        <f t="shared" si="35"/>
        <v>女</v>
      </c>
      <c r="F911" s="10"/>
    </row>
    <row r="912" spans="1:6" ht="30" customHeight="1">
      <c r="A912" s="9">
        <v>910</v>
      </c>
      <c r="B912" s="9" t="str">
        <f>"50322023032809204379158"</f>
        <v>50322023032809204379158</v>
      </c>
      <c r="C912" s="9" t="s">
        <v>71</v>
      </c>
      <c r="D912" s="10" t="str">
        <f>"万钦虹"</f>
        <v>万钦虹</v>
      </c>
      <c r="E912" s="9" t="str">
        <f t="shared" si="35"/>
        <v>女</v>
      </c>
      <c r="F912" s="10"/>
    </row>
    <row r="913" spans="1:6" ht="30" customHeight="1">
      <c r="A913" s="9">
        <v>911</v>
      </c>
      <c r="B913" s="9" t="str">
        <f>"50322023032814330979591"</f>
        <v>50322023032814330979591</v>
      </c>
      <c r="C913" s="9" t="s">
        <v>71</v>
      </c>
      <c r="D913" s="10" t="str">
        <f>"周羿彤"</f>
        <v>周羿彤</v>
      </c>
      <c r="E913" s="9" t="str">
        <f t="shared" si="35"/>
        <v>女</v>
      </c>
      <c r="F913" s="10"/>
    </row>
    <row r="914" spans="1:6" ht="30" customHeight="1">
      <c r="A914" s="9">
        <v>912</v>
      </c>
      <c r="B914" s="9" t="str">
        <f>"50322023032815191379654"</f>
        <v>50322023032815191379654</v>
      </c>
      <c r="C914" s="9" t="s">
        <v>71</v>
      </c>
      <c r="D914" s="10" t="str">
        <f>"丁茜"</f>
        <v>丁茜</v>
      </c>
      <c r="E914" s="9" t="str">
        <f t="shared" si="35"/>
        <v>女</v>
      </c>
      <c r="F914" s="10"/>
    </row>
    <row r="915" spans="1:6" ht="30" customHeight="1">
      <c r="A915" s="9">
        <v>913</v>
      </c>
      <c r="B915" s="9" t="str">
        <f>"50322023032816270379757"</f>
        <v>50322023032816270379757</v>
      </c>
      <c r="C915" s="9" t="s">
        <v>71</v>
      </c>
      <c r="D915" s="10" t="str">
        <f>"吴玢妍"</f>
        <v>吴玢妍</v>
      </c>
      <c r="E915" s="9" t="str">
        <f t="shared" si="35"/>
        <v>女</v>
      </c>
      <c r="F915" s="10"/>
    </row>
    <row r="916" spans="1:6" ht="30" customHeight="1">
      <c r="A916" s="9">
        <v>914</v>
      </c>
      <c r="B916" s="9" t="str">
        <f>"50322023032816463479771"</f>
        <v>50322023032816463479771</v>
      </c>
      <c r="C916" s="9" t="s">
        <v>71</v>
      </c>
      <c r="D916" s="10" t="str">
        <f>"陈良卓"</f>
        <v>陈良卓</v>
      </c>
      <c r="E916" s="9" t="str">
        <f>"男"</f>
        <v>男</v>
      </c>
      <c r="F916" s="10"/>
    </row>
    <row r="917" spans="1:6" ht="30" customHeight="1">
      <c r="A917" s="9">
        <v>915</v>
      </c>
      <c r="B917" s="9" t="str">
        <f>"50322023032822255480209"</f>
        <v>50322023032822255480209</v>
      </c>
      <c r="C917" s="9" t="s">
        <v>71</v>
      </c>
      <c r="D917" s="10" t="str">
        <f>"王家宇"</f>
        <v>王家宇</v>
      </c>
      <c r="E917" s="9" t="str">
        <f>"男"</f>
        <v>男</v>
      </c>
      <c r="F917" s="10"/>
    </row>
    <row r="918" spans="1:6" ht="30" customHeight="1">
      <c r="A918" s="9">
        <v>916</v>
      </c>
      <c r="B918" s="9" t="str">
        <f>"50322023032909134080574"</f>
        <v>50322023032909134080574</v>
      </c>
      <c r="C918" s="9" t="s">
        <v>71</v>
      </c>
      <c r="D918" s="10" t="str">
        <f>"纪新杨"</f>
        <v>纪新杨</v>
      </c>
      <c r="E918" s="9" t="str">
        <f>"男"</f>
        <v>男</v>
      </c>
      <c r="F918" s="10"/>
    </row>
    <row r="919" spans="1:6" ht="30" customHeight="1">
      <c r="A919" s="9">
        <v>917</v>
      </c>
      <c r="B919" s="9" t="str">
        <f>"50322023032912114881612"</f>
        <v>50322023032912114881612</v>
      </c>
      <c r="C919" s="9" t="s">
        <v>71</v>
      </c>
      <c r="D919" s="10" t="str">
        <f>"吴海珍"</f>
        <v>吴海珍</v>
      </c>
      <c r="E919" s="9" t="str">
        <f aca="true" t="shared" si="36" ref="E919:E926">"女"</f>
        <v>女</v>
      </c>
      <c r="F919" s="10"/>
    </row>
    <row r="920" spans="1:6" ht="30" customHeight="1">
      <c r="A920" s="9">
        <v>918</v>
      </c>
      <c r="B920" s="9" t="str">
        <f>"50322023032914175982039"</f>
        <v>50322023032914175982039</v>
      </c>
      <c r="C920" s="9" t="s">
        <v>71</v>
      </c>
      <c r="D920" s="10" t="str">
        <f>"王丽雯"</f>
        <v>王丽雯</v>
      </c>
      <c r="E920" s="9" t="str">
        <f t="shared" si="36"/>
        <v>女</v>
      </c>
      <c r="F920" s="10"/>
    </row>
    <row r="921" spans="1:6" ht="30" customHeight="1">
      <c r="A921" s="9">
        <v>919</v>
      </c>
      <c r="B921" s="9" t="str">
        <f>"50322023032917192683714"</f>
        <v>50322023032917192683714</v>
      </c>
      <c r="C921" s="9" t="s">
        <v>71</v>
      </c>
      <c r="D921" s="10" t="str">
        <f>"王雪青"</f>
        <v>王雪青</v>
      </c>
      <c r="E921" s="9" t="str">
        <f t="shared" si="36"/>
        <v>女</v>
      </c>
      <c r="F921" s="10"/>
    </row>
    <row r="922" spans="1:6" ht="30" customHeight="1">
      <c r="A922" s="9">
        <v>920</v>
      </c>
      <c r="B922" s="9" t="str">
        <f>"50322023032921394584765"</f>
        <v>50322023032921394584765</v>
      </c>
      <c r="C922" s="9" t="s">
        <v>71</v>
      </c>
      <c r="D922" s="10" t="str">
        <f>"陈俐瑾"</f>
        <v>陈俐瑾</v>
      </c>
      <c r="E922" s="9" t="str">
        <f t="shared" si="36"/>
        <v>女</v>
      </c>
      <c r="F922" s="10"/>
    </row>
    <row r="923" spans="1:6" ht="30" customHeight="1">
      <c r="A923" s="9">
        <v>921</v>
      </c>
      <c r="B923" s="9" t="str">
        <f>"50322023032921505084797"</f>
        <v>50322023032921505084797</v>
      </c>
      <c r="C923" s="9" t="s">
        <v>71</v>
      </c>
      <c r="D923" s="10" t="str">
        <f>"李珊"</f>
        <v>李珊</v>
      </c>
      <c r="E923" s="9" t="str">
        <f t="shared" si="36"/>
        <v>女</v>
      </c>
      <c r="F923" s="10"/>
    </row>
    <row r="924" spans="1:6" ht="30" customHeight="1">
      <c r="A924" s="9">
        <v>922</v>
      </c>
      <c r="B924" s="9" t="str">
        <f>"50322023032923452685045"</f>
        <v>50322023032923452685045</v>
      </c>
      <c r="C924" s="9" t="s">
        <v>71</v>
      </c>
      <c r="D924" s="10" t="str">
        <f>"苏伟静"</f>
        <v>苏伟静</v>
      </c>
      <c r="E924" s="9" t="str">
        <f t="shared" si="36"/>
        <v>女</v>
      </c>
      <c r="F924" s="10"/>
    </row>
    <row r="925" spans="1:6" ht="30" customHeight="1">
      <c r="A925" s="9">
        <v>923</v>
      </c>
      <c r="B925" s="9" t="str">
        <f>"50322023033007191085131"</f>
        <v>50322023033007191085131</v>
      </c>
      <c r="C925" s="9" t="s">
        <v>71</v>
      </c>
      <c r="D925" s="10" t="str">
        <f>"符月民"</f>
        <v>符月民</v>
      </c>
      <c r="E925" s="9" t="str">
        <f t="shared" si="36"/>
        <v>女</v>
      </c>
      <c r="F925" s="10"/>
    </row>
    <row r="926" spans="1:6" ht="30" customHeight="1">
      <c r="A926" s="9">
        <v>924</v>
      </c>
      <c r="B926" s="9" t="str">
        <f>"50322023033009120385354"</f>
        <v>50322023033009120385354</v>
      </c>
      <c r="C926" s="9" t="s">
        <v>71</v>
      </c>
      <c r="D926" s="10" t="str">
        <f>"陈春平"</f>
        <v>陈春平</v>
      </c>
      <c r="E926" s="9" t="str">
        <f t="shared" si="36"/>
        <v>女</v>
      </c>
      <c r="F926" s="10"/>
    </row>
    <row r="927" spans="1:6" ht="30" customHeight="1">
      <c r="A927" s="9">
        <v>925</v>
      </c>
      <c r="B927" s="9" t="str">
        <f>"50322023032108331963054"</f>
        <v>50322023032108331963054</v>
      </c>
      <c r="C927" s="9" t="s">
        <v>72</v>
      </c>
      <c r="D927" s="10" t="str">
        <f>"王起帆"</f>
        <v>王起帆</v>
      </c>
      <c r="E927" s="9" t="str">
        <f>"男"</f>
        <v>男</v>
      </c>
      <c r="F927" s="10"/>
    </row>
    <row r="928" spans="1:6" ht="30" customHeight="1">
      <c r="A928" s="9">
        <v>926</v>
      </c>
      <c r="B928" s="9" t="str">
        <f>"50322023032108564763175"</f>
        <v>50322023032108564763175</v>
      </c>
      <c r="C928" s="9" t="s">
        <v>72</v>
      </c>
      <c r="D928" s="10" t="str">
        <f>"陈泽桦"</f>
        <v>陈泽桦</v>
      </c>
      <c r="E928" s="9" t="str">
        <f>"男"</f>
        <v>男</v>
      </c>
      <c r="F928" s="10"/>
    </row>
    <row r="929" spans="1:6" ht="30" customHeight="1">
      <c r="A929" s="9">
        <v>927</v>
      </c>
      <c r="B929" s="9" t="str">
        <f>"50322023032110124164083"</f>
        <v>50322023032110124164083</v>
      </c>
      <c r="C929" s="9" t="s">
        <v>72</v>
      </c>
      <c r="D929" s="10" t="str">
        <f>"肖一纯"</f>
        <v>肖一纯</v>
      </c>
      <c r="E929" s="9" t="str">
        <f>"女"</f>
        <v>女</v>
      </c>
      <c r="F929" s="10"/>
    </row>
    <row r="930" spans="1:6" ht="30" customHeight="1">
      <c r="A930" s="9">
        <v>928</v>
      </c>
      <c r="B930" s="9" t="str">
        <f>"50322023032110554564461"</f>
        <v>50322023032110554564461</v>
      </c>
      <c r="C930" s="9" t="s">
        <v>72</v>
      </c>
      <c r="D930" s="10" t="str">
        <f>"符靖浩"</f>
        <v>符靖浩</v>
      </c>
      <c r="E930" s="9" t="str">
        <f>"男"</f>
        <v>男</v>
      </c>
      <c r="F930" s="10"/>
    </row>
    <row r="931" spans="1:6" ht="30" customHeight="1">
      <c r="A931" s="9">
        <v>929</v>
      </c>
      <c r="B931" s="9" t="str">
        <f>"50322023032111243964732"</f>
        <v>50322023032111243964732</v>
      </c>
      <c r="C931" s="9" t="s">
        <v>72</v>
      </c>
      <c r="D931" s="10" t="str">
        <f>"王强"</f>
        <v>王强</v>
      </c>
      <c r="E931" s="9" t="str">
        <f>"男"</f>
        <v>男</v>
      </c>
      <c r="F931" s="10"/>
    </row>
    <row r="932" spans="1:6" ht="30" customHeight="1">
      <c r="A932" s="9">
        <v>930</v>
      </c>
      <c r="B932" s="9" t="str">
        <f>"50322023032121101568206"</f>
        <v>50322023032121101568206</v>
      </c>
      <c r="C932" s="9" t="s">
        <v>72</v>
      </c>
      <c r="D932" s="10" t="str">
        <f>"黎慧英"</f>
        <v>黎慧英</v>
      </c>
      <c r="E932" s="9" t="str">
        <f>"女"</f>
        <v>女</v>
      </c>
      <c r="F932" s="10"/>
    </row>
    <row r="933" spans="1:6" ht="30" customHeight="1">
      <c r="A933" s="9">
        <v>931</v>
      </c>
      <c r="B933" s="9" t="str">
        <f>"50322023032213413071358"</f>
        <v>50322023032213413071358</v>
      </c>
      <c r="C933" s="9" t="s">
        <v>72</v>
      </c>
      <c r="D933" s="10" t="str">
        <f>"谢家琳"</f>
        <v>谢家琳</v>
      </c>
      <c r="E933" s="9" t="str">
        <f>"女"</f>
        <v>女</v>
      </c>
      <c r="F933" s="10"/>
    </row>
    <row r="934" spans="1:6" ht="30" customHeight="1">
      <c r="A934" s="9">
        <v>932</v>
      </c>
      <c r="B934" s="9" t="str">
        <f>"50322023032214535571856"</f>
        <v>50322023032214535571856</v>
      </c>
      <c r="C934" s="9" t="s">
        <v>72</v>
      </c>
      <c r="D934" s="10" t="str">
        <f>"方可欣"</f>
        <v>方可欣</v>
      </c>
      <c r="E934" s="9" t="str">
        <f>"女"</f>
        <v>女</v>
      </c>
      <c r="F934" s="10"/>
    </row>
    <row r="935" spans="1:6" ht="30" customHeight="1">
      <c r="A935" s="9">
        <v>933</v>
      </c>
      <c r="B935" s="9" t="str">
        <f>"50322023032317135374849"</f>
        <v>50322023032317135374849</v>
      </c>
      <c r="C935" s="9" t="s">
        <v>72</v>
      </c>
      <c r="D935" s="10" t="str">
        <f>"唐湘绮"</f>
        <v>唐湘绮</v>
      </c>
      <c r="E935" s="9" t="str">
        <f>"女"</f>
        <v>女</v>
      </c>
      <c r="F935" s="10"/>
    </row>
    <row r="936" spans="1:6" ht="30" customHeight="1">
      <c r="A936" s="9">
        <v>934</v>
      </c>
      <c r="B936" s="9" t="str">
        <f>"50322023032713124278293"</f>
        <v>50322023032713124278293</v>
      </c>
      <c r="C936" s="9" t="s">
        <v>72</v>
      </c>
      <c r="D936" s="10" t="str">
        <f>"史旭红"</f>
        <v>史旭红</v>
      </c>
      <c r="E936" s="9" t="str">
        <f>"男"</f>
        <v>男</v>
      </c>
      <c r="F936" s="10"/>
    </row>
    <row r="937" spans="1:6" ht="30" customHeight="1">
      <c r="A937" s="9">
        <v>935</v>
      </c>
      <c r="B937" s="9" t="str">
        <f>"50322023032717174478604"</f>
        <v>50322023032717174478604</v>
      </c>
      <c r="C937" s="9" t="s">
        <v>72</v>
      </c>
      <c r="D937" s="10" t="str">
        <f>"肖煜"</f>
        <v>肖煜</v>
      </c>
      <c r="E937" s="9" t="str">
        <f>"女"</f>
        <v>女</v>
      </c>
      <c r="F937" s="10"/>
    </row>
    <row r="938" spans="1:6" ht="30" customHeight="1">
      <c r="A938" s="9">
        <v>936</v>
      </c>
      <c r="B938" s="9" t="str">
        <f>"50322023032720033478780"</f>
        <v>50322023032720033478780</v>
      </c>
      <c r="C938" s="9" t="s">
        <v>72</v>
      </c>
      <c r="D938" s="10" t="str">
        <f>"黄培宇"</f>
        <v>黄培宇</v>
      </c>
      <c r="E938" s="9" t="str">
        <f>"男"</f>
        <v>男</v>
      </c>
      <c r="F938" s="10"/>
    </row>
    <row r="939" spans="1:6" ht="30" customHeight="1">
      <c r="A939" s="9">
        <v>937</v>
      </c>
      <c r="B939" s="9" t="str">
        <f>"50322023032810361979313"</f>
        <v>50322023032810361979313</v>
      </c>
      <c r="C939" s="9" t="s">
        <v>72</v>
      </c>
      <c r="D939" s="10" t="str">
        <f>"赖海"</f>
        <v>赖海</v>
      </c>
      <c r="E939" s="9" t="str">
        <f>"男"</f>
        <v>男</v>
      </c>
      <c r="F939" s="10"/>
    </row>
    <row r="940" spans="1:6" ht="30" customHeight="1">
      <c r="A940" s="9">
        <v>938</v>
      </c>
      <c r="B940" s="9" t="str">
        <f>"50322023032812354779477"</f>
        <v>50322023032812354779477</v>
      </c>
      <c r="C940" s="9" t="s">
        <v>72</v>
      </c>
      <c r="D940" s="10" t="str">
        <f>"蔡雪贞"</f>
        <v>蔡雪贞</v>
      </c>
      <c r="E940" s="9" t="str">
        <f>"女"</f>
        <v>女</v>
      </c>
      <c r="F940" s="10"/>
    </row>
    <row r="941" spans="1:6" ht="30" customHeight="1">
      <c r="A941" s="9">
        <v>939</v>
      </c>
      <c r="B941" s="9" t="str">
        <f>"50322023032911552781549"</f>
        <v>50322023032911552781549</v>
      </c>
      <c r="C941" s="9" t="s">
        <v>72</v>
      </c>
      <c r="D941" s="10" t="str">
        <f>"马亚銮"</f>
        <v>马亚銮</v>
      </c>
      <c r="E941" s="9" t="str">
        <f>"女"</f>
        <v>女</v>
      </c>
      <c r="F941" s="10"/>
    </row>
    <row r="942" spans="1:6" ht="30" customHeight="1">
      <c r="A942" s="9">
        <v>940</v>
      </c>
      <c r="B942" s="9" t="str">
        <f>"50322023032919243984368"</f>
        <v>50322023032919243984368</v>
      </c>
      <c r="C942" s="9" t="s">
        <v>72</v>
      </c>
      <c r="D942" s="10" t="str">
        <f>"李紫晴"</f>
        <v>李紫晴</v>
      </c>
      <c r="E942" s="9" t="str">
        <f>"女"</f>
        <v>女</v>
      </c>
      <c r="F942" s="10"/>
    </row>
    <row r="943" spans="1:6" ht="30" customHeight="1">
      <c r="A943" s="9">
        <v>941</v>
      </c>
      <c r="B943" s="9" t="str">
        <f>"50322023032922361784919"</f>
        <v>50322023032922361784919</v>
      </c>
      <c r="C943" s="9" t="s">
        <v>72</v>
      </c>
      <c r="D943" s="10" t="str">
        <f>"安雪松"</f>
        <v>安雪松</v>
      </c>
      <c r="E943" s="9" t="str">
        <f>"女"</f>
        <v>女</v>
      </c>
      <c r="F943" s="10"/>
    </row>
    <row r="944" spans="1:6" ht="30" customHeight="1">
      <c r="A944" s="9">
        <v>942</v>
      </c>
      <c r="B944" s="9" t="str">
        <f>"50322023033010090685612"</f>
        <v>50322023033010090685612</v>
      </c>
      <c r="C944" s="9" t="s">
        <v>72</v>
      </c>
      <c r="D944" s="10" t="str">
        <f>"邢海龙"</f>
        <v>邢海龙</v>
      </c>
      <c r="E944" s="9" t="str">
        <f>"男"</f>
        <v>男</v>
      </c>
      <c r="F944" s="10"/>
    </row>
    <row r="945" spans="1:6" ht="30" customHeight="1">
      <c r="A945" s="9">
        <v>943</v>
      </c>
      <c r="B945" s="9" t="str">
        <f>"50322023033011101985848"</f>
        <v>50322023033011101985848</v>
      </c>
      <c r="C945" s="9" t="s">
        <v>72</v>
      </c>
      <c r="D945" s="10" t="str">
        <f>"李雅君"</f>
        <v>李雅君</v>
      </c>
      <c r="E945" s="9" t="str">
        <f aca="true" t="shared" si="37" ref="E945:E958">"女"</f>
        <v>女</v>
      </c>
      <c r="F945" s="10"/>
    </row>
    <row r="946" spans="1:6" ht="30" customHeight="1">
      <c r="A946" s="9">
        <v>944</v>
      </c>
      <c r="B946" s="9" t="str">
        <f>"50322023032109251663364"</f>
        <v>50322023032109251663364</v>
      </c>
      <c r="C946" s="9" t="s">
        <v>73</v>
      </c>
      <c r="D946" s="10" t="str">
        <f>"符家婷"</f>
        <v>符家婷</v>
      </c>
      <c r="E946" s="9" t="str">
        <f t="shared" si="37"/>
        <v>女</v>
      </c>
      <c r="F946" s="10"/>
    </row>
    <row r="947" spans="1:6" ht="30" customHeight="1">
      <c r="A947" s="9">
        <v>945</v>
      </c>
      <c r="B947" s="9" t="str">
        <f>"50322023032115481866408"</f>
        <v>50322023032115481866408</v>
      </c>
      <c r="C947" s="9" t="s">
        <v>73</v>
      </c>
      <c r="D947" s="10" t="str">
        <f>"石奇凡"</f>
        <v>石奇凡</v>
      </c>
      <c r="E947" s="9" t="str">
        <f t="shared" si="37"/>
        <v>女</v>
      </c>
      <c r="F947" s="10"/>
    </row>
    <row r="948" spans="1:6" ht="30" customHeight="1">
      <c r="A948" s="9">
        <v>946</v>
      </c>
      <c r="B948" s="9" t="str">
        <f>"50322023032209454769746"</f>
        <v>50322023032209454769746</v>
      </c>
      <c r="C948" s="9" t="s">
        <v>73</v>
      </c>
      <c r="D948" s="10" t="str">
        <f>"吴金香"</f>
        <v>吴金香</v>
      </c>
      <c r="E948" s="9" t="str">
        <f t="shared" si="37"/>
        <v>女</v>
      </c>
      <c r="F948" s="10"/>
    </row>
    <row r="949" spans="1:6" ht="30" customHeight="1">
      <c r="A949" s="9">
        <v>947</v>
      </c>
      <c r="B949" s="9" t="str">
        <f>"50322023032218254973144"</f>
        <v>50322023032218254973144</v>
      </c>
      <c r="C949" s="9" t="s">
        <v>73</v>
      </c>
      <c r="D949" s="10" t="str">
        <f>"韩玉娟"</f>
        <v>韩玉娟</v>
      </c>
      <c r="E949" s="9" t="str">
        <f t="shared" si="37"/>
        <v>女</v>
      </c>
      <c r="F949" s="10"/>
    </row>
    <row r="950" spans="1:6" ht="30" customHeight="1">
      <c r="A950" s="9">
        <v>948</v>
      </c>
      <c r="B950" s="9" t="str">
        <f>"50322023032220381473380"</f>
        <v>50322023032220381473380</v>
      </c>
      <c r="C950" s="9" t="s">
        <v>73</v>
      </c>
      <c r="D950" s="10" t="str">
        <f>"张旭秀"</f>
        <v>张旭秀</v>
      </c>
      <c r="E950" s="9" t="str">
        <f t="shared" si="37"/>
        <v>女</v>
      </c>
      <c r="F950" s="10"/>
    </row>
    <row r="951" spans="1:6" ht="30" customHeight="1">
      <c r="A951" s="9">
        <v>949</v>
      </c>
      <c r="B951" s="9" t="str">
        <f>"50322023032323023675301"</f>
        <v>50322023032323023675301</v>
      </c>
      <c r="C951" s="9" t="s">
        <v>73</v>
      </c>
      <c r="D951" s="10" t="str">
        <f>"陈颖"</f>
        <v>陈颖</v>
      </c>
      <c r="E951" s="9" t="str">
        <f t="shared" si="37"/>
        <v>女</v>
      </c>
      <c r="F951" s="10"/>
    </row>
    <row r="952" spans="1:6" ht="30" customHeight="1">
      <c r="A952" s="9">
        <v>950</v>
      </c>
      <c r="B952" s="9" t="str">
        <f>"50322023032509374576545"</f>
        <v>50322023032509374576545</v>
      </c>
      <c r="C952" s="9" t="s">
        <v>73</v>
      </c>
      <c r="D952" s="10" t="str">
        <f>"黎木养"</f>
        <v>黎木养</v>
      </c>
      <c r="E952" s="9" t="str">
        <f t="shared" si="37"/>
        <v>女</v>
      </c>
      <c r="F952" s="10"/>
    </row>
    <row r="953" spans="1:6" ht="30" customHeight="1">
      <c r="A953" s="9">
        <v>951</v>
      </c>
      <c r="B953" s="9" t="str">
        <f>"50322023032517403477037"</f>
        <v>50322023032517403477037</v>
      </c>
      <c r="C953" s="9" t="s">
        <v>73</v>
      </c>
      <c r="D953" s="10" t="str">
        <f>"符裕珍"</f>
        <v>符裕珍</v>
      </c>
      <c r="E953" s="9" t="str">
        <f t="shared" si="37"/>
        <v>女</v>
      </c>
      <c r="F953" s="10"/>
    </row>
    <row r="954" spans="1:6" ht="30" customHeight="1">
      <c r="A954" s="9">
        <v>952</v>
      </c>
      <c r="B954" s="9" t="str">
        <f>"50322023032621064377648"</f>
        <v>50322023032621064377648</v>
      </c>
      <c r="C954" s="9" t="s">
        <v>73</v>
      </c>
      <c r="D954" s="10" t="str">
        <f>"邢姑"</f>
        <v>邢姑</v>
      </c>
      <c r="E954" s="9" t="str">
        <f t="shared" si="37"/>
        <v>女</v>
      </c>
      <c r="F954" s="10"/>
    </row>
    <row r="955" spans="1:6" ht="30" customHeight="1">
      <c r="A955" s="9">
        <v>953</v>
      </c>
      <c r="B955" s="9" t="str">
        <f>"50322023032709530577972"</f>
        <v>50322023032709530577972</v>
      </c>
      <c r="C955" s="9" t="s">
        <v>73</v>
      </c>
      <c r="D955" s="11" t="str">
        <f>"吴晓珍"</f>
        <v>吴晓珍</v>
      </c>
      <c r="E955" s="9" t="str">
        <f t="shared" si="37"/>
        <v>女</v>
      </c>
      <c r="F955" s="10"/>
    </row>
    <row r="956" spans="1:6" ht="30" customHeight="1">
      <c r="A956" s="9">
        <v>954</v>
      </c>
      <c r="B956" s="9" t="str">
        <f>"50322023032710480678071"</f>
        <v>50322023032710480678071</v>
      </c>
      <c r="C956" s="9" t="s">
        <v>73</v>
      </c>
      <c r="D956" s="11" t="str">
        <f>"张娟娇"</f>
        <v>张娟娇</v>
      </c>
      <c r="E956" s="9" t="str">
        <f t="shared" si="37"/>
        <v>女</v>
      </c>
      <c r="F956" s="10"/>
    </row>
    <row r="957" spans="1:6" ht="30" customHeight="1">
      <c r="A957" s="9">
        <v>955</v>
      </c>
      <c r="B957" s="9" t="str">
        <f>"50322023032819533879964"</f>
        <v>50322023032819533879964</v>
      </c>
      <c r="C957" s="9" t="s">
        <v>73</v>
      </c>
      <c r="D957" s="10" t="str">
        <f>"蔡飘飘"</f>
        <v>蔡飘飘</v>
      </c>
      <c r="E957" s="9" t="str">
        <f t="shared" si="37"/>
        <v>女</v>
      </c>
      <c r="F957" s="10"/>
    </row>
    <row r="958" spans="1:6" ht="30" customHeight="1">
      <c r="A958" s="9">
        <v>956</v>
      </c>
      <c r="B958" s="9" t="str">
        <f>"50322023032820542380066"</f>
        <v>50322023032820542380066</v>
      </c>
      <c r="C958" s="9" t="s">
        <v>73</v>
      </c>
      <c r="D958" s="10" t="str">
        <f>"兰亚冰"</f>
        <v>兰亚冰</v>
      </c>
      <c r="E958" s="9" t="str">
        <f t="shared" si="37"/>
        <v>女</v>
      </c>
      <c r="F958" s="10"/>
    </row>
    <row r="959" spans="1:6" ht="30" customHeight="1">
      <c r="A959" s="9">
        <v>957</v>
      </c>
      <c r="B959" s="9" t="str">
        <f>"50322023032915474082380"</f>
        <v>50322023032915474082380</v>
      </c>
      <c r="C959" s="9" t="s">
        <v>73</v>
      </c>
      <c r="D959" s="10" t="str">
        <f>"李博蕃"</f>
        <v>李博蕃</v>
      </c>
      <c r="E959" s="9" t="str">
        <f>"男"</f>
        <v>男</v>
      </c>
      <c r="F959" s="10"/>
    </row>
    <row r="960" spans="1:6" ht="30" customHeight="1">
      <c r="A960" s="9">
        <v>958</v>
      </c>
      <c r="B960" s="9" t="str">
        <f>"50322023032919225584365"</f>
        <v>50322023032919225584365</v>
      </c>
      <c r="C960" s="9" t="s">
        <v>73</v>
      </c>
      <c r="D960" s="10" t="str">
        <f>"吴晶"</f>
        <v>吴晶</v>
      </c>
      <c r="E960" s="9" t="str">
        <f>"女"</f>
        <v>女</v>
      </c>
      <c r="F960" s="10"/>
    </row>
    <row r="961" spans="1:6" ht="30" customHeight="1">
      <c r="A961" s="9">
        <v>959</v>
      </c>
      <c r="B961" s="9" t="str">
        <f>"50322023033007394385139"</f>
        <v>50322023033007394385139</v>
      </c>
      <c r="C961" s="9" t="s">
        <v>73</v>
      </c>
      <c r="D961" s="10" t="str">
        <f>"卢惠"</f>
        <v>卢惠</v>
      </c>
      <c r="E961" s="9" t="str">
        <f>"女"</f>
        <v>女</v>
      </c>
      <c r="F961" s="10"/>
    </row>
    <row r="962" spans="1:6" ht="30" customHeight="1">
      <c r="A962" s="9">
        <v>960</v>
      </c>
      <c r="B962" s="9" t="str">
        <f>"50322023032109594463952"</f>
        <v>50322023032109594463952</v>
      </c>
      <c r="C962" s="9" t="s">
        <v>74</v>
      </c>
      <c r="D962" s="10" t="str">
        <f>"苟金姗"</f>
        <v>苟金姗</v>
      </c>
      <c r="E962" s="9" t="str">
        <f>"女"</f>
        <v>女</v>
      </c>
      <c r="F962" s="10"/>
    </row>
    <row r="963" spans="1:6" ht="30" customHeight="1">
      <c r="A963" s="9">
        <v>961</v>
      </c>
      <c r="B963" s="9" t="str">
        <f>"50322023032113135265436"</f>
        <v>50322023032113135265436</v>
      </c>
      <c r="C963" s="9" t="s">
        <v>74</v>
      </c>
      <c r="D963" s="10" t="str">
        <f>"王沐波"</f>
        <v>王沐波</v>
      </c>
      <c r="E963" s="9" t="str">
        <f>"女"</f>
        <v>女</v>
      </c>
      <c r="F963" s="10"/>
    </row>
    <row r="964" spans="1:6" ht="30" customHeight="1">
      <c r="A964" s="9">
        <v>962</v>
      </c>
      <c r="B964" s="9" t="str">
        <f>"50322023032115002666094"</f>
        <v>50322023032115002666094</v>
      </c>
      <c r="C964" s="9" t="s">
        <v>74</v>
      </c>
      <c r="D964" s="10" t="str">
        <f>"张文丽"</f>
        <v>张文丽</v>
      </c>
      <c r="E964" s="9" t="str">
        <f>"女"</f>
        <v>女</v>
      </c>
      <c r="F964" s="10"/>
    </row>
    <row r="965" spans="1:6" ht="30" customHeight="1">
      <c r="A965" s="9">
        <v>963</v>
      </c>
      <c r="B965" s="9" t="str">
        <f>"50322023032207522069329"</f>
        <v>50322023032207522069329</v>
      </c>
      <c r="C965" s="9" t="s">
        <v>74</v>
      </c>
      <c r="D965" s="10" t="str">
        <f>"许浒"</f>
        <v>许浒</v>
      </c>
      <c r="E965" s="9" t="str">
        <f>"男"</f>
        <v>男</v>
      </c>
      <c r="F965" s="10"/>
    </row>
    <row r="966" spans="1:6" ht="30" customHeight="1">
      <c r="A966" s="9">
        <v>964</v>
      </c>
      <c r="B966" s="9" t="str">
        <f>"50322023032416450976108"</f>
        <v>50322023032416450976108</v>
      </c>
      <c r="C966" s="9" t="s">
        <v>74</v>
      </c>
      <c r="D966" s="10" t="str">
        <f>"王清梅"</f>
        <v>王清梅</v>
      </c>
      <c r="E966" s="9" t="str">
        <f>"女"</f>
        <v>女</v>
      </c>
      <c r="F966" s="10"/>
    </row>
    <row r="967" spans="1:6" ht="30" customHeight="1">
      <c r="A967" s="9">
        <v>965</v>
      </c>
      <c r="B967" s="9" t="str">
        <f>"50322023032420202276303"</f>
        <v>50322023032420202276303</v>
      </c>
      <c r="C967" s="9" t="s">
        <v>74</v>
      </c>
      <c r="D967" s="10" t="str">
        <f>"邢玉雅"</f>
        <v>邢玉雅</v>
      </c>
      <c r="E967" s="9" t="str">
        <f>"女"</f>
        <v>女</v>
      </c>
      <c r="F967" s="10"/>
    </row>
    <row r="968" spans="1:6" ht="30" customHeight="1">
      <c r="A968" s="9">
        <v>966</v>
      </c>
      <c r="B968" s="9" t="str">
        <f>"50322023032616205977489"</f>
        <v>50322023032616205977489</v>
      </c>
      <c r="C968" s="9" t="s">
        <v>74</v>
      </c>
      <c r="D968" s="10" t="str">
        <f>"许海飞"</f>
        <v>许海飞</v>
      </c>
      <c r="E968" s="9" t="str">
        <f>"男"</f>
        <v>男</v>
      </c>
      <c r="F968" s="10"/>
    </row>
    <row r="969" spans="1:6" ht="30" customHeight="1">
      <c r="A969" s="9">
        <v>967</v>
      </c>
      <c r="B969" s="9" t="str">
        <f>"50322023032619523177600"</f>
        <v>50322023032619523177600</v>
      </c>
      <c r="C969" s="9" t="s">
        <v>74</v>
      </c>
      <c r="D969" s="10" t="str">
        <f>"覃妹玲"</f>
        <v>覃妹玲</v>
      </c>
      <c r="E969" s="9" t="str">
        <f>"女"</f>
        <v>女</v>
      </c>
      <c r="F969" s="10"/>
    </row>
    <row r="970" spans="1:6" ht="30" customHeight="1">
      <c r="A970" s="9">
        <v>968</v>
      </c>
      <c r="B970" s="9" t="str">
        <f>"50322023032710460778067"</f>
        <v>50322023032710460778067</v>
      </c>
      <c r="C970" s="9" t="s">
        <v>74</v>
      </c>
      <c r="D970" s="10" t="str">
        <f>"邢峰瑜"</f>
        <v>邢峰瑜</v>
      </c>
      <c r="E970" s="9" t="str">
        <f>"男"</f>
        <v>男</v>
      </c>
      <c r="F970" s="10"/>
    </row>
    <row r="971" spans="1:6" ht="30" customHeight="1">
      <c r="A971" s="9">
        <v>969</v>
      </c>
      <c r="B971" s="9" t="str">
        <f>"50322023032717560078661"</f>
        <v>50322023032717560078661</v>
      </c>
      <c r="C971" s="9" t="s">
        <v>74</v>
      </c>
      <c r="D971" s="10" t="str">
        <f>"蔡燕琼"</f>
        <v>蔡燕琼</v>
      </c>
      <c r="E971" s="9" t="str">
        <f aca="true" t="shared" si="38" ref="E971:E976">"女"</f>
        <v>女</v>
      </c>
      <c r="F971" s="10"/>
    </row>
    <row r="972" spans="1:6" ht="30" customHeight="1">
      <c r="A972" s="9">
        <v>970</v>
      </c>
      <c r="B972" s="9" t="str">
        <f>"50322023032910051580958"</f>
        <v>50322023032910051580958</v>
      </c>
      <c r="C972" s="9" t="s">
        <v>74</v>
      </c>
      <c r="D972" s="10" t="str">
        <f>"赵卉"</f>
        <v>赵卉</v>
      </c>
      <c r="E972" s="9" t="str">
        <f t="shared" si="38"/>
        <v>女</v>
      </c>
      <c r="F972" s="10"/>
    </row>
    <row r="973" spans="1:6" ht="30" customHeight="1">
      <c r="A973" s="9">
        <v>971</v>
      </c>
      <c r="B973" s="9" t="str">
        <f>"50322023032910415281183"</f>
        <v>50322023032910415281183</v>
      </c>
      <c r="C973" s="9" t="s">
        <v>74</v>
      </c>
      <c r="D973" s="10" t="str">
        <f>"王丽珍"</f>
        <v>王丽珍</v>
      </c>
      <c r="E973" s="9" t="str">
        <f t="shared" si="38"/>
        <v>女</v>
      </c>
      <c r="F973" s="10"/>
    </row>
    <row r="974" spans="1:6" ht="30" customHeight="1">
      <c r="A974" s="9">
        <v>972</v>
      </c>
      <c r="B974" s="9" t="str">
        <f>"50322023032911390481482"</f>
        <v>50322023032911390481482</v>
      </c>
      <c r="C974" s="9" t="s">
        <v>74</v>
      </c>
      <c r="D974" s="10" t="str">
        <f>"文子双"</f>
        <v>文子双</v>
      </c>
      <c r="E974" s="9" t="str">
        <f t="shared" si="38"/>
        <v>女</v>
      </c>
      <c r="F974" s="10"/>
    </row>
    <row r="975" spans="1:6" ht="30" customHeight="1">
      <c r="A975" s="9">
        <v>973</v>
      </c>
      <c r="B975" s="9" t="str">
        <f>"50322023032915183982275"</f>
        <v>50322023032915183982275</v>
      </c>
      <c r="C975" s="9" t="s">
        <v>74</v>
      </c>
      <c r="D975" s="10" t="str">
        <f>"李经云"</f>
        <v>李经云</v>
      </c>
      <c r="E975" s="9" t="str">
        <f t="shared" si="38"/>
        <v>女</v>
      </c>
      <c r="F975" s="10"/>
    </row>
    <row r="976" spans="1:6" ht="30" customHeight="1">
      <c r="A976" s="9">
        <v>974</v>
      </c>
      <c r="B976" s="9" t="str">
        <f>"50322023032915411382347"</f>
        <v>50322023032915411382347</v>
      </c>
      <c r="C976" s="9" t="s">
        <v>74</v>
      </c>
      <c r="D976" s="10" t="str">
        <f>"周会惠"</f>
        <v>周会惠</v>
      </c>
      <c r="E976" s="9" t="str">
        <f t="shared" si="38"/>
        <v>女</v>
      </c>
      <c r="F976" s="10"/>
    </row>
    <row r="977" spans="1:6" ht="30" customHeight="1">
      <c r="A977" s="9">
        <v>975</v>
      </c>
      <c r="B977" s="9" t="str">
        <f>"50322023032922231584888"</f>
        <v>50322023032922231584888</v>
      </c>
      <c r="C977" s="9" t="s">
        <v>74</v>
      </c>
      <c r="D977" s="10" t="str">
        <f>"陈盛"</f>
        <v>陈盛</v>
      </c>
      <c r="E977" s="9" t="str">
        <f>"男"</f>
        <v>男</v>
      </c>
      <c r="F977" s="10"/>
    </row>
    <row r="978" spans="1:6" ht="30" customHeight="1">
      <c r="A978" s="9">
        <v>976</v>
      </c>
      <c r="B978" s="9" t="str">
        <f>"50322023032111354264842"</f>
        <v>50322023032111354264842</v>
      </c>
      <c r="C978" s="9" t="s">
        <v>75</v>
      </c>
      <c r="D978" s="10" t="str">
        <f>"吴金霞"</f>
        <v>吴金霞</v>
      </c>
      <c r="E978" s="9" t="str">
        <f>"女"</f>
        <v>女</v>
      </c>
      <c r="F978" s="10"/>
    </row>
    <row r="979" spans="1:6" ht="30" customHeight="1">
      <c r="A979" s="9">
        <v>977</v>
      </c>
      <c r="B979" s="9" t="str">
        <f>"50322023032111524464964"</f>
        <v>50322023032111524464964</v>
      </c>
      <c r="C979" s="9" t="s">
        <v>75</v>
      </c>
      <c r="D979" s="10" t="str">
        <f>"杨玥兴"</f>
        <v>杨玥兴</v>
      </c>
      <c r="E979" s="9" t="str">
        <f>"男"</f>
        <v>男</v>
      </c>
      <c r="F979" s="10"/>
    </row>
    <row r="980" spans="1:6" ht="30" customHeight="1">
      <c r="A980" s="9">
        <v>978</v>
      </c>
      <c r="B980" s="9" t="str">
        <f>"50322023032116355266761"</f>
        <v>50322023032116355266761</v>
      </c>
      <c r="C980" s="9" t="s">
        <v>75</v>
      </c>
      <c r="D980" s="10" t="str">
        <f>"孙耀玮"</f>
        <v>孙耀玮</v>
      </c>
      <c r="E980" s="9" t="str">
        <f>"男"</f>
        <v>男</v>
      </c>
      <c r="F980" s="10"/>
    </row>
    <row r="981" spans="1:6" ht="30" customHeight="1">
      <c r="A981" s="9">
        <v>979</v>
      </c>
      <c r="B981" s="9" t="str">
        <f>"50322023032122102868635"</f>
        <v>50322023032122102868635</v>
      </c>
      <c r="C981" s="9" t="s">
        <v>75</v>
      </c>
      <c r="D981" s="10" t="str">
        <f>"林海滨"</f>
        <v>林海滨</v>
      </c>
      <c r="E981" s="9" t="str">
        <f>"男"</f>
        <v>男</v>
      </c>
      <c r="F981" s="10"/>
    </row>
    <row r="982" spans="1:6" ht="30" customHeight="1">
      <c r="A982" s="9">
        <v>980</v>
      </c>
      <c r="B982" s="9" t="str">
        <f>"50322023032213040571113"</f>
        <v>50322023032213040571113</v>
      </c>
      <c r="C982" s="9" t="s">
        <v>75</v>
      </c>
      <c r="D982" s="10" t="str">
        <f>"刘森"</f>
        <v>刘森</v>
      </c>
      <c r="E982" s="9" t="str">
        <f>"女"</f>
        <v>女</v>
      </c>
      <c r="F982" s="10"/>
    </row>
    <row r="983" spans="1:6" ht="30" customHeight="1">
      <c r="A983" s="9">
        <v>981</v>
      </c>
      <c r="B983" s="9" t="str">
        <f>"50322023032309001173864"</f>
        <v>50322023032309001173864</v>
      </c>
      <c r="C983" s="9" t="s">
        <v>75</v>
      </c>
      <c r="D983" s="10" t="str">
        <f>"刘贺贤"</f>
        <v>刘贺贤</v>
      </c>
      <c r="E983" s="9" t="str">
        <f>"男"</f>
        <v>男</v>
      </c>
      <c r="F983" s="10"/>
    </row>
    <row r="984" spans="1:6" ht="30" customHeight="1">
      <c r="A984" s="9">
        <v>982</v>
      </c>
      <c r="B984" s="9" t="str">
        <f>"50322023032316444774788"</f>
        <v>50322023032316444774788</v>
      </c>
      <c r="C984" s="9" t="s">
        <v>75</v>
      </c>
      <c r="D984" s="10" t="str">
        <f>"黄诚"</f>
        <v>黄诚</v>
      </c>
      <c r="E984" s="9" t="str">
        <f>"男"</f>
        <v>男</v>
      </c>
      <c r="F984" s="10"/>
    </row>
    <row r="985" spans="1:6" ht="30" customHeight="1">
      <c r="A985" s="9">
        <v>983</v>
      </c>
      <c r="B985" s="9" t="str">
        <f>"50322023032414193075897"</f>
        <v>50322023032414193075897</v>
      </c>
      <c r="C985" s="9" t="s">
        <v>75</v>
      </c>
      <c r="D985" s="10" t="str">
        <f>"鲍旭寅"</f>
        <v>鲍旭寅</v>
      </c>
      <c r="E985" s="9" t="str">
        <f>"男"</f>
        <v>男</v>
      </c>
      <c r="F985" s="10"/>
    </row>
    <row r="986" spans="1:6" ht="30" customHeight="1">
      <c r="A986" s="9">
        <v>984</v>
      </c>
      <c r="B986" s="9" t="str">
        <f>"50322023032415472876030"</f>
        <v>50322023032415472876030</v>
      </c>
      <c r="C986" s="9" t="s">
        <v>75</v>
      </c>
      <c r="D986" s="10" t="str">
        <f>"胡井龙"</f>
        <v>胡井龙</v>
      </c>
      <c r="E986" s="9" t="str">
        <f>"男"</f>
        <v>男</v>
      </c>
      <c r="F986" s="10"/>
    </row>
    <row r="987" spans="1:6" ht="30" customHeight="1">
      <c r="A987" s="9">
        <v>985</v>
      </c>
      <c r="B987" s="9" t="str">
        <f>"50322023032416355076093"</f>
        <v>50322023032416355076093</v>
      </c>
      <c r="C987" s="9" t="s">
        <v>75</v>
      </c>
      <c r="D987" s="10" t="str">
        <f>"岳津竹"</f>
        <v>岳津竹</v>
      </c>
      <c r="E987" s="9" t="str">
        <f>"女"</f>
        <v>女</v>
      </c>
      <c r="F987" s="10"/>
    </row>
    <row r="988" spans="1:6" ht="30" customHeight="1">
      <c r="A988" s="9">
        <v>986</v>
      </c>
      <c r="B988" s="9" t="str">
        <f>"50322023032514323876863"</f>
        <v>50322023032514323876863</v>
      </c>
      <c r="C988" s="9" t="s">
        <v>75</v>
      </c>
      <c r="D988" s="10" t="str">
        <f>"孙浩"</f>
        <v>孙浩</v>
      </c>
      <c r="E988" s="9" t="str">
        <f aca="true" t="shared" si="39" ref="E988:E994">"男"</f>
        <v>男</v>
      </c>
      <c r="F988" s="10"/>
    </row>
    <row r="989" spans="1:6" ht="30" customHeight="1">
      <c r="A989" s="9">
        <v>987</v>
      </c>
      <c r="B989" s="9" t="str">
        <f>"50322023032609114877263"</f>
        <v>50322023032609114877263</v>
      </c>
      <c r="C989" s="9" t="s">
        <v>75</v>
      </c>
      <c r="D989" s="10" t="str">
        <f>"许伟允"</f>
        <v>许伟允</v>
      </c>
      <c r="E989" s="9" t="str">
        <f t="shared" si="39"/>
        <v>男</v>
      </c>
      <c r="F989" s="10"/>
    </row>
    <row r="990" spans="1:6" ht="30" customHeight="1">
      <c r="A990" s="9">
        <v>988</v>
      </c>
      <c r="B990" s="9" t="str">
        <f>"50322023032623361577760"</f>
        <v>50322023032623361577760</v>
      </c>
      <c r="C990" s="9" t="s">
        <v>75</v>
      </c>
      <c r="D990" s="10" t="str">
        <f>"欧金圣"</f>
        <v>欧金圣</v>
      </c>
      <c r="E990" s="9" t="str">
        <f t="shared" si="39"/>
        <v>男</v>
      </c>
      <c r="F990" s="10"/>
    </row>
    <row r="991" spans="1:6" ht="30" customHeight="1">
      <c r="A991" s="9">
        <v>989</v>
      </c>
      <c r="B991" s="9" t="str">
        <f>"50322023032711130678128"</f>
        <v>50322023032711130678128</v>
      </c>
      <c r="C991" s="9" t="s">
        <v>75</v>
      </c>
      <c r="D991" s="10" t="str">
        <f>"王兴基"</f>
        <v>王兴基</v>
      </c>
      <c r="E991" s="9" t="str">
        <f t="shared" si="39"/>
        <v>男</v>
      </c>
      <c r="F991" s="10"/>
    </row>
    <row r="992" spans="1:6" ht="30" customHeight="1">
      <c r="A992" s="9">
        <v>990</v>
      </c>
      <c r="B992" s="9" t="str">
        <f>"50322023032717030378584"</f>
        <v>50322023032717030378584</v>
      </c>
      <c r="C992" s="9" t="s">
        <v>75</v>
      </c>
      <c r="D992" s="10" t="str">
        <f>"陈润鑫"</f>
        <v>陈润鑫</v>
      </c>
      <c r="E992" s="9" t="str">
        <f t="shared" si="39"/>
        <v>男</v>
      </c>
      <c r="F992" s="10"/>
    </row>
    <row r="993" spans="1:6" ht="30" customHeight="1">
      <c r="A993" s="9">
        <v>991</v>
      </c>
      <c r="B993" s="9" t="str">
        <f>"50322023032723593179025"</f>
        <v>50322023032723593179025</v>
      </c>
      <c r="C993" s="9" t="s">
        <v>75</v>
      </c>
      <c r="D993" s="10" t="str">
        <f>"李武深"</f>
        <v>李武深</v>
      </c>
      <c r="E993" s="9" t="str">
        <f t="shared" si="39"/>
        <v>男</v>
      </c>
      <c r="F993" s="10"/>
    </row>
    <row r="994" spans="1:6" ht="30" customHeight="1">
      <c r="A994" s="9">
        <v>992</v>
      </c>
      <c r="B994" s="9" t="str">
        <f>"50322023032810392979325"</f>
        <v>50322023032810392979325</v>
      </c>
      <c r="C994" s="9" t="s">
        <v>75</v>
      </c>
      <c r="D994" s="10" t="str">
        <f>"和建华"</f>
        <v>和建华</v>
      </c>
      <c r="E994" s="9" t="str">
        <f t="shared" si="39"/>
        <v>男</v>
      </c>
      <c r="F994" s="10"/>
    </row>
    <row r="995" spans="1:6" ht="30" customHeight="1">
      <c r="A995" s="9">
        <v>993</v>
      </c>
      <c r="B995" s="9" t="str">
        <f>"50322023032810512479348"</f>
        <v>50322023032810512479348</v>
      </c>
      <c r="C995" s="9" t="s">
        <v>75</v>
      </c>
      <c r="D995" s="10" t="str">
        <f>"林娜"</f>
        <v>林娜</v>
      </c>
      <c r="E995" s="9" t="str">
        <f>"女"</f>
        <v>女</v>
      </c>
      <c r="F995" s="11" t="s">
        <v>76</v>
      </c>
    </row>
    <row r="996" spans="1:6" ht="30" customHeight="1">
      <c r="A996" s="9">
        <v>994</v>
      </c>
      <c r="B996" s="9" t="str">
        <f>"50322023032816034879717"</f>
        <v>50322023032816034879717</v>
      </c>
      <c r="C996" s="9" t="s">
        <v>75</v>
      </c>
      <c r="D996" s="10" t="str">
        <f>"黄清林"</f>
        <v>黄清林</v>
      </c>
      <c r="E996" s="9" t="str">
        <f>"男"</f>
        <v>男</v>
      </c>
      <c r="F996" s="10"/>
    </row>
    <row r="997" spans="1:6" ht="30" customHeight="1">
      <c r="A997" s="9">
        <v>995</v>
      </c>
      <c r="B997" s="9" t="str">
        <f>"50322023032820284780028"</f>
        <v>50322023032820284780028</v>
      </c>
      <c r="C997" s="9" t="s">
        <v>75</v>
      </c>
      <c r="D997" s="10" t="str">
        <f>"雷宇健"</f>
        <v>雷宇健</v>
      </c>
      <c r="E997" s="9" t="str">
        <f>"男"</f>
        <v>男</v>
      </c>
      <c r="F997" s="10"/>
    </row>
    <row r="998" spans="1:6" ht="30" customHeight="1">
      <c r="A998" s="9">
        <v>996</v>
      </c>
      <c r="B998" s="9" t="str">
        <f>"50322023032912105681608"</f>
        <v>50322023032912105681608</v>
      </c>
      <c r="C998" s="9" t="s">
        <v>75</v>
      </c>
      <c r="D998" s="10" t="str">
        <f>"宋文涛"</f>
        <v>宋文涛</v>
      </c>
      <c r="E998" s="9" t="str">
        <f>"男"</f>
        <v>男</v>
      </c>
      <c r="F998" s="10"/>
    </row>
    <row r="999" spans="1:6" ht="30" customHeight="1">
      <c r="A999" s="9">
        <v>997</v>
      </c>
      <c r="B999" s="9" t="str">
        <f>"50322023032916262382552"</f>
        <v>50322023032916262382552</v>
      </c>
      <c r="C999" s="9" t="s">
        <v>75</v>
      </c>
      <c r="D999" s="10" t="str">
        <f>"董功勤"</f>
        <v>董功勤</v>
      </c>
      <c r="E999" s="9" t="str">
        <f>"男"</f>
        <v>男</v>
      </c>
      <c r="F999" s="10"/>
    </row>
    <row r="1000" spans="1:6" ht="30" customHeight="1">
      <c r="A1000" s="9">
        <v>998</v>
      </c>
      <c r="B1000" s="9" t="str">
        <f>"50322023032108573063179"</f>
        <v>50322023032108573063179</v>
      </c>
      <c r="C1000" s="9" t="s">
        <v>77</v>
      </c>
      <c r="D1000" s="10" t="str">
        <f>"赵婉彤"</f>
        <v>赵婉彤</v>
      </c>
      <c r="E1000" s="9" t="str">
        <f>"女"</f>
        <v>女</v>
      </c>
      <c r="F1000" s="10"/>
    </row>
    <row r="1001" spans="1:6" ht="30" customHeight="1">
      <c r="A1001" s="9">
        <v>999</v>
      </c>
      <c r="B1001" s="9" t="str">
        <f>"50322023032109122563283"</f>
        <v>50322023032109122563283</v>
      </c>
      <c r="C1001" s="9" t="s">
        <v>77</v>
      </c>
      <c r="D1001" s="10" t="str">
        <f>"吴源权"</f>
        <v>吴源权</v>
      </c>
      <c r="E1001" s="9" t="str">
        <f>"男"</f>
        <v>男</v>
      </c>
      <c r="F1001" s="10"/>
    </row>
    <row r="1002" spans="1:6" ht="30" customHeight="1">
      <c r="A1002" s="9">
        <v>1000</v>
      </c>
      <c r="B1002" s="9" t="str">
        <f>"50322023032109223063345"</f>
        <v>50322023032109223063345</v>
      </c>
      <c r="C1002" s="9" t="s">
        <v>77</v>
      </c>
      <c r="D1002" s="10" t="str">
        <f>"原卫娜"</f>
        <v>原卫娜</v>
      </c>
      <c r="E1002" s="9" t="str">
        <f aca="true" t="shared" si="40" ref="E1002:E1011">"女"</f>
        <v>女</v>
      </c>
      <c r="F1002" s="10"/>
    </row>
    <row r="1003" spans="1:6" ht="30" customHeight="1">
      <c r="A1003" s="9">
        <v>1001</v>
      </c>
      <c r="B1003" s="9" t="str">
        <f>"50322023032109422663512"</f>
        <v>50322023032109422663512</v>
      </c>
      <c r="C1003" s="9" t="s">
        <v>77</v>
      </c>
      <c r="D1003" s="10" t="str">
        <f>"周阳球"</f>
        <v>周阳球</v>
      </c>
      <c r="E1003" s="9" t="str">
        <f t="shared" si="40"/>
        <v>女</v>
      </c>
      <c r="F1003" s="10"/>
    </row>
    <row r="1004" spans="1:6" ht="30" customHeight="1">
      <c r="A1004" s="9">
        <v>1002</v>
      </c>
      <c r="B1004" s="9" t="str">
        <f>"50322023032109535363883"</f>
        <v>50322023032109535363883</v>
      </c>
      <c r="C1004" s="9" t="s">
        <v>77</v>
      </c>
      <c r="D1004" s="10" t="str">
        <f>"范来"</f>
        <v>范来</v>
      </c>
      <c r="E1004" s="9" t="str">
        <f t="shared" si="40"/>
        <v>女</v>
      </c>
      <c r="F1004" s="10"/>
    </row>
    <row r="1005" spans="1:6" ht="30" customHeight="1">
      <c r="A1005" s="9">
        <v>1003</v>
      </c>
      <c r="B1005" s="9" t="str">
        <f>"50322023032110053964012"</f>
        <v>50322023032110053964012</v>
      </c>
      <c r="C1005" s="9" t="s">
        <v>77</v>
      </c>
      <c r="D1005" s="10" t="str">
        <f>"陈鹤玲"</f>
        <v>陈鹤玲</v>
      </c>
      <c r="E1005" s="9" t="str">
        <f t="shared" si="40"/>
        <v>女</v>
      </c>
      <c r="F1005" s="10"/>
    </row>
    <row r="1006" spans="1:6" ht="30" customHeight="1">
      <c r="A1006" s="9">
        <v>1004</v>
      </c>
      <c r="B1006" s="9" t="str">
        <f>"50322023032110141264099"</f>
        <v>50322023032110141264099</v>
      </c>
      <c r="C1006" s="9" t="s">
        <v>77</v>
      </c>
      <c r="D1006" s="10" t="str">
        <f>"李好"</f>
        <v>李好</v>
      </c>
      <c r="E1006" s="9" t="str">
        <f t="shared" si="40"/>
        <v>女</v>
      </c>
      <c r="F1006" s="10"/>
    </row>
    <row r="1007" spans="1:6" ht="30" customHeight="1">
      <c r="A1007" s="9">
        <v>1005</v>
      </c>
      <c r="B1007" s="9" t="str">
        <f>"50322023032112101565064"</f>
        <v>50322023032112101565064</v>
      </c>
      <c r="C1007" s="9" t="s">
        <v>77</v>
      </c>
      <c r="D1007" s="10" t="str">
        <f>"张芸"</f>
        <v>张芸</v>
      </c>
      <c r="E1007" s="9" t="str">
        <f t="shared" si="40"/>
        <v>女</v>
      </c>
      <c r="F1007" s="10"/>
    </row>
    <row r="1008" spans="1:6" ht="30" customHeight="1">
      <c r="A1008" s="9">
        <v>1006</v>
      </c>
      <c r="B1008" s="9" t="str">
        <f>"50322023032115361966325"</f>
        <v>50322023032115361966325</v>
      </c>
      <c r="C1008" s="9" t="s">
        <v>77</v>
      </c>
      <c r="D1008" s="10" t="str">
        <f>"林秀雨"</f>
        <v>林秀雨</v>
      </c>
      <c r="E1008" s="9" t="str">
        <f t="shared" si="40"/>
        <v>女</v>
      </c>
      <c r="F1008" s="10"/>
    </row>
    <row r="1009" spans="1:6" ht="30" customHeight="1">
      <c r="A1009" s="9">
        <v>1007</v>
      </c>
      <c r="B1009" s="9" t="str">
        <f>"50322023032119534467725"</f>
        <v>50322023032119534467725</v>
      </c>
      <c r="C1009" s="9" t="s">
        <v>77</v>
      </c>
      <c r="D1009" s="10" t="str">
        <f>"吴玉芳"</f>
        <v>吴玉芳</v>
      </c>
      <c r="E1009" s="9" t="str">
        <f t="shared" si="40"/>
        <v>女</v>
      </c>
      <c r="F1009" s="10"/>
    </row>
    <row r="1010" spans="1:6" ht="30" customHeight="1">
      <c r="A1010" s="9">
        <v>1008</v>
      </c>
      <c r="B1010" s="9" t="str">
        <f>"50322023032120095467836"</f>
        <v>50322023032120095467836</v>
      </c>
      <c r="C1010" s="9" t="s">
        <v>77</v>
      </c>
      <c r="D1010" s="10" t="str">
        <f>"宁小风"</f>
        <v>宁小风</v>
      </c>
      <c r="E1010" s="9" t="str">
        <f t="shared" si="40"/>
        <v>女</v>
      </c>
      <c r="F1010" s="10"/>
    </row>
    <row r="1011" spans="1:6" ht="30" customHeight="1">
      <c r="A1011" s="9">
        <v>1009</v>
      </c>
      <c r="B1011" s="9" t="str">
        <f>"50322023032311504174270"</f>
        <v>50322023032311504174270</v>
      </c>
      <c r="C1011" s="9" t="s">
        <v>77</v>
      </c>
      <c r="D1011" s="10" t="str">
        <f>"李宁"</f>
        <v>李宁</v>
      </c>
      <c r="E1011" s="9" t="str">
        <f t="shared" si="40"/>
        <v>女</v>
      </c>
      <c r="F1011" s="10"/>
    </row>
    <row r="1012" spans="1:6" ht="30" customHeight="1">
      <c r="A1012" s="9">
        <v>1010</v>
      </c>
      <c r="B1012" s="9" t="str">
        <f>"50322023032312385774354"</f>
        <v>50322023032312385774354</v>
      </c>
      <c r="C1012" s="9" t="s">
        <v>77</v>
      </c>
      <c r="D1012" s="10" t="str">
        <f>"曹平冬"</f>
        <v>曹平冬</v>
      </c>
      <c r="E1012" s="9" t="str">
        <f>"男"</f>
        <v>男</v>
      </c>
      <c r="F1012" s="10"/>
    </row>
    <row r="1013" spans="1:6" ht="30" customHeight="1">
      <c r="A1013" s="9">
        <v>1011</v>
      </c>
      <c r="B1013" s="9" t="str">
        <f>"50322023032313391674455"</f>
        <v>50322023032313391674455</v>
      </c>
      <c r="C1013" s="9" t="s">
        <v>77</v>
      </c>
      <c r="D1013" s="10" t="str">
        <f>"李彤"</f>
        <v>李彤</v>
      </c>
      <c r="E1013" s="9" t="str">
        <f>"女"</f>
        <v>女</v>
      </c>
      <c r="F1013" s="10"/>
    </row>
    <row r="1014" spans="1:6" ht="30" customHeight="1">
      <c r="A1014" s="9">
        <v>1012</v>
      </c>
      <c r="B1014" s="9" t="str">
        <f>"50322023032314334474532"</f>
        <v>50322023032314334474532</v>
      </c>
      <c r="C1014" s="9" t="s">
        <v>77</v>
      </c>
      <c r="D1014" s="10" t="str">
        <f>"周小敏"</f>
        <v>周小敏</v>
      </c>
      <c r="E1014" s="9" t="str">
        <f>"女"</f>
        <v>女</v>
      </c>
      <c r="F1014" s="10"/>
    </row>
    <row r="1015" spans="1:6" ht="30" customHeight="1">
      <c r="A1015" s="9">
        <v>1013</v>
      </c>
      <c r="B1015" s="9" t="str">
        <f>"50322023032316544974812"</f>
        <v>50322023032316544974812</v>
      </c>
      <c r="C1015" s="9" t="s">
        <v>77</v>
      </c>
      <c r="D1015" s="10" t="str">
        <f>"安古玲"</f>
        <v>安古玲</v>
      </c>
      <c r="E1015" s="9" t="str">
        <f>"女"</f>
        <v>女</v>
      </c>
      <c r="F1015" s="10"/>
    </row>
    <row r="1016" spans="1:6" ht="30" customHeight="1">
      <c r="A1016" s="9">
        <v>1014</v>
      </c>
      <c r="B1016" s="9" t="str">
        <f>"50322023032323273975326"</f>
        <v>50322023032323273975326</v>
      </c>
      <c r="C1016" s="9" t="s">
        <v>77</v>
      </c>
      <c r="D1016" s="10" t="str">
        <f>"李振昌"</f>
        <v>李振昌</v>
      </c>
      <c r="E1016" s="9" t="str">
        <f>"男"</f>
        <v>男</v>
      </c>
      <c r="F1016" s="10"/>
    </row>
    <row r="1017" spans="1:6" ht="30" customHeight="1">
      <c r="A1017" s="9">
        <v>1015</v>
      </c>
      <c r="B1017" s="9" t="str">
        <f>"50322023032410022375529"</f>
        <v>50322023032410022375529</v>
      </c>
      <c r="C1017" s="9" t="s">
        <v>77</v>
      </c>
      <c r="D1017" s="10" t="str">
        <f>"林晓凤"</f>
        <v>林晓凤</v>
      </c>
      <c r="E1017" s="9" t="str">
        <f aca="true" t="shared" si="41" ref="E1017:E1023">"女"</f>
        <v>女</v>
      </c>
      <c r="F1017" s="10"/>
    </row>
    <row r="1018" spans="1:6" ht="30" customHeight="1">
      <c r="A1018" s="9">
        <v>1016</v>
      </c>
      <c r="B1018" s="9" t="str">
        <f>"50322023032410043975532"</f>
        <v>50322023032410043975532</v>
      </c>
      <c r="C1018" s="9" t="s">
        <v>77</v>
      </c>
      <c r="D1018" s="10" t="str">
        <f>"王敏"</f>
        <v>王敏</v>
      </c>
      <c r="E1018" s="9" t="str">
        <f t="shared" si="41"/>
        <v>女</v>
      </c>
      <c r="F1018" s="10"/>
    </row>
    <row r="1019" spans="1:6" ht="30" customHeight="1">
      <c r="A1019" s="9">
        <v>1017</v>
      </c>
      <c r="B1019" s="9" t="str">
        <f>"50322023032411061675624"</f>
        <v>50322023032411061675624</v>
      </c>
      <c r="C1019" s="9" t="s">
        <v>77</v>
      </c>
      <c r="D1019" s="10" t="str">
        <f>"樊茵"</f>
        <v>樊茵</v>
      </c>
      <c r="E1019" s="9" t="str">
        <f t="shared" si="41"/>
        <v>女</v>
      </c>
      <c r="F1019" s="10"/>
    </row>
    <row r="1020" spans="1:6" ht="30" customHeight="1">
      <c r="A1020" s="9">
        <v>1018</v>
      </c>
      <c r="B1020" s="9" t="str">
        <f>"50322023032417351476167"</f>
        <v>50322023032417351476167</v>
      </c>
      <c r="C1020" s="9" t="s">
        <v>77</v>
      </c>
      <c r="D1020" s="10" t="str">
        <f>"陈太汝"</f>
        <v>陈太汝</v>
      </c>
      <c r="E1020" s="9" t="str">
        <f t="shared" si="41"/>
        <v>女</v>
      </c>
      <c r="F1020" s="10"/>
    </row>
    <row r="1021" spans="1:6" ht="30" customHeight="1">
      <c r="A1021" s="9">
        <v>1019</v>
      </c>
      <c r="B1021" s="9" t="str">
        <f>"50322023032517195877026"</f>
        <v>50322023032517195877026</v>
      </c>
      <c r="C1021" s="9" t="s">
        <v>77</v>
      </c>
      <c r="D1021" s="10" t="str">
        <f>"方箫"</f>
        <v>方箫</v>
      </c>
      <c r="E1021" s="9" t="str">
        <f t="shared" si="41"/>
        <v>女</v>
      </c>
      <c r="F1021" s="10"/>
    </row>
    <row r="1022" spans="1:6" ht="30" customHeight="1">
      <c r="A1022" s="9">
        <v>1020</v>
      </c>
      <c r="B1022" s="9" t="str">
        <f>"50322023032517303877031"</f>
        <v>50322023032517303877031</v>
      </c>
      <c r="C1022" s="9" t="s">
        <v>77</v>
      </c>
      <c r="D1022" s="10" t="str">
        <f>"邱泉芊"</f>
        <v>邱泉芊</v>
      </c>
      <c r="E1022" s="9" t="str">
        <f t="shared" si="41"/>
        <v>女</v>
      </c>
      <c r="F1022" s="10"/>
    </row>
    <row r="1023" spans="1:6" ht="30" customHeight="1">
      <c r="A1023" s="9">
        <v>1021</v>
      </c>
      <c r="B1023" s="9" t="str">
        <f>"50322023032519023377075"</f>
        <v>50322023032519023377075</v>
      </c>
      <c r="C1023" s="9" t="s">
        <v>77</v>
      </c>
      <c r="D1023" s="10" t="str">
        <f>"李羿潼 "</f>
        <v>李羿潼 </v>
      </c>
      <c r="E1023" s="9" t="str">
        <f t="shared" si="41"/>
        <v>女</v>
      </c>
      <c r="F1023" s="10"/>
    </row>
    <row r="1024" spans="1:6" ht="30" customHeight="1">
      <c r="A1024" s="9">
        <v>1022</v>
      </c>
      <c r="B1024" s="9" t="str">
        <f>"50322023032523541777224"</f>
        <v>50322023032523541777224</v>
      </c>
      <c r="C1024" s="9" t="s">
        <v>77</v>
      </c>
      <c r="D1024" s="10" t="str">
        <f>"欧琼迪"</f>
        <v>欧琼迪</v>
      </c>
      <c r="E1024" s="9" t="str">
        <f>"男"</f>
        <v>男</v>
      </c>
      <c r="F1024" s="10"/>
    </row>
    <row r="1025" spans="1:6" ht="30" customHeight="1">
      <c r="A1025" s="9">
        <v>1023</v>
      </c>
      <c r="B1025" s="9" t="str">
        <f>"50322023032618280977553"</f>
        <v>50322023032618280977553</v>
      </c>
      <c r="C1025" s="9" t="s">
        <v>77</v>
      </c>
      <c r="D1025" s="10" t="str">
        <f>"吴凯琪"</f>
        <v>吴凯琪</v>
      </c>
      <c r="E1025" s="9" t="str">
        <f>"女"</f>
        <v>女</v>
      </c>
      <c r="F1025" s="10"/>
    </row>
    <row r="1026" spans="1:6" ht="30" customHeight="1">
      <c r="A1026" s="9">
        <v>1024</v>
      </c>
      <c r="B1026" s="9" t="str">
        <f>"50322023032713380278316"</f>
        <v>50322023032713380278316</v>
      </c>
      <c r="C1026" s="9" t="s">
        <v>77</v>
      </c>
      <c r="D1026" s="10" t="str">
        <f>"周静"</f>
        <v>周静</v>
      </c>
      <c r="E1026" s="9" t="str">
        <f>"女"</f>
        <v>女</v>
      </c>
      <c r="F1026" s="10"/>
    </row>
    <row r="1027" spans="1:6" ht="30" customHeight="1">
      <c r="A1027" s="9">
        <v>1025</v>
      </c>
      <c r="B1027" s="9" t="str">
        <f>"50322023032716115678513"</f>
        <v>50322023032716115678513</v>
      </c>
      <c r="C1027" s="9" t="s">
        <v>77</v>
      </c>
      <c r="D1027" s="10" t="str">
        <f>"秦壮"</f>
        <v>秦壮</v>
      </c>
      <c r="E1027" s="9" t="str">
        <f>"男"</f>
        <v>男</v>
      </c>
      <c r="F1027" s="10"/>
    </row>
    <row r="1028" spans="1:6" ht="30" customHeight="1">
      <c r="A1028" s="9">
        <v>1026</v>
      </c>
      <c r="B1028" s="9" t="str">
        <f>"50322023032718484078702"</f>
        <v>50322023032718484078702</v>
      </c>
      <c r="C1028" s="9" t="s">
        <v>77</v>
      </c>
      <c r="D1028" s="10" t="str">
        <f>"阳锦明"</f>
        <v>阳锦明</v>
      </c>
      <c r="E1028" s="9" t="str">
        <f>"男"</f>
        <v>男</v>
      </c>
      <c r="F1028" s="10"/>
    </row>
    <row r="1029" spans="1:6" ht="30" customHeight="1">
      <c r="A1029" s="9">
        <v>1027</v>
      </c>
      <c r="B1029" s="9" t="str">
        <f>"50322023032816210779748"</f>
        <v>50322023032816210779748</v>
      </c>
      <c r="C1029" s="9" t="s">
        <v>77</v>
      </c>
      <c r="D1029" s="10" t="str">
        <f>"王少华"</f>
        <v>王少华</v>
      </c>
      <c r="E1029" s="9" t="str">
        <f>"女"</f>
        <v>女</v>
      </c>
      <c r="F1029" s="10"/>
    </row>
    <row r="1030" spans="1:6" ht="30" customHeight="1">
      <c r="A1030" s="9">
        <v>1028</v>
      </c>
      <c r="B1030" s="9" t="str">
        <f>"50322023032818250479872"</f>
        <v>50322023032818250479872</v>
      </c>
      <c r="C1030" s="9" t="s">
        <v>77</v>
      </c>
      <c r="D1030" s="10" t="str">
        <f>"蒋馥蔚"</f>
        <v>蒋馥蔚</v>
      </c>
      <c r="E1030" s="9" t="str">
        <f>"女"</f>
        <v>女</v>
      </c>
      <c r="F1030" s="10"/>
    </row>
    <row r="1031" spans="1:6" ht="30" customHeight="1">
      <c r="A1031" s="9">
        <v>1029</v>
      </c>
      <c r="B1031" s="9" t="str">
        <f>"50322023032819443479950"</f>
        <v>50322023032819443479950</v>
      </c>
      <c r="C1031" s="9" t="s">
        <v>77</v>
      </c>
      <c r="D1031" s="10" t="str">
        <f>"李廖果"</f>
        <v>李廖果</v>
      </c>
      <c r="E1031" s="9" t="str">
        <f>"女"</f>
        <v>女</v>
      </c>
      <c r="F1031" s="10"/>
    </row>
    <row r="1032" spans="1:6" ht="30" customHeight="1">
      <c r="A1032" s="9">
        <v>1030</v>
      </c>
      <c r="B1032" s="9" t="str">
        <f>"50322023032822015580169"</f>
        <v>50322023032822015580169</v>
      </c>
      <c r="C1032" s="9" t="s">
        <v>77</v>
      </c>
      <c r="D1032" s="10" t="str">
        <f>"曾效香"</f>
        <v>曾效香</v>
      </c>
      <c r="E1032" s="9" t="str">
        <f>"女"</f>
        <v>女</v>
      </c>
      <c r="F1032" s="10"/>
    </row>
    <row r="1033" spans="1:6" ht="30" customHeight="1">
      <c r="A1033" s="9">
        <v>1031</v>
      </c>
      <c r="B1033" s="9" t="str">
        <f>"50322023032822095180180"</f>
        <v>50322023032822095180180</v>
      </c>
      <c r="C1033" s="9" t="s">
        <v>77</v>
      </c>
      <c r="D1033" s="10" t="str">
        <f>"郑圣强"</f>
        <v>郑圣强</v>
      </c>
      <c r="E1033" s="9" t="str">
        <f>"男"</f>
        <v>男</v>
      </c>
      <c r="F1033" s="10"/>
    </row>
    <row r="1034" spans="1:6" ht="30" customHeight="1">
      <c r="A1034" s="9">
        <v>1032</v>
      </c>
      <c r="B1034" s="9" t="str">
        <f>"50322023032822281480212"</f>
        <v>50322023032822281480212</v>
      </c>
      <c r="C1034" s="9" t="s">
        <v>77</v>
      </c>
      <c r="D1034" s="10" t="str">
        <f>"陈柯宇"</f>
        <v>陈柯宇</v>
      </c>
      <c r="E1034" s="9" t="str">
        <f aca="true" t="shared" si="42" ref="E1034:E1081">"女"</f>
        <v>女</v>
      </c>
      <c r="F1034" s="10"/>
    </row>
    <row r="1035" spans="1:6" ht="30" customHeight="1">
      <c r="A1035" s="9">
        <v>1033</v>
      </c>
      <c r="B1035" s="9" t="str">
        <f>"50322023032916192082521"</f>
        <v>50322023032916192082521</v>
      </c>
      <c r="C1035" s="9" t="s">
        <v>77</v>
      </c>
      <c r="D1035" s="10" t="str">
        <f>"李子琪"</f>
        <v>李子琪</v>
      </c>
      <c r="E1035" s="9" t="str">
        <f t="shared" si="42"/>
        <v>女</v>
      </c>
      <c r="F1035" s="10"/>
    </row>
    <row r="1036" spans="1:6" ht="30" customHeight="1">
      <c r="A1036" s="9">
        <v>1034</v>
      </c>
      <c r="B1036" s="9" t="str">
        <f>"50322023032108012662949"</f>
        <v>50322023032108012662949</v>
      </c>
      <c r="C1036" s="9" t="s">
        <v>78</v>
      </c>
      <c r="D1036" s="10" t="str">
        <f>"黎小姗"</f>
        <v>黎小姗</v>
      </c>
      <c r="E1036" s="9" t="str">
        <f t="shared" si="42"/>
        <v>女</v>
      </c>
      <c r="F1036" s="10"/>
    </row>
    <row r="1037" spans="1:6" ht="30" customHeight="1">
      <c r="A1037" s="9">
        <v>1035</v>
      </c>
      <c r="B1037" s="9" t="str">
        <f>"50322023032109241863359"</f>
        <v>50322023032109241863359</v>
      </c>
      <c r="C1037" s="9" t="s">
        <v>78</v>
      </c>
      <c r="D1037" s="10" t="str">
        <f>"陈亚燕"</f>
        <v>陈亚燕</v>
      </c>
      <c r="E1037" s="9" t="str">
        <f t="shared" si="42"/>
        <v>女</v>
      </c>
      <c r="F1037" s="10"/>
    </row>
    <row r="1038" spans="1:6" ht="30" customHeight="1">
      <c r="A1038" s="9">
        <v>1036</v>
      </c>
      <c r="B1038" s="9" t="str">
        <f>"50322023032109425563517"</f>
        <v>50322023032109425563517</v>
      </c>
      <c r="C1038" s="9" t="s">
        <v>78</v>
      </c>
      <c r="D1038" s="10" t="str">
        <f>"苏秋同"</f>
        <v>苏秋同</v>
      </c>
      <c r="E1038" s="9" t="str">
        <f t="shared" si="42"/>
        <v>女</v>
      </c>
      <c r="F1038" s="10"/>
    </row>
    <row r="1039" spans="1:6" ht="30" customHeight="1">
      <c r="A1039" s="9">
        <v>1037</v>
      </c>
      <c r="B1039" s="9" t="str">
        <f>"50322023032109510863862"</f>
        <v>50322023032109510863862</v>
      </c>
      <c r="C1039" s="9" t="s">
        <v>78</v>
      </c>
      <c r="D1039" s="10" t="str">
        <f>"翟芳廷"</f>
        <v>翟芳廷</v>
      </c>
      <c r="E1039" s="9" t="str">
        <f t="shared" si="42"/>
        <v>女</v>
      </c>
      <c r="F1039" s="10"/>
    </row>
    <row r="1040" spans="1:6" ht="30" customHeight="1">
      <c r="A1040" s="9">
        <v>1038</v>
      </c>
      <c r="B1040" s="9" t="str">
        <f>"50322023032109552563901"</f>
        <v>50322023032109552563901</v>
      </c>
      <c r="C1040" s="9" t="s">
        <v>78</v>
      </c>
      <c r="D1040" s="10" t="str">
        <f>"谷沙莎"</f>
        <v>谷沙莎</v>
      </c>
      <c r="E1040" s="9" t="str">
        <f t="shared" si="42"/>
        <v>女</v>
      </c>
      <c r="F1040" s="10"/>
    </row>
    <row r="1041" spans="1:6" ht="30" customHeight="1">
      <c r="A1041" s="9">
        <v>1039</v>
      </c>
      <c r="B1041" s="9" t="str">
        <f>"50322023032110034463987"</f>
        <v>50322023032110034463987</v>
      </c>
      <c r="C1041" s="9" t="s">
        <v>78</v>
      </c>
      <c r="D1041" s="10" t="str">
        <f>"汤初妃"</f>
        <v>汤初妃</v>
      </c>
      <c r="E1041" s="9" t="str">
        <f t="shared" si="42"/>
        <v>女</v>
      </c>
      <c r="F1041" s="10"/>
    </row>
    <row r="1042" spans="1:6" ht="30" customHeight="1">
      <c r="A1042" s="9">
        <v>1040</v>
      </c>
      <c r="B1042" s="9" t="str">
        <f>"50322023032110050564003"</f>
        <v>50322023032110050564003</v>
      </c>
      <c r="C1042" s="9" t="s">
        <v>78</v>
      </c>
      <c r="D1042" s="10" t="str">
        <f>"苏祥静"</f>
        <v>苏祥静</v>
      </c>
      <c r="E1042" s="9" t="str">
        <f t="shared" si="42"/>
        <v>女</v>
      </c>
      <c r="F1042" s="10"/>
    </row>
    <row r="1043" spans="1:6" ht="30" customHeight="1">
      <c r="A1043" s="9">
        <v>1041</v>
      </c>
      <c r="B1043" s="9" t="str">
        <f>"50322023032110355464273"</f>
        <v>50322023032110355464273</v>
      </c>
      <c r="C1043" s="9" t="s">
        <v>78</v>
      </c>
      <c r="D1043" s="10" t="str">
        <f>"吴紫红"</f>
        <v>吴紫红</v>
      </c>
      <c r="E1043" s="9" t="str">
        <f t="shared" si="42"/>
        <v>女</v>
      </c>
      <c r="F1043" s="10"/>
    </row>
    <row r="1044" spans="1:6" ht="30" customHeight="1">
      <c r="A1044" s="9">
        <v>1042</v>
      </c>
      <c r="B1044" s="9" t="str">
        <f>"50322023032110543164453"</f>
        <v>50322023032110543164453</v>
      </c>
      <c r="C1044" s="9" t="s">
        <v>78</v>
      </c>
      <c r="D1044" s="10" t="str">
        <f>"张茈玲"</f>
        <v>张茈玲</v>
      </c>
      <c r="E1044" s="9" t="str">
        <f t="shared" si="42"/>
        <v>女</v>
      </c>
      <c r="F1044" s="10"/>
    </row>
    <row r="1045" spans="1:6" ht="30" customHeight="1">
      <c r="A1045" s="9">
        <v>1043</v>
      </c>
      <c r="B1045" s="9" t="str">
        <f>"50322023032111095964592"</f>
        <v>50322023032111095964592</v>
      </c>
      <c r="C1045" s="9" t="s">
        <v>78</v>
      </c>
      <c r="D1045" s="10" t="str">
        <f>"王婕妤"</f>
        <v>王婕妤</v>
      </c>
      <c r="E1045" s="9" t="str">
        <f t="shared" si="42"/>
        <v>女</v>
      </c>
      <c r="F1045" s="10"/>
    </row>
    <row r="1046" spans="1:6" ht="30" customHeight="1">
      <c r="A1046" s="9">
        <v>1044</v>
      </c>
      <c r="B1046" s="9" t="str">
        <f>"50322023032111273064761"</f>
        <v>50322023032111273064761</v>
      </c>
      <c r="C1046" s="9" t="s">
        <v>78</v>
      </c>
      <c r="D1046" s="10" t="str">
        <f>"王安然"</f>
        <v>王安然</v>
      </c>
      <c r="E1046" s="9" t="str">
        <f t="shared" si="42"/>
        <v>女</v>
      </c>
      <c r="F1046" s="10"/>
    </row>
    <row r="1047" spans="1:6" ht="30" customHeight="1">
      <c r="A1047" s="9">
        <v>1045</v>
      </c>
      <c r="B1047" s="9" t="str">
        <f>"50322023032111503464946"</f>
        <v>50322023032111503464946</v>
      </c>
      <c r="C1047" s="9" t="s">
        <v>78</v>
      </c>
      <c r="D1047" s="10" t="str">
        <f>"阮丽芸"</f>
        <v>阮丽芸</v>
      </c>
      <c r="E1047" s="9" t="str">
        <f t="shared" si="42"/>
        <v>女</v>
      </c>
      <c r="F1047" s="10"/>
    </row>
    <row r="1048" spans="1:6" ht="30" customHeight="1">
      <c r="A1048" s="9">
        <v>1046</v>
      </c>
      <c r="B1048" s="9" t="str">
        <f>"50322023032113052265386"</f>
        <v>50322023032113052265386</v>
      </c>
      <c r="C1048" s="9" t="s">
        <v>78</v>
      </c>
      <c r="D1048" s="10" t="str">
        <f>"付娟"</f>
        <v>付娟</v>
      </c>
      <c r="E1048" s="9" t="str">
        <f t="shared" si="42"/>
        <v>女</v>
      </c>
      <c r="F1048" s="10"/>
    </row>
    <row r="1049" spans="1:6" ht="30" customHeight="1">
      <c r="A1049" s="9">
        <v>1047</v>
      </c>
      <c r="B1049" s="9" t="str">
        <f>"50322023032114080665784"</f>
        <v>50322023032114080665784</v>
      </c>
      <c r="C1049" s="9" t="s">
        <v>78</v>
      </c>
      <c r="D1049" s="10" t="str">
        <f>"王文曼"</f>
        <v>王文曼</v>
      </c>
      <c r="E1049" s="9" t="str">
        <f t="shared" si="42"/>
        <v>女</v>
      </c>
      <c r="F1049" s="10"/>
    </row>
    <row r="1050" spans="1:6" ht="30" customHeight="1">
      <c r="A1050" s="9">
        <v>1048</v>
      </c>
      <c r="B1050" s="9" t="str">
        <f>"50322023032116011766510"</f>
        <v>50322023032116011766510</v>
      </c>
      <c r="C1050" s="9" t="s">
        <v>78</v>
      </c>
      <c r="D1050" s="10" t="str">
        <f>"吴思莹"</f>
        <v>吴思莹</v>
      </c>
      <c r="E1050" s="9" t="str">
        <f t="shared" si="42"/>
        <v>女</v>
      </c>
      <c r="F1050" s="10"/>
    </row>
    <row r="1051" spans="1:6" ht="30" customHeight="1">
      <c r="A1051" s="9">
        <v>1049</v>
      </c>
      <c r="B1051" s="9" t="str">
        <f>"50322023032120290367957"</f>
        <v>50322023032120290367957</v>
      </c>
      <c r="C1051" s="9" t="s">
        <v>78</v>
      </c>
      <c r="D1051" s="10" t="str">
        <f>"赵爱花"</f>
        <v>赵爱花</v>
      </c>
      <c r="E1051" s="9" t="str">
        <f t="shared" si="42"/>
        <v>女</v>
      </c>
      <c r="F1051" s="10"/>
    </row>
    <row r="1052" spans="1:6" ht="30" customHeight="1">
      <c r="A1052" s="9">
        <v>1050</v>
      </c>
      <c r="B1052" s="9" t="str">
        <f>"50322023032120340967987"</f>
        <v>50322023032120340967987</v>
      </c>
      <c r="C1052" s="9" t="s">
        <v>78</v>
      </c>
      <c r="D1052" s="10" t="str">
        <f>"杨紫云"</f>
        <v>杨紫云</v>
      </c>
      <c r="E1052" s="9" t="str">
        <f t="shared" si="42"/>
        <v>女</v>
      </c>
      <c r="F1052" s="10"/>
    </row>
    <row r="1053" spans="1:6" ht="30" customHeight="1">
      <c r="A1053" s="9">
        <v>1051</v>
      </c>
      <c r="B1053" s="9" t="str">
        <f>"50322023032121400268438"</f>
        <v>50322023032121400268438</v>
      </c>
      <c r="C1053" s="9" t="s">
        <v>78</v>
      </c>
      <c r="D1053" s="10" t="str">
        <f>"李月秋"</f>
        <v>李月秋</v>
      </c>
      <c r="E1053" s="9" t="str">
        <f t="shared" si="42"/>
        <v>女</v>
      </c>
      <c r="F1053" s="10"/>
    </row>
    <row r="1054" spans="1:6" ht="30" customHeight="1">
      <c r="A1054" s="9">
        <v>1052</v>
      </c>
      <c r="B1054" s="9" t="str">
        <f>"50322023032121544768544"</f>
        <v>50322023032121544768544</v>
      </c>
      <c r="C1054" s="9" t="s">
        <v>78</v>
      </c>
      <c r="D1054" s="10" t="str">
        <f>"孙燕花"</f>
        <v>孙燕花</v>
      </c>
      <c r="E1054" s="9" t="str">
        <f t="shared" si="42"/>
        <v>女</v>
      </c>
      <c r="F1054" s="10"/>
    </row>
    <row r="1055" spans="1:6" ht="30" customHeight="1">
      <c r="A1055" s="9">
        <v>1053</v>
      </c>
      <c r="B1055" s="9" t="str">
        <f>"50322023032123522969129"</f>
        <v>50322023032123522969129</v>
      </c>
      <c r="C1055" s="9" t="s">
        <v>78</v>
      </c>
      <c r="D1055" s="10" t="str">
        <f>"黄慧"</f>
        <v>黄慧</v>
      </c>
      <c r="E1055" s="9" t="str">
        <f t="shared" si="42"/>
        <v>女</v>
      </c>
      <c r="F1055" s="10"/>
    </row>
    <row r="1056" spans="1:6" ht="30" customHeight="1">
      <c r="A1056" s="9">
        <v>1054</v>
      </c>
      <c r="B1056" s="9" t="str">
        <f>"50322023032209255869619"</f>
        <v>50322023032209255869619</v>
      </c>
      <c r="C1056" s="9" t="s">
        <v>78</v>
      </c>
      <c r="D1056" s="10" t="str">
        <f>"吴锐君"</f>
        <v>吴锐君</v>
      </c>
      <c r="E1056" s="9" t="str">
        <f t="shared" si="42"/>
        <v>女</v>
      </c>
      <c r="F1056" s="10"/>
    </row>
    <row r="1057" spans="1:6" ht="30" customHeight="1">
      <c r="A1057" s="9">
        <v>1055</v>
      </c>
      <c r="B1057" s="9" t="str">
        <f>"50322023032210510570198"</f>
        <v>50322023032210510570198</v>
      </c>
      <c r="C1057" s="9" t="s">
        <v>78</v>
      </c>
      <c r="D1057" s="10" t="str">
        <f>"郑晓珠"</f>
        <v>郑晓珠</v>
      </c>
      <c r="E1057" s="9" t="str">
        <f t="shared" si="42"/>
        <v>女</v>
      </c>
      <c r="F1057" s="10"/>
    </row>
    <row r="1058" spans="1:6" ht="30" customHeight="1">
      <c r="A1058" s="9">
        <v>1056</v>
      </c>
      <c r="B1058" s="9" t="str">
        <f>"50322023032211360670536"</f>
        <v>50322023032211360670536</v>
      </c>
      <c r="C1058" s="9" t="s">
        <v>78</v>
      </c>
      <c r="D1058" s="10" t="str">
        <f>"邓露娜"</f>
        <v>邓露娜</v>
      </c>
      <c r="E1058" s="9" t="str">
        <f t="shared" si="42"/>
        <v>女</v>
      </c>
      <c r="F1058" s="10"/>
    </row>
    <row r="1059" spans="1:6" ht="30" customHeight="1">
      <c r="A1059" s="9">
        <v>1057</v>
      </c>
      <c r="B1059" s="9" t="str">
        <f>"50322023032213313071296"</f>
        <v>50322023032213313071296</v>
      </c>
      <c r="C1059" s="9" t="s">
        <v>78</v>
      </c>
      <c r="D1059" s="10" t="str">
        <f>"陈嫔韵"</f>
        <v>陈嫔韵</v>
      </c>
      <c r="E1059" s="9" t="str">
        <f t="shared" si="42"/>
        <v>女</v>
      </c>
      <c r="F1059" s="10"/>
    </row>
    <row r="1060" spans="1:6" ht="30" customHeight="1">
      <c r="A1060" s="9">
        <v>1058</v>
      </c>
      <c r="B1060" s="9" t="str">
        <f>"50322023032214075571519"</f>
        <v>50322023032214075571519</v>
      </c>
      <c r="C1060" s="9" t="s">
        <v>78</v>
      </c>
      <c r="D1060" s="10" t="str">
        <f>"鲍雪枫"</f>
        <v>鲍雪枫</v>
      </c>
      <c r="E1060" s="9" t="str">
        <f t="shared" si="42"/>
        <v>女</v>
      </c>
      <c r="F1060" s="10"/>
    </row>
    <row r="1061" spans="1:6" ht="30" customHeight="1">
      <c r="A1061" s="9">
        <v>1059</v>
      </c>
      <c r="B1061" s="9" t="str">
        <f>"50322023032214080371520"</f>
        <v>50322023032214080371520</v>
      </c>
      <c r="C1061" s="9" t="s">
        <v>78</v>
      </c>
      <c r="D1061" s="10" t="str">
        <f>"韦文娟"</f>
        <v>韦文娟</v>
      </c>
      <c r="E1061" s="9" t="str">
        <f t="shared" si="42"/>
        <v>女</v>
      </c>
      <c r="F1061" s="10"/>
    </row>
    <row r="1062" spans="1:6" ht="30" customHeight="1">
      <c r="A1062" s="9">
        <v>1060</v>
      </c>
      <c r="B1062" s="9" t="str">
        <f>"50322023032216312172751"</f>
        <v>50322023032216312172751</v>
      </c>
      <c r="C1062" s="9" t="s">
        <v>78</v>
      </c>
      <c r="D1062" s="10" t="str">
        <f>"李秋丽"</f>
        <v>李秋丽</v>
      </c>
      <c r="E1062" s="9" t="str">
        <f t="shared" si="42"/>
        <v>女</v>
      </c>
      <c r="F1062" s="10"/>
    </row>
    <row r="1063" spans="1:6" ht="30" customHeight="1">
      <c r="A1063" s="9">
        <v>1061</v>
      </c>
      <c r="B1063" s="9" t="str">
        <f>"50322023032216364172791"</f>
        <v>50322023032216364172791</v>
      </c>
      <c r="C1063" s="9" t="s">
        <v>78</v>
      </c>
      <c r="D1063" s="10" t="str">
        <f>"陈雅"</f>
        <v>陈雅</v>
      </c>
      <c r="E1063" s="9" t="str">
        <f t="shared" si="42"/>
        <v>女</v>
      </c>
      <c r="F1063" s="10"/>
    </row>
    <row r="1064" spans="1:6" ht="30" customHeight="1">
      <c r="A1064" s="9">
        <v>1062</v>
      </c>
      <c r="B1064" s="9" t="str">
        <f>"50322023032218105273110"</f>
        <v>50322023032218105273110</v>
      </c>
      <c r="C1064" s="9" t="s">
        <v>78</v>
      </c>
      <c r="D1064" s="10" t="str">
        <f>"羊玉欣"</f>
        <v>羊玉欣</v>
      </c>
      <c r="E1064" s="9" t="str">
        <f t="shared" si="42"/>
        <v>女</v>
      </c>
      <c r="F1064" s="10"/>
    </row>
    <row r="1065" spans="1:6" ht="30" customHeight="1">
      <c r="A1065" s="9">
        <v>1063</v>
      </c>
      <c r="B1065" s="9" t="str">
        <f>"50322023032219525273294"</f>
        <v>50322023032219525273294</v>
      </c>
      <c r="C1065" s="9" t="s">
        <v>78</v>
      </c>
      <c r="D1065" s="10" t="str">
        <f>"李小艳"</f>
        <v>李小艳</v>
      </c>
      <c r="E1065" s="9" t="str">
        <f t="shared" si="42"/>
        <v>女</v>
      </c>
      <c r="F1065" s="10"/>
    </row>
    <row r="1066" spans="1:6" ht="30" customHeight="1">
      <c r="A1066" s="9">
        <v>1064</v>
      </c>
      <c r="B1066" s="9" t="str">
        <f>"50322023032219525873295"</f>
        <v>50322023032219525873295</v>
      </c>
      <c r="C1066" s="9" t="s">
        <v>78</v>
      </c>
      <c r="D1066" s="10" t="str">
        <f>"裴玉莹"</f>
        <v>裴玉莹</v>
      </c>
      <c r="E1066" s="9" t="str">
        <f t="shared" si="42"/>
        <v>女</v>
      </c>
      <c r="F1066" s="10"/>
    </row>
    <row r="1067" spans="1:6" ht="30" customHeight="1">
      <c r="A1067" s="9">
        <v>1065</v>
      </c>
      <c r="B1067" s="9" t="str">
        <f>"50322023032219542473298"</f>
        <v>50322023032219542473298</v>
      </c>
      <c r="C1067" s="9" t="s">
        <v>78</v>
      </c>
      <c r="D1067" s="10" t="str">
        <f>"柯云飞"</f>
        <v>柯云飞</v>
      </c>
      <c r="E1067" s="9" t="str">
        <f t="shared" si="42"/>
        <v>女</v>
      </c>
      <c r="F1067" s="10"/>
    </row>
    <row r="1068" spans="1:6" ht="30" customHeight="1">
      <c r="A1068" s="9">
        <v>1066</v>
      </c>
      <c r="B1068" s="9" t="str">
        <f>"50322023032221075573448"</f>
        <v>50322023032221075573448</v>
      </c>
      <c r="C1068" s="9" t="s">
        <v>78</v>
      </c>
      <c r="D1068" s="10" t="str">
        <f>"黄幸子"</f>
        <v>黄幸子</v>
      </c>
      <c r="E1068" s="9" t="str">
        <f t="shared" si="42"/>
        <v>女</v>
      </c>
      <c r="F1068" s="10"/>
    </row>
    <row r="1069" spans="1:6" ht="30" customHeight="1">
      <c r="A1069" s="9">
        <v>1067</v>
      </c>
      <c r="B1069" s="9" t="str">
        <f>"50322023032221140673465"</f>
        <v>50322023032221140673465</v>
      </c>
      <c r="C1069" s="9" t="s">
        <v>78</v>
      </c>
      <c r="D1069" s="10" t="str">
        <f>"吴欣穗"</f>
        <v>吴欣穗</v>
      </c>
      <c r="E1069" s="9" t="str">
        <f t="shared" si="42"/>
        <v>女</v>
      </c>
      <c r="F1069" s="10"/>
    </row>
    <row r="1070" spans="1:6" ht="30" customHeight="1">
      <c r="A1070" s="9">
        <v>1068</v>
      </c>
      <c r="B1070" s="9" t="str">
        <f>"50322023032223315173726"</f>
        <v>50322023032223315173726</v>
      </c>
      <c r="C1070" s="9" t="s">
        <v>78</v>
      </c>
      <c r="D1070" s="10" t="str">
        <f>"陈薇夷"</f>
        <v>陈薇夷</v>
      </c>
      <c r="E1070" s="9" t="str">
        <f t="shared" si="42"/>
        <v>女</v>
      </c>
      <c r="F1070" s="10"/>
    </row>
    <row r="1071" spans="1:6" ht="30" customHeight="1">
      <c r="A1071" s="9">
        <v>1069</v>
      </c>
      <c r="B1071" s="9" t="str">
        <f>"50322023032309013373866"</f>
        <v>50322023032309013373866</v>
      </c>
      <c r="C1071" s="9" t="s">
        <v>78</v>
      </c>
      <c r="D1071" s="10" t="str">
        <f>"姜薇薇"</f>
        <v>姜薇薇</v>
      </c>
      <c r="E1071" s="9" t="str">
        <f t="shared" si="42"/>
        <v>女</v>
      </c>
      <c r="F1071" s="10"/>
    </row>
    <row r="1072" spans="1:6" ht="30" customHeight="1">
      <c r="A1072" s="9">
        <v>1070</v>
      </c>
      <c r="B1072" s="9" t="str">
        <f>"50322023032310334474077"</f>
        <v>50322023032310334474077</v>
      </c>
      <c r="C1072" s="9" t="s">
        <v>78</v>
      </c>
      <c r="D1072" s="10" t="str">
        <f>"李向飞"</f>
        <v>李向飞</v>
      </c>
      <c r="E1072" s="9" t="str">
        <f t="shared" si="42"/>
        <v>女</v>
      </c>
      <c r="F1072" s="10"/>
    </row>
    <row r="1073" spans="1:6" ht="30" customHeight="1">
      <c r="A1073" s="9">
        <v>1071</v>
      </c>
      <c r="B1073" s="9" t="str">
        <f>"50322023032316055574715"</f>
        <v>50322023032316055574715</v>
      </c>
      <c r="C1073" s="9" t="s">
        <v>78</v>
      </c>
      <c r="D1073" s="10" t="str">
        <f>"郭飞怡"</f>
        <v>郭飞怡</v>
      </c>
      <c r="E1073" s="9" t="str">
        <f t="shared" si="42"/>
        <v>女</v>
      </c>
      <c r="F1073" s="10"/>
    </row>
    <row r="1074" spans="1:6" ht="30" customHeight="1">
      <c r="A1074" s="9">
        <v>1072</v>
      </c>
      <c r="B1074" s="9" t="str">
        <f>"50322023032316282974761"</f>
        <v>50322023032316282974761</v>
      </c>
      <c r="C1074" s="9" t="s">
        <v>78</v>
      </c>
      <c r="D1074" s="10" t="str">
        <f>"王婉媛"</f>
        <v>王婉媛</v>
      </c>
      <c r="E1074" s="9" t="str">
        <f t="shared" si="42"/>
        <v>女</v>
      </c>
      <c r="F1074" s="10"/>
    </row>
    <row r="1075" spans="1:6" ht="30" customHeight="1">
      <c r="A1075" s="9">
        <v>1073</v>
      </c>
      <c r="B1075" s="9" t="str">
        <f>"50322023032316590074823"</f>
        <v>50322023032316590074823</v>
      </c>
      <c r="C1075" s="9" t="s">
        <v>78</v>
      </c>
      <c r="D1075" s="10" t="str">
        <f>"吴巧"</f>
        <v>吴巧</v>
      </c>
      <c r="E1075" s="9" t="str">
        <f t="shared" si="42"/>
        <v>女</v>
      </c>
      <c r="F1075" s="10"/>
    </row>
    <row r="1076" spans="1:6" ht="30" customHeight="1">
      <c r="A1076" s="9">
        <v>1074</v>
      </c>
      <c r="B1076" s="9" t="str">
        <f>"50322023032320185475073"</f>
        <v>50322023032320185475073</v>
      </c>
      <c r="C1076" s="9" t="s">
        <v>78</v>
      </c>
      <c r="D1076" s="10" t="str">
        <f>"尤娜"</f>
        <v>尤娜</v>
      </c>
      <c r="E1076" s="9" t="str">
        <f t="shared" si="42"/>
        <v>女</v>
      </c>
      <c r="F1076" s="10"/>
    </row>
    <row r="1077" spans="1:6" ht="30" customHeight="1">
      <c r="A1077" s="9">
        <v>1075</v>
      </c>
      <c r="B1077" s="9" t="str">
        <f>"50322023032322251475243"</f>
        <v>50322023032322251475243</v>
      </c>
      <c r="C1077" s="9" t="s">
        <v>78</v>
      </c>
      <c r="D1077" s="10" t="str">
        <f>"王晓敏"</f>
        <v>王晓敏</v>
      </c>
      <c r="E1077" s="9" t="str">
        <f t="shared" si="42"/>
        <v>女</v>
      </c>
      <c r="F1077" s="10"/>
    </row>
    <row r="1078" spans="1:6" ht="30" customHeight="1">
      <c r="A1078" s="9">
        <v>1076</v>
      </c>
      <c r="B1078" s="9" t="str">
        <f>"50322023032408535075432"</f>
        <v>50322023032408535075432</v>
      </c>
      <c r="C1078" s="9" t="s">
        <v>78</v>
      </c>
      <c r="D1078" s="10" t="str">
        <f>"郑语嫣"</f>
        <v>郑语嫣</v>
      </c>
      <c r="E1078" s="9" t="str">
        <f t="shared" si="42"/>
        <v>女</v>
      </c>
      <c r="F1078" s="10"/>
    </row>
    <row r="1079" spans="1:6" ht="30" customHeight="1">
      <c r="A1079" s="9">
        <v>1077</v>
      </c>
      <c r="B1079" s="9" t="str">
        <f>"50322023032411121975632"</f>
        <v>50322023032411121975632</v>
      </c>
      <c r="C1079" s="9" t="s">
        <v>78</v>
      </c>
      <c r="D1079" s="10" t="str">
        <f>"文芳玲"</f>
        <v>文芳玲</v>
      </c>
      <c r="E1079" s="9" t="str">
        <f t="shared" si="42"/>
        <v>女</v>
      </c>
      <c r="F1079" s="10"/>
    </row>
    <row r="1080" spans="1:6" ht="30" customHeight="1">
      <c r="A1080" s="9">
        <v>1078</v>
      </c>
      <c r="B1080" s="9" t="str">
        <f>"50322023032413200275825"</f>
        <v>50322023032413200275825</v>
      </c>
      <c r="C1080" s="9" t="s">
        <v>78</v>
      </c>
      <c r="D1080" s="10" t="str">
        <f>"符锡垦"</f>
        <v>符锡垦</v>
      </c>
      <c r="E1080" s="9" t="str">
        <f t="shared" si="42"/>
        <v>女</v>
      </c>
      <c r="F1080" s="10"/>
    </row>
    <row r="1081" spans="1:6" ht="30" customHeight="1">
      <c r="A1081" s="9">
        <v>1079</v>
      </c>
      <c r="B1081" s="9" t="str">
        <f>"50322023032415025775961"</f>
        <v>50322023032415025775961</v>
      </c>
      <c r="C1081" s="9" t="s">
        <v>78</v>
      </c>
      <c r="D1081" s="10" t="str">
        <f>"王利琴"</f>
        <v>王利琴</v>
      </c>
      <c r="E1081" s="9" t="str">
        <f t="shared" si="42"/>
        <v>女</v>
      </c>
      <c r="F1081" s="10"/>
    </row>
    <row r="1082" spans="1:6" ht="30" customHeight="1">
      <c r="A1082" s="9">
        <v>1080</v>
      </c>
      <c r="B1082" s="9" t="str">
        <f>"50322023032415315376000"</f>
        <v>50322023032415315376000</v>
      </c>
      <c r="C1082" s="9" t="s">
        <v>78</v>
      </c>
      <c r="D1082" s="10" t="str">
        <f>"王星蕴"</f>
        <v>王星蕴</v>
      </c>
      <c r="E1082" s="9" t="str">
        <f>"男"</f>
        <v>男</v>
      </c>
      <c r="F1082" s="10"/>
    </row>
    <row r="1083" spans="1:6" ht="30" customHeight="1">
      <c r="A1083" s="9">
        <v>1081</v>
      </c>
      <c r="B1083" s="9" t="str">
        <f>"50322023032415492976036"</f>
        <v>50322023032415492976036</v>
      </c>
      <c r="C1083" s="9" t="s">
        <v>78</v>
      </c>
      <c r="D1083" s="10" t="str">
        <f>"蓝晶晶"</f>
        <v>蓝晶晶</v>
      </c>
      <c r="E1083" s="9" t="str">
        <f aca="true" t="shared" si="43" ref="E1083:E1101">"女"</f>
        <v>女</v>
      </c>
      <c r="F1083" s="10"/>
    </row>
    <row r="1084" spans="1:6" ht="30" customHeight="1">
      <c r="A1084" s="9">
        <v>1082</v>
      </c>
      <c r="B1084" s="9" t="str">
        <f>"50322023032418192176204"</f>
        <v>50322023032418192176204</v>
      </c>
      <c r="C1084" s="9" t="s">
        <v>78</v>
      </c>
      <c r="D1084" s="10" t="str">
        <f>"苏统丹"</f>
        <v>苏统丹</v>
      </c>
      <c r="E1084" s="9" t="str">
        <f t="shared" si="43"/>
        <v>女</v>
      </c>
      <c r="F1084" s="10"/>
    </row>
    <row r="1085" spans="1:6" ht="30" customHeight="1">
      <c r="A1085" s="9">
        <v>1083</v>
      </c>
      <c r="B1085" s="9" t="str">
        <f>"50322023032420252176310"</f>
        <v>50322023032420252176310</v>
      </c>
      <c r="C1085" s="9" t="s">
        <v>78</v>
      </c>
      <c r="D1085" s="10" t="str">
        <f>"黄海珍"</f>
        <v>黄海珍</v>
      </c>
      <c r="E1085" s="9" t="str">
        <f t="shared" si="43"/>
        <v>女</v>
      </c>
      <c r="F1085" s="10"/>
    </row>
    <row r="1086" spans="1:6" ht="30" customHeight="1">
      <c r="A1086" s="9">
        <v>1084</v>
      </c>
      <c r="B1086" s="9" t="str">
        <f>"50322023032422351776432"</f>
        <v>50322023032422351776432</v>
      </c>
      <c r="C1086" s="9" t="s">
        <v>78</v>
      </c>
      <c r="D1086" s="10" t="str">
        <f>"林秀带"</f>
        <v>林秀带</v>
      </c>
      <c r="E1086" s="9" t="str">
        <f t="shared" si="43"/>
        <v>女</v>
      </c>
      <c r="F1086" s="10"/>
    </row>
    <row r="1087" spans="1:6" ht="30" customHeight="1">
      <c r="A1087" s="9">
        <v>1085</v>
      </c>
      <c r="B1087" s="9" t="str">
        <f>"50322023032509175976530"</f>
        <v>50322023032509175976530</v>
      </c>
      <c r="C1087" s="9" t="s">
        <v>78</v>
      </c>
      <c r="D1087" s="10" t="str">
        <f>"王秋冉"</f>
        <v>王秋冉</v>
      </c>
      <c r="E1087" s="9" t="str">
        <f t="shared" si="43"/>
        <v>女</v>
      </c>
      <c r="F1087" s="10"/>
    </row>
    <row r="1088" spans="1:6" ht="30" customHeight="1">
      <c r="A1088" s="9">
        <v>1086</v>
      </c>
      <c r="B1088" s="9" t="str">
        <f>"50322023032509403776548"</f>
        <v>50322023032509403776548</v>
      </c>
      <c r="C1088" s="9" t="s">
        <v>78</v>
      </c>
      <c r="D1088" s="10" t="str">
        <f>"郑洁丽"</f>
        <v>郑洁丽</v>
      </c>
      <c r="E1088" s="9" t="str">
        <f t="shared" si="43"/>
        <v>女</v>
      </c>
      <c r="F1088" s="10"/>
    </row>
    <row r="1089" spans="1:6" ht="30" customHeight="1">
      <c r="A1089" s="9">
        <v>1087</v>
      </c>
      <c r="B1089" s="9" t="str">
        <f>"50322023032509414076549"</f>
        <v>50322023032509414076549</v>
      </c>
      <c r="C1089" s="9" t="s">
        <v>78</v>
      </c>
      <c r="D1089" s="10" t="str">
        <f>"符辉玉"</f>
        <v>符辉玉</v>
      </c>
      <c r="E1089" s="9" t="str">
        <f t="shared" si="43"/>
        <v>女</v>
      </c>
      <c r="F1089" s="10"/>
    </row>
    <row r="1090" spans="1:6" ht="30" customHeight="1">
      <c r="A1090" s="9">
        <v>1088</v>
      </c>
      <c r="B1090" s="9" t="str">
        <f>"50322023032511125376655"</f>
        <v>50322023032511125376655</v>
      </c>
      <c r="C1090" s="9" t="s">
        <v>78</v>
      </c>
      <c r="D1090" s="10" t="str">
        <f>"潘艺丽"</f>
        <v>潘艺丽</v>
      </c>
      <c r="E1090" s="9" t="str">
        <f t="shared" si="43"/>
        <v>女</v>
      </c>
      <c r="F1090" s="10"/>
    </row>
    <row r="1091" spans="1:6" ht="30" customHeight="1">
      <c r="A1091" s="9">
        <v>1089</v>
      </c>
      <c r="B1091" s="9" t="str">
        <f>"50322023032512485076750"</f>
        <v>50322023032512485076750</v>
      </c>
      <c r="C1091" s="9" t="s">
        <v>78</v>
      </c>
      <c r="D1091" s="10" t="str">
        <f>"颜如玉"</f>
        <v>颜如玉</v>
      </c>
      <c r="E1091" s="9" t="str">
        <f t="shared" si="43"/>
        <v>女</v>
      </c>
      <c r="F1091" s="10"/>
    </row>
    <row r="1092" spans="1:6" ht="30" customHeight="1">
      <c r="A1092" s="9">
        <v>1090</v>
      </c>
      <c r="B1092" s="9" t="str">
        <f>"50322023032512580676754"</f>
        <v>50322023032512580676754</v>
      </c>
      <c r="C1092" s="9" t="s">
        <v>78</v>
      </c>
      <c r="D1092" s="10" t="str">
        <f>"黄亚颖"</f>
        <v>黄亚颖</v>
      </c>
      <c r="E1092" s="9" t="str">
        <f t="shared" si="43"/>
        <v>女</v>
      </c>
      <c r="F1092" s="10"/>
    </row>
    <row r="1093" spans="1:6" ht="30" customHeight="1">
      <c r="A1093" s="9">
        <v>1091</v>
      </c>
      <c r="B1093" s="9" t="str">
        <f>"50322023032513082476762"</f>
        <v>50322023032513082476762</v>
      </c>
      <c r="C1093" s="9" t="s">
        <v>78</v>
      </c>
      <c r="D1093" s="10" t="str">
        <f>"张昱"</f>
        <v>张昱</v>
      </c>
      <c r="E1093" s="9" t="str">
        <f t="shared" si="43"/>
        <v>女</v>
      </c>
      <c r="F1093" s="10"/>
    </row>
    <row r="1094" spans="1:6" ht="30" customHeight="1">
      <c r="A1094" s="9">
        <v>1092</v>
      </c>
      <c r="B1094" s="9" t="str">
        <f>"50322023032517412477038"</f>
        <v>50322023032517412477038</v>
      </c>
      <c r="C1094" s="9" t="s">
        <v>78</v>
      </c>
      <c r="D1094" s="10" t="str">
        <f>"李馨荷"</f>
        <v>李馨荷</v>
      </c>
      <c r="E1094" s="9" t="str">
        <f t="shared" si="43"/>
        <v>女</v>
      </c>
      <c r="F1094" s="10"/>
    </row>
    <row r="1095" spans="1:6" ht="30" customHeight="1">
      <c r="A1095" s="9">
        <v>1093</v>
      </c>
      <c r="B1095" s="9" t="str">
        <f>"50322023032610405877300"</f>
        <v>50322023032610405877300</v>
      </c>
      <c r="C1095" s="9" t="s">
        <v>78</v>
      </c>
      <c r="D1095" s="10" t="str">
        <f>"陈雅楠"</f>
        <v>陈雅楠</v>
      </c>
      <c r="E1095" s="9" t="str">
        <f t="shared" si="43"/>
        <v>女</v>
      </c>
      <c r="F1095" s="10"/>
    </row>
    <row r="1096" spans="1:6" ht="30" customHeight="1">
      <c r="A1096" s="9">
        <v>1094</v>
      </c>
      <c r="B1096" s="9" t="str">
        <f>"50322023032615273177454"</f>
        <v>50322023032615273177454</v>
      </c>
      <c r="C1096" s="9" t="s">
        <v>78</v>
      </c>
      <c r="D1096" s="10" t="str">
        <f>"黄金秋"</f>
        <v>黄金秋</v>
      </c>
      <c r="E1096" s="9" t="str">
        <f t="shared" si="43"/>
        <v>女</v>
      </c>
      <c r="F1096" s="10"/>
    </row>
    <row r="1097" spans="1:6" ht="30" customHeight="1">
      <c r="A1097" s="9">
        <v>1095</v>
      </c>
      <c r="B1097" s="9" t="str">
        <f>"50322023032618272477552"</f>
        <v>50322023032618272477552</v>
      </c>
      <c r="C1097" s="9" t="s">
        <v>78</v>
      </c>
      <c r="D1097" s="10" t="str">
        <f>"王宝银"</f>
        <v>王宝银</v>
      </c>
      <c r="E1097" s="9" t="str">
        <f t="shared" si="43"/>
        <v>女</v>
      </c>
      <c r="F1097" s="10"/>
    </row>
    <row r="1098" spans="1:6" ht="30" customHeight="1">
      <c r="A1098" s="9">
        <v>1096</v>
      </c>
      <c r="B1098" s="9" t="str">
        <f>"50322023032618411277558"</f>
        <v>50322023032618411277558</v>
      </c>
      <c r="C1098" s="9" t="s">
        <v>78</v>
      </c>
      <c r="D1098" s="10" t="str">
        <f>"曾文"</f>
        <v>曾文</v>
      </c>
      <c r="E1098" s="9" t="str">
        <f t="shared" si="43"/>
        <v>女</v>
      </c>
      <c r="F1098" s="10"/>
    </row>
    <row r="1099" spans="1:6" ht="30" customHeight="1">
      <c r="A1099" s="9">
        <v>1097</v>
      </c>
      <c r="B1099" s="9" t="str">
        <f>"50322023032620074977611"</f>
        <v>50322023032620074977611</v>
      </c>
      <c r="C1099" s="9" t="s">
        <v>78</v>
      </c>
      <c r="D1099" s="10" t="str">
        <f>"罗颖如"</f>
        <v>罗颖如</v>
      </c>
      <c r="E1099" s="9" t="str">
        <f t="shared" si="43"/>
        <v>女</v>
      </c>
      <c r="F1099" s="10"/>
    </row>
    <row r="1100" spans="1:6" ht="30" customHeight="1">
      <c r="A1100" s="9">
        <v>1098</v>
      </c>
      <c r="B1100" s="9" t="str">
        <f>"50322023032622141177701"</f>
        <v>50322023032622141177701</v>
      </c>
      <c r="C1100" s="9" t="s">
        <v>78</v>
      </c>
      <c r="D1100" s="10" t="str">
        <f>"杨小丹"</f>
        <v>杨小丹</v>
      </c>
      <c r="E1100" s="9" t="str">
        <f t="shared" si="43"/>
        <v>女</v>
      </c>
      <c r="F1100" s="10"/>
    </row>
    <row r="1101" spans="1:6" ht="30" customHeight="1">
      <c r="A1101" s="9">
        <v>1099</v>
      </c>
      <c r="B1101" s="9" t="str">
        <f>"50322023032622190277709"</f>
        <v>50322023032622190277709</v>
      </c>
      <c r="C1101" s="9" t="s">
        <v>78</v>
      </c>
      <c r="D1101" s="10" t="str">
        <f>"陈文慧"</f>
        <v>陈文慧</v>
      </c>
      <c r="E1101" s="9" t="str">
        <f t="shared" si="43"/>
        <v>女</v>
      </c>
      <c r="F1101" s="10"/>
    </row>
    <row r="1102" spans="1:6" ht="30" customHeight="1">
      <c r="A1102" s="9">
        <v>1100</v>
      </c>
      <c r="B1102" s="9" t="str">
        <f>"50322023032700481477782"</f>
        <v>50322023032700481477782</v>
      </c>
      <c r="C1102" s="9" t="s">
        <v>78</v>
      </c>
      <c r="D1102" s="10" t="str">
        <f>"吴珏环"</f>
        <v>吴珏环</v>
      </c>
      <c r="E1102" s="9" t="str">
        <f>"男"</f>
        <v>男</v>
      </c>
      <c r="F1102" s="10"/>
    </row>
    <row r="1103" spans="1:6" ht="30" customHeight="1">
      <c r="A1103" s="9">
        <v>1101</v>
      </c>
      <c r="B1103" s="9" t="str">
        <f>"50322023032710203078024"</f>
        <v>50322023032710203078024</v>
      </c>
      <c r="C1103" s="9" t="s">
        <v>78</v>
      </c>
      <c r="D1103" s="10" t="str">
        <f>"苏高妹"</f>
        <v>苏高妹</v>
      </c>
      <c r="E1103" s="9" t="str">
        <f>"女"</f>
        <v>女</v>
      </c>
      <c r="F1103" s="10"/>
    </row>
    <row r="1104" spans="1:6" ht="30" customHeight="1">
      <c r="A1104" s="9">
        <v>1102</v>
      </c>
      <c r="B1104" s="9" t="str">
        <f>"50322023032711132378129"</f>
        <v>50322023032711132378129</v>
      </c>
      <c r="C1104" s="9" t="s">
        <v>78</v>
      </c>
      <c r="D1104" s="10" t="str">
        <f>"孟巧渊"</f>
        <v>孟巧渊</v>
      </c>
      <c r="E1104" s="9" t="str">
        <f>"女"</f>
        <v>女</v>
      </c>
      <c r="F1104" s="10"/>
    </row>
    <row r="1105" spans="1:6" ht="30" customHeight="1">
      <c r="A1105" s="9">
        <v>1103</v>
      </c>
      <c r="B1105" s="9" t="str">
        <f>"50322023032712195278225"</f>
        <v>50322023032712195278225</v>
      </c>
      <c r="C1105" s="9" t="s">
        <v>78</v>
      </c>
      <c r="D1105" s="10" t="str">
        <f>"王康蜜"</f>
        <v>王康蜜</v>
      </c>
      <c r="E1105" s="9" t="str">
        <f>"女"</f>
        <v>女</v>
      </c>
      <c r="F1105" s="10"/>
    </row>
    <row r="1106" spans="1:6" ht="30" customHeight="1">
      <c r="A1106" s="9">
        <v>1104</v>
      </c>
      <c r="B1106" s="9" t="str">
        <f>"50322023032713525478328"</f>
        <v>50322023032713525478328</v>
      </c>
      <c r="C1106" s="9" t="s">
        <v>78</v>
      </c>
      <c r="D1106" s="10" t="str">
        <f>"陈玢延"</f>
        <v>陈玢延</v>
      </c>
      <c r="E1106" s="9" t="str">
        <f>"女"</f>
        <v>女</v>
      </c>
      <c r="F1106" s="10"/>
    </row>
    <row r="1107" spans="1:6" ht="30" customHeight="1">
      <c r="A1107" s="9">
        <v>1105</v>
      </c>
      <c r="B1107" s="9" t="str">
        <f>"50322023032714572578402"</f>
        <v>50322023032714572578402</v>
      </c>
      <c r="C1107" s="9" t="s">
        <v>78</v>
      </c>
      <c r="D1107" s="10" t="str">
        <f>"冯小妹"</f>
        <v>冯小妹</v>
      </c>
      <c r="E1107" s="9" t="str">
        <f>"女"</f>
        <v>女</v>
      </c>
      <c r="F1107" s="10"/>
    </row>
    <row r="1108" spans="1:6" ht="30" customHeight="1">
      <c r="A1108" s="9">
        <v>1106</v>
      </c>
      <c r="B1108" s="9" t="str">
        <f>"50322023032715542878485"</f>
        <v>50322023032715542878485</v>
      </c>
      <c r="C1108" s="9" t="s">
        <v>78</v>
      </c>
      <c r="D1108" s="10" t="str">
        <f>"邓小豪"</f>
        <v>邓小豪</v>
      </c>
      <c r="E1108" s="9" t="str">
        <f>"男"</f>
        <v>男</v>
      </c>
      <c r="F1108" s="10"/>
    </row>
    <row r="1109" spans="1:6" ht="30" customHeight="1">
      <c r="A1109" s="9">
        <v>1107</v>
      </c>
      <c r="B1109" s="9" t="str">
        <f>"50322023032716361578549"</f>
        <v>50322023032716361578549</v>
      </c>
      <c r="C1109" s="9" t="s">
        <v>78</v>
      </c>
      <c r="D1109" s="10" t="str">
        <f>"王迷尔"</f>
        <v>王迷尔</v>
      </c>
      <c r="E1109" s="9" t="str">
        <f aca="true" t="shared" si="44" ref="E1109:E1172">"女"</f>
        <v>女</v>
      </c>
      <c r="F1109" s="10"/>
    </row>
    <row r="1110" spans="1:6" ht="30" customHeight="1">
      <c r="A1110" s="9">
        <v>1108</v>
      </c>
      <c r="B1110" s="9" t="str">
        <f>"50322023032717092778595"</f>
        <v>50322023032717092778595</v>
      </c>
      <c r="C1110" s="9" t="s">
        <v>78</v>
      </c>
      <c r="D1110" s="10" t="str">
        <f>"陈煜葳"</f>
        <v>陈煜葳</v>
      </c>
      <c r="E1110" s="9" t="str">
        <f t="shared" si="44"/>
        <v>女</v>
      </c>
      <c r="F1110" s="10"/>
    </row>
    <row r="1111" spans="1:6" ht="30" customHeight="1">
      <c r="A1111" s="9">
        <v>1109</v>
      </c>
      <c r="B1111" s="9" t="str">
        <f>"50322023032718414378696"</f>
        <v>50322023032718414378696</v>
      </c>
      <c r="C1111" s="9" t="s">
        <v>78</v>
      </c>
      <c r="D1111" s="10" t="str">
        <f>"陈玉兰"</f>
        <v>陈玉兰</v>
      </c>
      <c r="E1111" s="9" t="str">
        <f t="shared" si="44"/>
        <v>女</v>
      </c>
      <c r="F1111" s="10"/>
    </row>
    <row r="1112" spans="1:6" ht="30" customHeight="1">
      <c r="A1112" s="9">
        <v>1110</v>
      </c>
      <c r="B1112" s="9" t="str">
        <f>"50322023032719243378730"</f>
        <v>50322023032719243378730</v>
      </c>
      <c r="C1112" s="9" t="s">
        <v>78</v>
      </c>
      <c r="D1112" s="10" t="str">
        <f>"王湘怡"</f>
        <v>王湘怡</v>
      </c>
      <c r="E1112" s="9" t="str">
        <f t="shared" si="44"/>
        <v>女</v>
      </c>
      <c r="F1112" s="10"/>
    </row>
    <row r="1113" spans="1:6" ht="30" customHeight="1">
      <c r="A1113" s="9">
        <v>1111</v>
      </c>
      <c r="B1113" s="9" t="str">
        <f>"50322023032721380378894"</f>
        <v>50322023032721380378894</v>
      </c>
      <c r="C1113" s="9" t="s">
        <v>78</v>
      </c>
      <c r="D1113" s="10" t="str">
        <f>"李艳会"</f>
        <v>李艳会</v>
      </c>
      <c r="E1113" s="9" t="str">
        <f t="shared" si="44"/>
        <v>女</v>
      </c>
      <c r="F1113" s="10"/>
    </row>
    <row r="1114" spans="1:6" ht="30" customHeight="1">
      <c r="A1114" s="9">
        <v>1112</v>
      </c>
      <c r="B1114" s="9" t="str">
        <f>"50322023032721404178901"</f>
        <v>50322023032721404178901</v>
      </c>
      <c r="C1114" s="9" t="s">
        <v>78</v>
      </c>
      <c r="D1114" s="10" t="str">
        <f>"王晶"</f>
        <v>王晶</v>
      </c>
      <c r="E1114" s="9" t="str">
        <f t="shared" si="44"/>
        <v>女</v>
      </c>
      <c r="F1114" s="11" t="s">
        <v>79</v>
      </c>
    </row>
    <row r="1115" spans="1:6" ht="30" customHeight="1">
      <c r="A1115" s="9">
        <v>1113</v>
      </c>
      <c r="B1115" s="9" t="str">
        <f>"50322023032721592578921"</f>
        <v>50322023032721592578921</v>
      </c>
      <c r="C1115" s="9" t="s">
        <v>78</v>
      </c>
      <c r="D1115" s="10" t="str">
        <f>"莫海燕"</f>
        <v>莫海燕</v>
      </c>
      <c r="E1115" s="9" t="str">
        <f t="shared" si="44"/>
        <v>女</v>
      </c>
      <c r="F1115" s="10"/>
    </row>
    <row r="1116" spans="1:6" ht="30" customHeight="1">
      <c r="A1116" s="9">
        <v>1114</v>
      </c>
      <c r="B1116" s="9" t="str">
        <f>"50322023032722072278929"</f>
        <v>50322023032722072278929</v>
      </c>
      <c r="C1116" s="9" t="s">
        <v>78</v>
      </c>
      <c r="D1116" s="10" t="str">
        <f>"郑薇"</f>
        <v>郑薇</v>
      </c>
      <c r="E1116" s="9" t="str">
        <f t="shared" si="44"/>
        <v>女</v>
      </c>
      <c r="F1116" s="10"/>
    </row>
    <row r="1117" spans="1:6" ht="30" customHeight="1">
      <c r="A1117" s="9">
        <v>1115</v>
      </c>
      <c r="B1117" s="9" t="str">
        <f>"50322023032722324278955"</f>
        <v>50322023032722324278955</v>
      </c>
      <c r="C1117" s="9" t="s">
        <v>78</v>
      </c>
      <c r="D1117" s="10" t="str">
        <f>"唐春鹏"</f>
        <v>唐春鹏</v>
      </c>
      <c r="E1117" s="9" t="str">
        <f t="shared" si="44"/>
        <v>女</v>
      </c>
      <c r="F1117" s="10"/>
    </row>
    <row r="1118" spans="1:6" ht="30" customHeight="1">
      <c r="A1118" s="9">
        <v>1116</v>
      </c>
      <c r="B1118" s="9" t="str">
        <f>"50322023032723094878984"</f>
        <v>50322023032723094878984</v>
      </c>
      <c r="C1118" s="9" t="s">
        <v>78</v>
      </c>
      <c r="D1118" s="10" t="str">
        <f>"周文芳"</f>
        <v>周文芳</v>
      </c>
      <c r="E1118" s="9" t="str">
        <f t="shared" si="44"/>
        <v>女</v>
      </c>
      <c r="F1118" s="10"/>
    </row>
    <row r="1119" spans="1:6" ht="30" customHeight="1">
      <c r="A1119" s="9">
        <v>1117</v>
      </c>
      <c r="B1119" s="9" t="str">
        <f>"50322023032723142278991"</f>
        <v>50322023032723142278991</v>
      </c>
      <c r="C1119" s="9" t="s">
        <v>78</v>
      </c>
      <c r="D1119" s="10" t="str">
        <f>"刘晓培"</f>
        <v>刘晓培</v>
      </c>
      <c r="E1119" s="9" t="str">
        <f t="shared" si="44"/>
        <v>女</v>
      </c>
      <c r="F1119" s="10"/>
    </row>
    <row r="1120" spans="1:6" ht="30" customHeight="1">
      <c r="A1120" s="9">
        <v>1118</v>
      </c>
      <c r="B1120" s="9" t="str">
        <f>"50322023032808363779082"</f>
        <v>50322023032808363779082</v>
      </c>
      <c r="C1120" s="9" t="s">
        <v>78</v>
      </c>
      <c r="D1120" s="10" t="str">
        <f>"陈辉苗"</f>
        <v>陈辉苗</v>
      </c>
      <c r="E1120" s="9" t="str">
        <f t="shared" si="44"/>
        <v>女</v>
      </c>
      <c r="F1120" s="10"/>
    </row>
    <row r="1121" spans="1:6" ht="30" customHeight="1">
      <c r="A1121" s="9">
        <v>1119</v>
      </c>
      <c r="B1121" s="9" t="str">
        <f>"50322023032809011179110"</f>
        <v>50322023032809011179110</v>
      </c>
      <c r="C1121" s="9" t="s">
        <v>78</v>
      </c>
      <c r="D1121" s="10" t="str">
        <f>"周姝彤"</f>
        <v>周姝彤</v>
      </c>
      <c r="E1121" s="9" t="str">
        <f t="shared" si="44"/>
        <v>女</v>
      </c>
      <c r="F1121" s="10"/>
    </row>
    <row r="1122" spans="1:6" ht="30" customHeight="1">
      <c r="A1122" s="9">
        <v>1120</v>
      </c>
      <c r="B1122" s="9" t="str">
        <f>"50322023032809374379197"</f>
        <v>50322023032809374379197</v>
      </c>
      <c r="C1122" s="9" t="s">
        <v>78</v>
      </c>
      <c r="D1122" s="10" t="str">
        <f>"林朝蕾"</f>
        <v>林朝蕾</v>
      </c>
      <c r="E1122" s="9" t="str">
        <f t="shared" si="44"/>
        <v>女</v>
      </c>
      <c r="F1122" s="10"/>
    </row>
    <row r="1123" spans="1:6" ht="30" customHeight="1">
      <c r="A1123" s="9">
        <v>1121</v>
      </c>
      <c r="B1123" s="9" t="str">
        <f>"50322023032810470879342"</f>
        <v>50322023032810470879342</v>
      </c>
      <c r="C1123" s="9" t="s">
        <v>78</v>
      </c>
      <c r="D1123" s="10" t="str">
        <f>"吴玉菊"</f>
        <v>吴玉菊</v>
      </c>
      <c r="E1123" s="9" t="str">
        <f t="shared" si="44"/>
        <v>女</v>
      </c>
      <c r="F1123" s="10"/>
    </row>
    <row r="1124" spans="1:6" ht="30" customHeight="1">
      <c r="A1124" s="9">
        <v>1122</v>
      </c>
      <c r="B1124" s="9" t="str">
        <f>"50322023032812285279472"</f>
        <v>50322023032812285279472</v>
      </c>
      <c r="C1124" s="9" t="s">
        <v>78</v>
      </c>
      <c r="D1124" s="10" t="str">
        <f>"胡颖"</f>
        <v>胡颖</v>
      </c>
      <c r="E1124" s="9" t="str">
        <f t="shared" si="44"/>
        <v>女</v>
      </c>
      <c r="F1124" s="10"/>
    </row>
    <row r="1125" spans="1:6" ht="30" customHeight="1">
      <c r="A1125" s="9">
        <v>1123</v>
      </c>
      <c r="B1125" s="9" t="str">
        <f>"50322023032813572979558"</f>
        <v>50322023032813572979558</v>
      </c>
      <c r="C1125" s="9" t="s">
        <v>78</v>
      </c>
      <c r="D1125" s="10" t="str">
        <f>"王海师"</f>
        <v>王海师</v>
      </c>
      <c r="E1125" s="9" t="str">
        <f t="shared" si="44"/>
        <v>女</v>
      </c>
      <c r="F1125" s="10"/>
    </row>
    <row r="1126" spans="1:6" ht="30" customHeight="1">
      <c r="A1126" s="9">
        <v>1124</v>
      </c>
      <c r="B1126" s="9" t="str">
        <f>"50322023032816194179744"</f>
        <v>50322023032816194179744</v>
      </c>
      <c r="C1126" s="9" t="s">
        <v>78</v>
      </c>
      <c r="D1126" s="10" t="str">
        <f>"冯大娇"</f>
        <v>冯大娇</v>
      </c>
      <c r="E1126" s="9" t="str">
        <f t="shared" si="44"/>
        <v>女</v>
      </c>
      <c r="F1126" s="10"/>
    </row>
    <row r="1127" spans="1:6" ht="30" customHeight="1">
      <c r="A1127" s="9">
        <v>1125</v>
      </c>
      <c r="B1127" s="9" t="str">
        <f>"50322023032817044379800"</f>
        <v>50322023032817044379800</v>
      </c>
      <c r="C1127" s="9" t="s">
        <v>78</v>
      </c>
      <c r="D1127" s="10" t="str">
        <f>"姜楠"</f>
        <v>姜楠</v>
      </c>
      <c r="E1127" s="9" t="str">
        <f t="shared" si="44"/>
        <v>女</v>
      </c>
      <c r="F1127" s="10"/>
    </row>
    <row r="1128" spans="1:6" ht="30" customHeight="1">
      <c r="A1128" s="9">
        <v>1126</v>
      </c>
      <c r="B1128" s="9" t="str">
        <f>"50322023032818172979867"</f>
        <v>50322023032818172979867</v>
      </c>
      <c r="C1128" s="9" t="s">
        <v>78</v>
      </c>
      <c r="D1128" s="10" t="str">
        <f>"刘莹"</f>
        <v>刘莹</v>
      </c>
      <c r="E1128" s="9" t="str">
        <f t="shared" si="44"/>
        <v>女</v>
      </c>
      <c r="F1128" s="10"/>
    </row>
    <row r="1129" spans="1:6" ht="30" customHeight="1">
      <c r="A1129" s="9">
        <v>1127</v>
      </c>
      <c r="B1129" s="9" t="str">
        <f>"50322023032819111779909"</f>
        <v>50322023032819111779909</v>
      </c>
      <c r="C1129" s="9" t="s">
        <v>78</v>
      </c>
      <c r="D1129" s="10" t="str">
        <f>"周暖暖"</f>
        <v>周暖暖</v>
      </c>
      <c r="E1129" s="9" t="str">
        <f t="shared" si="44"/>
        <v>女</v>
      </c>
      <c r="F1129" s="10"/>
    </row>
    <row r="1130" spans="1:6" ht="30" customHeight="1">
      <c r="A1130" s="9">
        <v>1128</v>
      </c>
      <c r="B1130" s="9" t="str">
        <f>"50322023032819355379936"</f>
        <v>50322023032819355379936</v>
      </c>
      <c r="C1130" s="9" t="s">
        <v>78</v>
      </c>
      <c r="D1130" s="10" t="str">
        <f>"邢敏"</f>
        <v>邢敏</v>
      </c>
      <c r="E1130" s="9" t="str">
        <f t="shared" si="44"/>
        <v>女</v>
      </c>
      <c r="F1130" s="10"/>
    </row>
    <row r="1131" spans="1:6" ht="30" customHeight="1">
      <c r="A1131" s="9">
        <v>1129</v>
      </c>
      <c r="B1131" s="9" t="str">
        <f>"50322023032819510679960"</f>
        <v>50322023032819510679960</v>
      </c>
      <c r="C1131" s="9" t="s">
        <v>78</v>
      </c>
      <c r="D1131" s="10" t="str">
        <f>"王幸子"</f>
        <v>王幸子</v>
      </c>
      <c r="E1131" s="9" t="str">
        <f t="shared" si="44"/>
        <v>女</v>
      </c>
      <c r="F1131" s="10"/>
    </row>
    <row r="1132" spans="1:6" ht="30" customHeight="1">
      <c r="A1132" s="9">
        <v>1130</v>
      </c>
      <c r="B1132" s="9" t="str">
        <f>"50322023032820011779976"</f>
        <v>50322023032820011779976</v>
      </c>
      <c r="C1132" s="9" t="s">
        <v>78</v>
      </c>
      <c r="D1132" s="10" t="str">
        <f>"张雪芳"</f>
        <v>张雪芳</v>
      </c>
      <c r="E1132" s="9" t="str">
        <f t="shared" si="44"/>
        <v>女</v>
      </c>
      <c r="F1132" s="10"/>
    </row>
    <row r="1133" spans="1:6" ht="30" customHeight="1">
      <c r="A1133" s="9">
        <v>1131</v>
      </c>
      <c r="B1133" s="9" t="str">
        <f>"50322023032820134780000"</f>
        <v>50322023032820134780000</v>
      </c>
      <c r="C1133" s="9" t="s">
        <v>78</v>
      </c>
      <c r="D1133" s="10" t="str">
        <f>"符妍莲"</f>
        <v>符妍莲</v>
      </c>
      <c r="E1133" s="9" t="str">
        <f t="shared" si="44"/>
        <v>女</v>
      </c>
      <c r="F1133" s="10"/>
    </row>
    <row r="1134" spans="1:6" ht="30" customHeight="1">
      <c r="A1134" s="9">
        <v>1132</v>
      </c>
      <c r="B1134" s="9" t="str">
        <f>"50322023032820251180022"</f>
        <v>50322023032820251180022</v>
      </c>
      <c r="C1134" s="9" t="s">
        <v>78</v>
      </c>
      <c r="D1134" s="10" t="str">
        <f>"李璐"</f>
        <v>李璐</v>
      </c>
      <c r="E1134" s="9" t="str">
        <f t="shared" si="44"/>
        <v>女</v>
      </c>
      <c r="F1134" s="10"/>
    </row>
    <row r="1135" spans="1:6" ht="30" customHeight="1">
      <c r="A1135" s="9">
        <v>1133</v>
      </c>
      <c r="B1135" s="9" t="str">
        <f>"50322023032820400380043"</f>
        <v>50322023032820400380043</v>
      </c>
      <c r="C1135" s="9" t="s">
        <v>78</v>
      </c>
      <c r="D1135" s="10" t="str">
        <f>"王茹"</f>
        <v>王茹</v>
      </c>
      <c r="E1135" s="9" t="str">
        <f t="shared" si="44"/>
        <v>女</v>
      </c>
      <c r="F1135" s="10"/>
    </row>
    <row r="1136" spans="1:6" ht="30" customHeight="1">
      <c r="A1136" s="9">
        <v>1134</v>
      </c>
      <c r="B1136" s="9" t="str">
        <f>"50322023032821360980121"</f>
        <v>50322023032821360980121</v>
      </c>
      <c r="C1136" s="9" t="s">
        <v>78</v>
      </c>
      <c r="D1136" s="10" t="str">
        <f>"卢莹"</f>
        <v>卢莹</v>
      </c>
      <c r="E1136" s="9" t="str">
        <f t="shared" si="44"/>
        <v>女</v>
      </c>
      <c r="F1136" s="10"/>
    </row>
    <row r="1137" spans="1:6" ht="30" customHeight="1">
      <c r="A1137" s="9">
        <v>1135</v>
      </c>
      <c r="B1137" s="9" t="str">
        <f>"50322023032821390880130"</f>
        <v>50322023032821390880130</v>
      </c>
      <c r="C1137" s="9" t="s">
        <v>78</v>
      </c>
      <c r="D1137" s="10" t="str">
        <f>"刘婧"</f>
        <v>刘婧</v>
      </c>
      <c r="E1137" s="9" t="str">
        <f t="shared" si="44"/>
        <v>女</v>
      </c>
      <c r="F1137" s="10"/>
    </row>
    <row r="1138" spans="1:6" ht="30" customHeight="1">
      <c r="A1138" s="9">
        <v>1136</v>
      </c>
      <c r="B1138" s="9" t="str">
        <f>"50322023032822292880217"</f>
        <v>50322023032822292880217</v>
      </c>
      <c r="C1138" s="9" t="s">
        <v>78</v>
      </c>
      <c r="D1138" s="10" t="str">
        <f>"许小环"</f>
        <v>许小环</v>
      </c>
      <c r="E1138" s="9" t="str">
        <f t="shared" si="44"/>
        <v>女</v>
      </c>
      <c r="F1138" s="10"/>
    </row>
    <row r="1139" spans="1:6" ht="30" customHeight="1">
      <c r="A1139" s="9">
        <v>1137</v>
      </c>
      <c r="B1139" s="9" t="str">
        <f>"50322023032822315880224"</f>
        <v>50322023032822315880224</v>
      </c>
      <c r="C1139" s="9" t="s">
        <v>78</v>
      </c>
      <c r="D1139" s="10" t="str">
        <f>"胡正果"</f>
        <v>胡正果</v>
      </c>
      <c r="E1139" s="9" t="str">
        <f t="shared" si="44"/>
        <v>女</v>
      </c>
      <c r="F1139" s="10"/>
    </row>
    <row r="1140" spans="1:6" ht="30" customHeight="1">
      <c r="A1140" s="9">
        <v>1138</v>
      </c>
      <c r="B1140" s="9" t="str">
        <f>"50322023032822450480240"</f>
        <v>50322023032822450480240</v>
      </c>
      <c r="C1140" s="9" t="s">
        <v>78</v>
      </c>
      <c r="D1140" s="10" t="str">
        <f>"钟紫锌"</f>
        <v>钟紫锌</v>
      </c>
      <c r="E1140" s="9" t="str">
        <f t="shared" si="44"/>
        <v>女</v>
      </c>
      <c r="F1140" s="10"/>
    </row>
    <row r="1141" spans="1:6" ht="30" customHeight="1">
      <c r="A1141" s="9">
        <v>1139</v>
      </c>
      <c r="B1141" s="9" t="str">
        <f>"50322023032823215480276"</f>
        <v>50322023032823215480276</v>
      </c>
      <c r="C1141" s="9" t="s">
        <v>78</v>
      </c>
      <c r="D1141" s="10" t="str">
        <f>"吴雪萍"</f>
        <v>吴雪萍</v>
      </c>
      <c r="E1141" s="9" t="str">
        <f t="shared" si="44"/>
        <v>女</v>
      </c>
      <c r="F1141" s="10"/>
    </row>
    <row r="1142" spans="1:6" ht="30" customHeight="1">
      <c r="A1142" s="9">
        <v>1140</v>
      </c>
      <c r="B1142" s="9" t="str">
        <f>"50322023032908212080372"</f>
        <v>50322023032908212080372</v>
      </c>
      <c r="C1142" s="9" t="s">
        <v>78</v>
      </c>
      <c r="D1142" s="10" t="str">
        <f>"吴文君"</f>
        <v>吴文君</v>
      </c>
      <c r="E1142" s="9" t="str">
        <f t="shared" si="44"/>
        <v>女</v>
      </c>
      <c r="F1142" s="10"/>
    </row>
    <row r="1143" spans="1:6" ht="30" customHeight="1">
      <c r="A1143" s="9">
        <v>1141</v>
      </c>
      <c r="B1143" s="9" t="str">
        <f>"50322023032908281780375"</f>
        <v>50322023032908281780375</v>
      </c>
      <c r="C1143" s="9" t="s">
        <v>78</v>
      </c>
      <c r="D1143" s="10" t="str">
        <f>"谭慧洁"</f>
        <v>谭慧洁</v>
      </c>
      <c r="E1143" s="9" t="str">
        <f t="shared" si="44"/>
        <v>女</v>
      </c>
      <c r="F1143" s="10"/>
    </row>
    <row r="1144" spans="1:6" ht="30" customHeight="1">
      <c r="A1144" s="9">
        <v>1142</v>
      </c>
      <c r="B1144" s="9" t="str">
        <f>"50322023032909211080641"</f>
        <v>50322023032909211080641</v>
      </c>
      <c r="C1144" s="9" t="s">
        <v>78</v>
      </c>
      <c r="D1144" s="10" t="str">
        <f>"欧值言"</f>
        <v>欧值言</v>
      </c>
      <c r="E1144" s="9" t="str">
        <f t="shared" si="44"/>
        <v>女</v>
      </c>
      <c r="F1144" s="10"/>
    </row>
    <row r="1145" spans="1:6" ht="30" customHeight="1">
      <c r="A1145" s="9">
        <v>1143</v>
      </c>
      <c r="B1145" s="9" t="str">
        <f>"50322023032909391680787"</f>
        <v>50322023032909391680787</v>
      </c>
      <c r="C1145" s="9" t="s">
        <v>78</v>
      </c>
      <c r="D1145" s="10" t="str">
        <f>"林妍"</f>
        <v>林妍</v>
      </c>
      <c r="E1145" s="9" t="str">
        <f t="shared" si="44"/>
        <v>女</v>
      </c>
      <c r="F1145" s="10"/>
    </row>
    <row r="1146" spans="1:6" ht="30" customHeight="1">
      <c r="A1146" s="9">
        <v>1144</v>
      </c>
      <c r="B1146" s="9" t="str">
        <f>"50322023032909401680791"</f>
        <v>50322023032909401680791</v>
      </c>
      <c r="C1146" s="9" t="s">
        <v>78</v>
      </c>
      <c r="D1146" s="10" t="str">
        <f>"黄芬芬"</f>
        <v>黄芬芬</v>
      </c>
      <c r="E1146" s="9" t="str">
        <f t="shared" si="44"/>
        <v>女</v>
      </c>
      <c r="F1146" s="10"/>
    </row>
    <row r="1147" spans="1:6" ht="30" customHeight="1">
      <c r="A1147" s="9">
        <v>1145</v>
      </c>
      <c r="B1147" s="9" t="str">
        <f>"50322023032910384581161"</f>
        <v>50322023032910384581161</v>
      </c>
      <c r="C1147" s="9" t="s">
        <v>78</v>
      </c>
      <c r="D1147" s="10" t="str">
        <f>"游蕊华"</f>
        <v>游蕊华</v>
      </c>
      <c r="E1147" s="9" t="str">
        <f t="shared" si="44"/>
        <v>女</v>
      </c>
      <c r="F1147" s="10"/>
    </row>
    <row r="1148" spans="1:6" ht="30" customHeight="1">
      <c r="A1148" s="9">
        <v>1146</v>
      </c>
      <c r="B1148" s="9" t="str">
        <f>"50322023032910441281197"</f>
        <v>50322023032910441281197</v>
      </c>
      <c r="C1148" s="9" t="s">
        <v>78</v>
      </c>
      <c r="D1148" s="10" t="str">
        <f>"吴慧芳"</f>
        <v>吴慧芳</v>
      </c>
      <c r="E1148" s="9" t="str">
        <f t="shared" si="44"/>
        <v>女</v>
      </c>
      <c r="F1148" s="10"/>
    </row>
    <row r="1149" spans="1:6" ht="30" customHeight="1">
      <c r="A1149" s="9">
        <v>1147</v>
      </c>
      <c r="B1149" s="9" t="str">
        <f>"50322023032911180181379"</f>
        <v>50322023032911180181379</v>
      </c>
      <c r="C1149" s="9" t="s">
        <v>78</v>
      </c>
      <c r="D1149" s="10" t="str">
        <f>"黄娴雅"</f>
        <v>黄娴雅</v>
      </c>
      <c r="E1149" s="9" t="str">
        <f t="shared" si="44"/>
        <v>女</v>
      </c>
      <c r="F1149" s="10"/>
    </row>
    <row r="1150" spans="1:6" ht="30" customHeight="1">
      <c r="A1150" s="9">
        <v>1148</v>
      </c>
      <c r="B1150" s="9" t="str">
        <f>"50322023032911465681519"</f>
        <v>50322023032911465681519</v>
      </c>
      <c r="C1150" s="9" t="s">
        <v>78</v>
      </c>
      <c r="D1150" s="10" t="str">
        <f>"钟琼君"</f>
        <v>钟琼君</v>
      </c>
      <c r="E1150" s="9" t="str">
        <f t="shared" si="44"/>
        <v>女</v>
      </c>
      <c r="F1150" s="10"/>
    </row>
    <row r="1151" spans="1:6" ht="30" customHeight="1">
      <c r="A1151" s="9">
        <v>1149</v>
      </c>
      <c r="B1151" s="9" t="str">
        <f>"50322023032912024481582"</f>
        <v>50322023032912024481582</v>
      </c>
      <c r="C1151" s="9" t="s">
        <v>78</v>
      </c>
      <c r="D1151" s="10" t="str">
        <f>"陈丽丽"</f>
        <v>陈丽丽</v>
      </c>
      <c r="E1151" s="9" t="str">
        <f t="shared" si="44"/>
        <v>女</v>
      </c>
      <c r="F1151" s="10"/>
    </row>
    <row r="1152" spans="1:6" ht="30" customHeight="1">
      <c r="A1152" s="9">
        <v>1150</v>
      </c>
      <c r="B1152" s="9" t="str">
        <f>"50322023032912423681725"</f>
        <v>50322023032912423681725</v>
      </c>
      <c r="C1152" s="9" t="s">
        <v>78</v>
      </c>
      <c r="D1152" s="10" t="str">
        <f>"庞雪鸿"</f>
        <v>庞雪鸿</v>
      </c>
      <c r="E1152" s="9" t="str">
        <f t="shared" si="44"/>
        <v>女</v>
      </c>
      <c r="F1152" s="10"/>
    </row>
    <row r="1153" spans="1:6" ht="30" customHeight="1">
      <c r="A1153" s="9">
        <v>1151</v>
      </c>
      <c r="B1153" s="9" t="str">
        <f>"50322023032912425281726"</f>
        <v>50322023032912425281726</v>
      </c>
      <c r="C1153" s="9" t="s">
        <v>78</v>
      </c>
      <c r="D1153" s="10" t="str">
        <f>"王欣慧"</f>
        <v>王欣慧</v>
      </c>
      <c r="E1153" s="9" t="str">
        <f t="shared" si="44"/>
        <v>女</v>
      </c>
      <c r="F1153" s="10"/>
    </row>
    <row r="1154" spans="1:6" ht="30" customHeight="1">
      <c r="A1154" s="9">
        <v>1152</v>
      </c>
      <c r="B1154" s="9" t="str">
        <f>"50322023032913044081814"</f>
        <v>50322023032913044081814</v>
      </c>
      <c r="C1154" s="9" t="s">
        <v>78</v>
      </c>
      <c r="D1154" s="10" t="str">
        <f>"蔡兰"</f>
        <v>蔡兰</v>
      </c>
      <c r="E1154" s="9" t="str">
        <f t="shared" si="44"/>
        <v>女</v>
      </c>
      <c r="F1154" s="10"/>
    </row>
    <row r="1155" spans="1:6" ht="30" customHeight="1">
      <c r="A1155" s="9">
        <v>1153</v>
      </c>
      <c r="B1155" s="9" t="str">
        <f>"50322023032913155781858"</f>
        <v>50322023032913155781858</v>
      </c>
      <c r="C1155" s="9" t="s">
        <v>78</v>
      </c>
      <c r="D1155" s="10" t="str">
        <f>"梁雅晴"</f>
        <v>梁雅晴</v>
      </c>
      <c r="E1155" s="9" t="str">
        <f t="shared" si="44"/>
        <v>女</v>
      </c>
      <c r="F1155" s="10"/>
    </row>
    <row r="1156" spans="1:6" ht="30" customHeight="1">
      <c r="A1156" s="9">
        <v>1154</v>
      </c>
      <c r="B1156" s="9" t="str">
        <f>"50322023032914191582042"</f>
        <v>50322023032914191582042</v>
      </c>
      <c r="C1156" s="9" t="s">
        <v>78</v>
      </c>
      <c r="D1156" s="10" t="str">
        <f>"黎容吕"</f>
        <v>黎容吕</v>
      </c>
      <c r="E1156" s="9" t="str">
        <f t="shared" si="44"/>
        <v>女</v>
      </c>
      <c r="F1156" s="10"/>
    </row>
    <row r="1157" spans="1:6" ht="30" customHeight="1">
      <c r="A1157" s="9">
        <v>1155</v>
      </c>
      <c r="B1157" s="9" t="str">
        <f>"50322023032914293282075"</f>
        <v>50322023032914293282075</v>
      </c>
      <c r="C1157" s="9" t="s">
        <v>78</v>
      </c>
      <c r="D1157" s="10" t="str">
        <f>"朱谚琪"</f>
        <v>朱谚琪</v>
      </c>
      <c r="E1157" s="9" t="str">
        <f t="shared" si="44"/>
        <v>女</v>
      </c>
      <c r="F1157" s="10"/>
    </row>
    <row r="1158" spans="1:6" ht="30" customHeight="1">
      <c r="A1158" s="9">
        <v>1156</v>
      </c>
      <c r="B1158" s="9" t="str">
        <f>"50322023032916001682442"</f>
        <v>50322023032916001682442</v>
      </c>
      <c r="C1158" s="9" t="s">
        <v>78</v>
      </c>
      <c r="D1158" s="10" t="str">
        <f>"罗天蝉"</f>
        <v>罗天蝉</v>
      </c>
      <c r="E1158" s="9" t="str">
        <f t="shared" si="44"/>
        <v>女</v>
      </c>
      <c r="F1158" s="10"/>
    </row>
    <row r="1159" spans="1:6" ht="30" customHeight="1">
      <c r="A1159" s="9">
        <v>1157</v>
      </c>
      <c r="B1159" s="9" t="str">
        <f>"50322023032917015683190"</f>
        <v>50322023032917015683190</v>
      </c>
      <c r="C1159" s="9" t="s">
        <v>78</v>
      </c>
      <c r="D1159" s="10" t="str">
        <f>"廖正莉"</f>
        <v>廖正莉</v>
      </c>
      <c r="E1159" s="9" t="str">
        <f t="shared" si="44"/>
        <v>女</v>
      </c>
      <c r="F1159" s="10"/>
    </row>
    <row r="1160" spans="1:6" ht="30" customHeight="1">
      <c r="A1160" s="9">
        <v>1158</v>
      </c>
      <c r="B1160" s="9" t="str">
        <f>"50322023032918123884170"</f>
        <v>50322023032918123884170</v>
      </c>
      <c r="C1160" s="9" t="s">
        <v>78</v>
      </c>
      <c r="D1160" s="10" t="str">
        <f>"曹冲"</f>
        <v>曹冲</v>
      </c>
      <c r="E1160" s="9" t="str">
        <f t="shared" si="44"/>
        <v>女</v>
      </c>
      <c r="F1160" s="10"/>
    </row>
    <row r="1161" spans="1:6" ht="30" customHeight="1">
      <c r="A1161" s="9">
        <v>1159</v>
      </c>
      <c r="B1161" s="9" t="str">
        <f>"50322023032918452284255"</f>
        <v>50322023032918452284255</v>
      </c>
      <c r="C1161" s="9" t="s">
        <v>78</v>
      </c>
      <c r="D1161" s="10" t="str">
        <f>"黄淑敏"</f>
        <v>黄淑敏</v>
      </c>
      <c r="E1161" s="9" t="str">
        <f t="shared" si="44"/>
        <v>女</v>
      </c>
      <c r="F1161" s="10"/>
    </row>
    <row r="1162" spans="1:6" ht="30" customHeight="1">
      <c r="A1162" s="9">
        <v>1160</v>
      </c>
      <c r="B1162" s="9" t="str">
        <f>"50322023032920451184610"</f>
        <v>50322023032920451184610</v>
      </c>
      <c r="C1162" s="9" t="s">
        <v>78</v>
      </c>
      <c r="D1162" s="10" t="str">
        <f>"何一秋"</f>
        <v>何一秋</v>
      </c>
      <c r="E1162" s="9" t="str">
        <f t="shared" si="44"/>
        <v>女</v>
      </c>
      <c r="F1162" s="10"/>
    </row>
    <row r="1163" spans="1:6" ht="30" customHeight="1">
      <c r="A1163" s="9">
        <v>1161</v>
      </c>
      <c r="B1163" s="9" t="str">
        <f>"50322023032922251684894"</f>
        <v>50322023032922251684894</v>
      </c>
      <c r="C1163" s="9" t="s">
        <v>78</v>
      </c>
      <c r="D1163" s="10" t="str">
        <f>"周春伶"</f>
        <v>周春伶</v>
      </c>
      <c r="E1163" s="9" t="str">
        <f t="shared" si="44"/>
        <v>女</v>
      </c>
      <c r="F1163" s="10"/>
    </row>
    <row r="1164" spans="1:6" ht="30" customHeight="1">
      <c r="A1164" s="9">
        <v>1162</v>
      </c>
      <c r="B1164" s="9" t="str">
        <f>"50322023032922424984940"</f>
        <v>50322023032922424984940</v>
      </c>
      <c r="C1164" s="9" t="s">
        <v>78</v>
      </c>
      <c r="D1164" s="10" t="str">
        <f>"王梦影"</f>
        <v>王梦影</v>
      </c>
      <c r="E1164" s="9" t="str">
        <f t="shared" si="44"/>
        <v>女</v>
      </c>
      <c r="F1164" s="10"/>
    </row>
    <row r="1165" spans="1:6" ht="30" customHeight="1">
      <c r="A1165" s="9">
        <v>1163</v>
      </c>
      <c r="B1165" s="9" t="str">
        <f>"50322023032922584484970"</f>
        <v>50322023032922584484970</v>
      </c>
      <c r="C1165" s="9" t="s">
        <v>78</v>
      </c>
      <c r="D1165" s="10" t="str">
        <f>"甘林林"</f>
        <v>甘林林</v>
      </c>
      <c r="E1165" s="9" t="str">
        <f t="shared" si="44"/>
        <v>女</v>
      </c>
      <c r="F1165" s="10"/>
    </row>
    <row r="1166" spans="1:6" ht="30" customHeight="1">
      <c r="A1166" s="9">
        <v>1164</v>
      </c>
      <c r="B1166" s="9" t="str">
        <f>"50322023033000141785071"</f>
        <v>50322023033000141785071</v>
      </c>
      <c r="C1166" s="9" t="s">
        <v>78</v>
      </c>
      <c r="D1166" s="10" t="str">
        <f>"苏莹"</f>
        <v>苏莹</v>
      </c>
      <c r="E1166" s="9" t="str">
        <f t="shared" si="44"/>
        <v>女</v>
      </c>
      <c r="F1166" s="10"/>
    </row>
    <row r="1167" spans="1:6" ht="30" customHeight="1">
      <c r="A1167" s="9">
        <v>1165</v>
      </c>
      <c r="B1167" s="9" t="str">
        <f>"50322023033008022685157"</f>
        <v>50322023033008022685157</v>
      </c>
      <c r="C1167" s="9" t="s">
        <v>78</v>
      </c>
      <c r="D1167" s="10" t="str">
        <f>"何旭"</f>
        <v>何旭</v>
      </c>
      <c r="E1167" s="9" t="str">
        <f t="shared" si="44"/>
        <v>女</v>
      </c>
      <c r="F1167" s="10"/>
    </row>
    <row r="1168" spans="1:6" ht="30" customHeight="1">
      <c r="A1168" s="9">
        <v>1166</v>
      </c>
      <c r="B1168" s="9" t="str">
        <f>"50322023033008044685163"</f>
        <v>50322023033008044685163</v>
      </c>
      <c r="C1168" s="9" t="s">
        <v>78</v>
      </c>
      <c r="D1168" s="10" t="str">
        <f>"麦田芳"</f>
        <v>麦田芳</v>
      </c>
      <c r="E1168" s="9" t="str">
        <f t="shared" si="44"/>
        <v>女</v>
      </c>
      <c r="F1168" s="10"/>
    </row>
    <row r="1169" spans="1:6" ht="30" customHeight="1">
      <c r="A1169" s="9">
        <v>1167</v>
      </c>
      <c r="B1169" s="9" t="str">
        <f>"50322023033009353085455"</f>
        <v>50322023033009353085455</v>
      </c>
      <c r="C1169" s="9" t="s">
        <v>78</v>
      </c>
      <c r="D1169" s="10" t="str">
        <f>"金自静"</f>
        <v>金自静</v>
      </c>
      <c r="E1169" s="9" t="str">
        <f t="shared" si="44"/>
        <v>女</v>
      </c>
      <c r="F1169" s="10"/>
    </row>
    <row r="1170" spans="1:6" ht="30" customHeight="1">
      <c r="A1170" s="9">
        <v>1168</v>
      </c>
      <c r="B1170" s="9" t="str">
        <f>"50322023033010494885768"</f>
        <v>50322023033010494885768</v>
      </c>
      <c r="C1170" s="9" t="s">
        <v>78</v>
      </c>
      <c r="D1170" s="10" t="str">
        <f>"禤达云"</f>
        <v>禤达云</v>
      </c>
      <c r="E1170" s="9" t="str">
        <f t="shared" si="44"/>
        <v>女</v>
      </c>
      <c r="F1170" s="10"/>
    </row>
    <row r="1171" spans="1:6" ht="30" customHeight="1">
      <c r="A1171" s="9">
        <v>1169</v>
      </c>
      <c r="B1171" s="9" t="str">
        <f>"50322023033010530785781"</f>
        <v>50322023033010530785781</v>
      </c>
      <c r="C1171" s="9" t="s">
        <v>78</v>
      </c>
      <c r="D1171" s="10" t="str">
        <f>"张艳雪"</f>
        <v>张艳雪</v>
      </c>
      <c r="E1171" s="9" t="str">
        <f t="shared" si="44"/>
        <v>女</v>
      </c>
      <c r="F1171" s="10"/>
    </row>
    <row r="1172" spans="1:6" ht="30" customHeight="1">
      <c r="A1172" s="9">
        <v>1170</v>
      </c>
      <c r="B1172" s="9" t="str">
        <f>"50322023033011053185827"</f>
        <v>50322023033011053185827</v>
      </c>
      <c r="C1172" s="9" t="s">
        <v>78</v>
      </c>
      <c r="D1172" s="10" t="str">
        <f>"黄雪珍"</f>
        <v>黄雪珍</v>
      </c>
      <c r="E1172" s="9" t="str">
        <f t="shared" si="44"/>
        <v>女</v>
      </c>
      <c r="F1172" s="10"/>
    </row>
    <row r="1173" spans="1:6" ht="30" customHeight="1">
      <c r="A1173" s="9">
        <v>1171</v>
      </c>
      <c r="B1173" s="9" t="str">
        <f>"50322023033011452585997"</f>
        <v>50322023033011452585997</v>
      </c>
      <c r="C1173" s="9" t="s">
        <v>78</v>
      </c>
      <c r="D1173" s="10" t="str">
        <f>"李锦丽"</f>
        <v>李锦丽</v>
      </c>
      <c r="E1173" s="9" t="str">
        <f aca="true" t="shared" si="45" ref="E1173:E1179">"女"</f>
        <v>女</v>
      </c>
      <c r="F1173" s="10"/>
    </row>
    <row r="1174" spans="1:6" ht="30" customHeight="1">
      <c r="A1174" s="9">
        <v>1172</v>
      </c>
      <c r="B1174" s="9" t="str">
        <f>"50322023032108370563071"</f>
        <v>50322023032108370563071</v>
      </c>
      <c r="C1174" s="9" t="s">
        <v>80</v>
      </c>
      <c r="D1174" s="10" t="str">
        <f>"邹怡"</f>
        <v>邹怡</v>
      </c>
      <c r="E1174" s="9" t="str">
        <f t="shared" si="45"/>
        <v>女</v>
      </c>
      <c r="F1174" s="10"/>
    </row>
    <row r="1175" spans="1:6" ht="30" customHeight="1">
      <c r="A1175" s="9">
        <v>1173</v>
      </c>
      <c r="B1175" s="9" t="str">
        <f>"50322023032108443463107"</f>
        <v>50322023032108443463107</v>
      </c>
      <c r="C1175" s="9" t="s">
        <v>80</v>
      </c>
      <c r="D1175" s="10" t="str">
        <f>"西香菊"</f>
        <v>西香菊</v>
      </c>
      <c r="E1175" s="9" t="str">
        <f t="shared" si="45"/>
        <v>女</v>
      </c>
      <c r="F1175" s="10"/>
    </row>
    <row r="1176" spans="1:6" ht="30" customHeight="1">
      <c r="A1176" s="9">
        <v>1174</v>
      </c>
      <c r="B1176" s="9" t="str">
        <f>"50322023032109003563200"</f>
        <v>50322023032109003563200</v>
      </c>
      <c r="C1176" s="9" t="s">
        <v>80</v>
      </c>
      <c r="D1176" s="10" t="str">
        <f>"陈敏翠"</f>
        <v>陈敏翠</v>
      </c>
      <c r="E1176" s="9" t="str">
        <f t="shared" si="45"/>
        <v>女</v>
      </c>
      <c r="F1176" s="10"/>
    </row>
    <row r="1177" spans="1:6" ht="30" customHeight="1">
      <c r="A1177" s="9">
        <v>1175</v>
      </c>
      <c r="B1177" s="9" t="str">
        <f>"50322023032109033063217"</f>
        <v>50322023032109033063217</v>
      </c>
      <c r="C1177" s="9" t="s">
        <v>80</v>
      </c>
      <c r="D1177" s="10" t="str">
        <f>"李泽"</f>
        <v>李泽</v>
      </c>
      <c r="E1177" s="9" t="str">
        <f t="shared" si="45"/>
        <v>女</v>
      </c>
      <c r="F1177" s="10"/>
    </row>
    <row r="1178" spans="1:6" ht="30" customHeight="1">
      <c r="A1178" s="9">
        <v>1176</v>
      </c>
      <c r="B1178" s="9" t="str">
        <f>"50322023032109055263230"</f>
        <v>50322023032109055263230</v>
      </c>
      <c r="C1178" s="9" t="s">
        <v>80</v>
      </c>
      <c r="D1178" s="10" t="str">
        <f>"黄婕"</f>
        <v>黄婕</v>
      </c>
      <c r="E1178" s="9" t="str">
        <f t="shared" si="45"/>
        <v>女</v>
      </c>
      <c r="F1178" s="10"/>
    </row>
    <row r="1179" spans="1:6" ht="30" customHeight="1">
      <c r="A1179" s="9">
        <v>1177</v>
      </c>
      <c r="B1179" s="9" t="str">
        <f>"50322023032109141963298"</f>
        <v>50322023032109141963298</v>
      </c>
      <c r="C1179" s="9" t="s">
        <v>80</v>
      </c>
      <c r="D1179" s="10" t="str">
        <f>"窦一阳"</f>
        <v>窦一阳</v>
      </c>
      <c r="E1179" s="9" t="str">
        <f t="shared" si="45"/>
        <v>女</v>
      </c>
      <c r="F1179" s="10"/>
    </row>
    <row r="1180" spans="1:6" ht="30" customHeight="1">
      <c r="A1180" s="9">
        <v>1178</v>
      </c>
      <c r="B1180" s="9" t="str">
        <f>"50322023032109400663499"</f>
        <v>50322023032109400663499</v>
      </c>
      <c r="C1180" s="9" t="s">
        <v>80</v>
      </c>
      <c r="D1180" s="10" t="str">
        <f>"许晓周"</f>
        <v>许晓周</v>
      </c>
      <c r="E1180" s="9" t="str">
        <f>"男"</f>
        <v>男</v>
      </c>
      <c r="F1180" s="10"/>
    </row>
    <row r="1181" spans="1:6" ht="30" customHeight="1">
      <c r="A1181" s="9">
        <v>1179</v>
      </c>
      <c r="B1181" s="9" t="str">
        <f>"50322023032110052064008"</f>
        <v>50322023032110052064008</v>
      </c>
      <c r="C1181" s="9" t="s">
        <v>80</v>
      </c>
      <c r="D1181" s="10" t="str">
        <f>"陈雄"</f>
        <v>陈雄</v>
      </c>
      <c r="E1181" s="9" t="str">
        <f>"男"</f>
        <v>男</v>
      </c>
      <c r="F1181" s="10"/>
    </row>
    <row r="1182" spans="1:6" ht="30" customHeight="1">
      <c r="A1182" s="9">
        <v>1180</v>
      </c>
      <c r="B1182" s="9" t="str">
        <f>"50322023032111291864782"</f>
        <v>50322023032111291864782</v>
      </c>
      <c r="C1182" s="9" t="s">
        <v>80</v>
      </c>
      <c r="D1182" s="10" t="str">
        <f>"杨萍"</f>
        <v>杨萍</v>
      </c>
      <c r="E1182" s="9" t="str">
        <f>"女"</f>
        <v>女</v>
      </c>
      <c r="F1182" s="10"/>
    </row>
    <row r="1183" spans="1:6" ht="30" customHeight="1">
      <c r="A1183" s="9">
        <v>1181</v>
      </c>
      <c r="B1183" s="9" t="str">
        <f>"50322023032112430565257"</f>
        <v>50322023032112430565257</v>
      </c>
      <c r="C1183" s="9" t="s">
        <v>80</v>
      </c>
      <c r="D1183" s="10" t="str">
        <f>"谢琼妹"</f>
        <v>谢琼妹</v>
      </c>
      <c r="E1183" s="9" t="str">
        <f>"女"</f>
        <v>女</v>
      </c>
      <c r="F1183" s="10"/>
    </row>
    <row r="1184" spans="1:6" ht="30" customHeight="1">
      <c r="A1184" s="9">
        <v>1182</v>
      </c>
      <c r="B1184" s="9" t="str">
        <f>"50322023032112454365274"</f>
        <v>50322023032112454365274</v>
      </c>
      <c r="C1184" s="9" t="s">
        <v>80</v>
      </c>
      <c r="D1184" s="10" t="str">
        <f>"许桂英"</f>
        <v>许桂英</v>
      </c>
      <c r="E1184" s="9" t="str">
        <f>"女"</f>
        <v>女</v>
      </c>
      <c r="F1184" s="10"/>
    </row>
    <row r="1185" spans="1:6" ht="30" customHeight="1">
      <c r="A1185" s="9">
        <v>1183</v>
      </c>
      <c r="B1185" s="9" t="str">
        <f>"50322023032113041765376"</f>
        <v>50322023032113041765376</v>
      </c>
      <c r="C1185" s="9" t="s">
        <v>80</v>
      </c>
      <c r="D1185" s="10" t="str">
        <f>"符耀芬"</f>
        <v>符耀芬</v>
      </c>
      <c r="E1185" s="9" t="str">
        <f>"女"</f>
        <v>女</v>
      </c>
      <c r="F1185" s="10"/>
    </row>
    <row r="1186" spans="1:6" ht="30" customHeight="1">
      <c r="A1186" s="9">
        <v>1184</v>
      </c>
      <c r="B1186" s="9" t="str">
        <f>"50322023032113043265378"</f>
        <v>50322023032113043265378</v>
      </c>
      <c r="C1186" s="9" t="s">
        <v>80</v>
      </c>
      <c r="D1186" s="10" t="str">
        <f>"钟明吉"</f>
        <v>钟明吉</v>
      </c>
      <c r="E1186" s="9" t="str">
        <f>"女"</f>
        <v>女</v>
      </c>
      <c r="F1186" s="10"/>
    </row>
    <row r="1187" spans="1:6" ht="30" customHeight="1">
      <c r="A1187" s="9">
        <v>1185</v>
      </c>
      <c r="B1187" s="9" t="str">
        <f>"50322023032113302365538"</f>
        <v>50322023032113302365538</v>
      </c>
      <c r="C1187" s="9" t="s">
        <v>80</v>
      </c>
      <c r="D1187" s="10" t="str">
        <f>"陈太保"</f>
        <v>陈太保</v>
      </c>
      <c r="E1187" s="9" t="str">
        <f>"男"</f>
        <v>男</v>
      </c>
      <c r="F1187" s="10"/>
    </row>
    <row r="1188" spans="1:6" ht="30" customHeight="1">
      <c r="A1188" s="9">
        <v>1186</v>
      </c>
      <c r="B1188" s="9" t="str">
        <f>"50322023032114454566004"</f>
        <v>50322023032114454566004</v>
      </c>
      <c r="C1188" s="9" t="s">
        <v>80</v>
      </c>
      <c r="D1188" s="10" t="str">
        <f>"何威"</f>
        <v>何威</v>
      </c>
      <c r="E1188" s="9" t="str">
        <f>"男"</f>
        <v>男</v>
      </c>
      <c r="F1188" s="10"/>
    </row>
    <row r="1189" spans="1:6" ht="30" customHeight="1">
      <c r="A1189" s="9">
        <v>1187</v>
      </c>
      <c r="B1189" s="9" t="str">
        <f>"50322023032115000866092"</f>
        <v>50322023032115000866092</v>
      </c>
      <c r="C1189" s="9" t="s">
        <v>80</v>
      </c>
      <c r="D1189" s="10" t="str">
        <f>"陈丽莹"</f>
        <v>陈丽莹</v>
      </c>
      <c r="E1189" s="9" t="str">
        <f aca="true" t="shared" si="46" ref="E1189:E1194">"女"</f>
        <v>女</v>
      </c>
      <c r="F1189" s="10"/>
    </row>
    <row r="1190" spans="1:6" ht="30" customHeight="1">
      <c r="A1190" s="9">
        <v>1188</v>
      </c>
      <c r="B1190" s="9" t="str">
        <f>"50322023032115001166093"</f>
        <v>50322023032115001166093</v>
      </c>
      <c r="C1190" s="9" t="s">
        <v>80</v>
      </c>
      <c r="D1190" s="10" t="str">
        <f>"王馨竹"</f>
        <v>王馨竹</v>
      </c>
      <c r="E1190" s="9" t="str">
        <f t="shared" si="46"/>
        <v>女</v>
      </c>
      <c r="F1190" s="10"/>
    </row>
    <row r="1191" spans="1:6" ht="30" customHeight="1">
      <c r="A1191" s="9">
        <v>1189</v>
      </c>
      <c r="B1191" s="9" t="str">
        <f>"50322023032115095066147"</f>
        <v>50322023032115095066147</v>
      </c>
      <c r="C1191" s="9" t="s">
        <v>80</v>
      </c>
      <c r="D1191" s="10" t="str">
        <f>"李佩莲"</f>
        <v>李佩莲</v>
      </c>
      <c r="E1191" s="9" t="str">
        <f t="shared" si="46"/>
        <v>女</v>
      </c>
      <c r="F1191" s="10"/>
    </row>
    <row r="1192" spans="1:6" ht="30" customHeight="1">
      <c r="A1192" s="9">
        <v>1190</v>
      </c>
      <c r="B1192" s="9" t="str">
        <f>"50322023032117294567066"</f>
        <v>50322023032117294567066</v>
      </c>
      <c r="C1192" s="9" t="s">
        <v>80</v>
      </c>
      <c r="D1192" s="10" t="str">
        <f>"谢娇艳"</f>
        <v>谢娇艳</v>
      </c>
      <c r="E1192" s="9" t="str">
        <f t="shared" si="46"/>
        <v>女</v>
      </c>
      <c r="F1192" s="10"/>
    </row>
    <row r="1193" spans="1:6" ht="30" customHeight="1">
      <c r="A1193" s="9">
        <v>1191</v>
      </c>
      <c r="B1193" s="9" t="str">
        <f>"50322023032117395267117"</f>
        <v>50322023032117395267117</v>
      </c>
      <c r="C1193" s="9" t="s">
        <v>80</v>
      </c>
      <c r="D1193" s="10" t="str">
        <f>"丁珊珊"</f>
        <v>丁珊珊</v>
      </c>
      <c r="E1193" s="9" t="str">
        <f t="shared" si="46"/>
        <v>女</v>
      </c>
      <c r="F1193" s="10"/>
    </row>
    <row r="1194" spans="1:6" ht="30" customHeight="1">
      <c r="A1194" s="9">
        <v>1192</v>
      </c>
      <c r="B1194" s="9" t="str">
        <f>"50322023032118235967303"</f>
        <v>50322023032118235967303</v>
      </c>
      <c r="C1194" s="9" t="s">
        <v>80</v>
      </c>
      <c r="D1194" s="10" t="str">
        <f>"王芳"</f>
        <v>王芳</v>
      </c>
      <c r="E1194" s="9" t="str">
        <f t="shared" si="46"/>
        <v>女</v>
      </c>
      <c r="F1194" s="11" t="s">
        <v>81</v>
      </c>
    </row>
    <row r="1195" spans="1:6" ht="30" customHeight="1">
      <c r="A1195" s="9">
        <v>1193</v>
      </c>
      <c r="B1195" s="9" t="str">
        <f>"50322023032118581067437"</f>
        <v>50322023032118581067437</v>
      </c>
      <c r="C1195" s="9" t="s">
        <v>80</v>
      </c>
      <c r="D1195" s="10" t="str">
        <f>"陈子南"</f>
        <v>陈子南</v>
      </c>
      <c r="E1195" s="9" t="str">
        <f>"男"</f>
        <v>男</v>
      </c>
      <c r="F1195" s="10"/>
    </row>
    <row r="1196" spans="1:6" ht="30" customHeight="1">
      <c r="A1196" s="9">
        <v>1194</v>
      </c>
      <c r="B1196" s="9" t="str">
        <f>"50322023032119113767490"</f>
        <v>50322023032119113767490</v>
      </c>
      <c r="C1196" s="9" t="s">
        <v>80</v>
      </c>
      <c r="D1196" s="10" t="str">
        <f>"陈楠"</f>
        <v>陈楠</v>
      </c>
      <c r="E1196" s="9" t="str">
        <f>"女"</f>
        <v>女</v>
      </c>
      <c r="F1196" s="10"/>
    </row>
    <row r="1197" spans="1:6" ht="30" customHeight="1">
      <c r="A1197" s="9">
        <v>1195</v>
      </c>
      <c r="B1197" s="9" t="str">
        <f>"50322023032119293267581"</f>
        <v>50322023032119293267581</v>
      </c>
      <c r="C1197" s="9" t="s">
        <v>80</v>
      </c>
      <c r="D1197" s="10" t="str">
        <f>"李高琳"</f>
        <v>李高琳</v>
      </c>
      <c r="E1197" s="9" t="str">
        <f>"女"</f>
        <v>女</v>
      </c>
      <c r="F1197" s="10"/>
    </row>
    <row r="1198" spans="1:6" ht="30" customHeight="1">
      <c r="A1198" s="9">
        <v>1196</v>
      </c>
      <c r="B1198" s="9" t="str">
        <f>"50322023032119375667624"</f>
        <v>50322023032119375667624</v>
      </c>
      <c r="C1198" s="9" t="s">
        <v>80</v>
      </c>
      <c r="D1198" s="10" t="str">
        <f>"王卫娜"</f>
        <v>王卫娜</v>
      </c>
      <c r="E1198" s="9" t="str">
        <f>"女"</f>
        <v>女</v>
      </c>
      <c r="F1198" s="10"/>
    </row>
    <row r="1199" spans="1:6" ht="30" customHeight="1">
      <c r="A1199" s="9">
        <v>1197</v>
      </c>
      <c r="B1199" s="9" t="str">
        <f>"50322023032119460567681"</f>
        <v>50322023032119460567681</v>
      </c>
      <c r="C1199" s="9" t="s">
        <v>80</v>
      </c>
      <c r="D1199" s="10" t="str">
        <f>"陈小雪"</f>
        <v>陈小雪</v>
      </c>
      <c r="E1199" s="9" t="str">
        <f>"女"</f>
        <v>女</v>
      </c>
      <c r="F1199" s="10"/>
    </row>
    <row r="1200" spans="1:6" ht="30" customHeight="1">
      <c r="A1200" s="9">
        <v>1198</v>
      </c>
      <c r="B1200" s="9" t="str">
        <f>"50322023032120390268007"</f>
        <v>50322023032120390268007</v>
      </c>
      <c r="C1200" s="9" t="s">
        <v>80</v>
      </c>
      <c r="D1200" s="10" t="str">
        <f>"杨文娟"</f>
        <v>杨文娟</v>
      </c>
      <c r="E1200" s="9" t="str">
        <f>"女"</f>
        <v>女</v>
      </c>
      <c r="F1200" s="10"/>
    </row>
    <row r="1201" spans="1:6" ht="30" customHeight="1">
      <c r="A1201" s="9">
        <v>1199</v>
      </c>
      <c r="B1201" s="9" t="str">
        <f>"50322023032121195568271"</f>
        <v>50322023032121195568271</v>
      </c>
      <c r="C1201" s="9" t="s">
        <v>80</v>
      </c>
      <c r="D1201" s="10" t="str">
        <f>"石翠文"</f>
        <v>石翠文</v>
      </c>
      <c r="E1201" s="9" t="str">
        <f>"男"</f>
        <v>男</v>
      </c>
      <c r="F1201" s="10"/>
    </row>
    <row r="1202" spans="1:6" ht="30" customHeight="1">
      <c r="A1202" s="9">
        <v>1200</v>
      </c>
      <c r="B1202" s="9" t="str">
        <f>"50322023032121221768289"</f>
        <v>50322023032121221768289</v>
      </c>
      <c r="C1202" s="9" t="s">
        <v>80</v>
      </c>
      <c r="D1202" s="10" t="str">
        <f>"蔡怡欣"</f>
        <v>蔡怡欣</v>
      </c>
      <c r="E1202" s="9" t="str">
        <f aca="true" t="shared" si="47" ref="E1202:E1220">"女"</f>
        <v>女</v>
      </c>
      <c r="F1202" s="10"/>
    </row>
    <row r="1203" spans="1:6" ht="30" customHeight="1">
      <c r="A1203" s="9">
        <v>1201</v>
      </c>
      <c r="B1203" s="9" t="str">
        <f>"50322023032122320068767"</f>
        <v>50322023032122320068767</v>
      </c>
      <c r="C1203" s="9" t="s">
        <v>80</v>
      </c>
      <c r="D1203" s="10" t="str">
        <f>"周家爽"</f>
        <v>周家爽</v>
      </c>
      <c r="E1203" s="9" t="str">
        <f t="shared" si="47"/>
        <v>女</v>
      </c>
      <c r="F1203" s="10"/>
    </row>
    <row r="1204" spans="1:6" ht="30" customHeight="1">
      <c r="A1204" s="9">
        <v>1202</v>
      </c>
      <c r="B1204" s="9" t="str">
        <f>"50322023032122371568804"</f>
        <v>50322023032122371568804</v>
      </c>
      <c r="C1204" s="9" t="s">
        <v>80</v>
      </c>
      <c r="D1204" s="10" t="str">
        <f>"罗孔玲"</f>
        <v>罗孔玲</v>
      </c>
      <c r="E1204" s="9" t="str">
        <f t="shared" si="47"/>
        <v>女</v>
      </c>
      <c r="F1204" s="10"/>
    </row>
    <row r="1205" spans="1:6" ht="30" customHeight="1">
      <c r="A1205" s="9">
        <v>1203</v>
      </c>
      <c r="B1205" s="9" t="str">
        <f>"50322023032200564869247"</f>
        <v>50322023032200564869247</v>
      </c>
      <c r="C1205" s="9" t="s">
        <v>80</v>
      </c>
      <c r="D1205" s="10" t="str">
        <f>"汤茜岚"</f>
        <v>汤茜岚</v>
      </c>
      <c r="E1205" s="9" t="str">
        <f t="shared" si="47"/>
        <v>女</v>
      </c>
      <c r="F1205" s="10"/>
    </row>
    <row r="1206" spans="1:6" ht="30" customHeight="1">
      <c r="A1206" s="9">
        <v>1204</v>
      </c>
      <c r="B1206" s="9" t="str">
        <f>"50322023032207110869308"</f>
        <v>50322023032207110869308</v>
      </c>
      <c r="C1206" s="9" t="s">
        <v>80</v>
      </c>
      <c r="D1206" s="10" t="str">
        <f>"魏雅婷"</f>
        <v>魏雅婷</v>
      </c>
      <c r="E1206" s="9" t="str">
        <f t="shared" si="47"/>
        <v>女</v>
      </c>
      <c r="F1206" s="10"/>
    </row>
    <row r="1207" spans="1:6" ht="30" customHeight="1">
      <c r="A1207" s="9">
        <v>1205</v>
      </c>
      <c r="B1207" s="9" t="str">
        <f>"50322023032209272869626"</f>
        <v>50322023032209272869626</v>
      </c>
      <c r="C1207" s="9" t="s">
        <v>80</v>
      </c>
      <c r="D1207" s="10" t="str">
        <f>"王丹"</f>
        <v>王丹</v>
      </c>
      <c r="E1207" s="9" t="str">
        <f t="shared" si="47"/>
        <v>女</v>
      </c>
      <c r="F1207" s="11" t="s">
        <v>82</v>
      </c>
    </row>
    <row r="1208" spans="1:6" ht="30" customHeight="1">
      <c r="A1208" s="9">
        <v>1206</v>
      </c>
      <c r="B1208" s="9" t="str">
        <f>"50322023032209284169633"</f>
        <v>50322023032209284169633</v>
      </c>
      <c r="C1208" s="9" t="s">
        <v>80</v>
      </c>
      <c r="D1208" s="10" t="str">
        <f>"陈春会"</f>
        <v>陈春会</v>
      </c>
      <c r="E1208" s="9" t="str">
        <f t="shared" si="47"/>
        <v>女</v>
      </c>
      <c r="F1208" s="10"/>
    </row>
    <row r="1209" spans="1:6" ht="30" customHeight="1">
      <c r="A1209" s="9">
        <v>1207</v>
      </c>
      <c r="B1209" s="9" t="str">
        <f>"50322023032210120869900"</f>
        <v>50322023032210120869900</v>
      </c>
      <c r="C1209" s="9" t="s">
        <v>80</v>
      </c>
      <c r="D1209" s="10" t="str">
        <f>"翁鳗莉"</f>
        <v>翁鳗莉</v>
      </c>
      <c r="E1209" s="9" t="str">
        <f t="shared" si="47"/>
        <v>女</v>
      </c>
      <c r="F1209" s="10"/>
    </row>
    <row r="1210" spans="1:6" ht="30" customHeight="1">
      <c r="A1210" s="9">
        <v>1208</v>
      </c>
      <c r="B1210" s="9" t="str">
        <f>"50322023032212213670823"</f>
        <v>50322023032212213670823</v>
      </c>
      <c r="C1210" s="9" t="s">
        <v>80</v>
      </c>
      <c r="D1210" s="10" t="str">
        <f>"李鹏玉"</f>
        <v>李鹏玉</v>
      </c>
      <c r="E1210" s="9" t="str">
        <f t="shared" si="47"/>
        <v>女</v>
      </c>
      <c r="F1210" s="10"/>
    </row>
    <row r="1211" spans="1:6" ht="30" customHeight="1">
      <c r="A1211" s="9">
        <v>1209</v>
      </c>
      <c r="B1211" s="9" t="str">
        <f>"50322023032215335772211"</f>
        <v>50322023032215335772211</v>
      </c>
      <c r="C1211" s="9" t="s">
        <v>80</v>
      </c>
      <c r="D1211" s="10" t="str">
        <f>"黄园园"</f>
        <v>黄园园</v>
      </c>
      <c r="E1211" s="9" t="str">
        <f t="shared" si="47"/>
        <v>女</v>
      </c>
      <c r="F1211" s="10"/>
    </row>
    <row r="1212" spans="1:6" ht="30" customHeight="1">
      <c r="A1212" s="9">
        <v>1210</v>
      </c>
      <c r="B1212" s="9" t="str">
        <f>"50322023032216115572565"</f>
        <v>50322023032216115572565</v>
      </c>
      <c r="C1212" s="9" t="s">
        <v>80</v>
      </c>
      <c r="D1212" s="10" t="str">
        <f>"蔡爱芳"</f>
        <v>蔡爱芳</v>
      </c>
      <c r="E1212" s="9" t="str">
        <f t="shared" si="47"/>
        <v>女</v>
      </c>
      <c r="F1212" s="10"/>
    </row>
    <row r="1213" spans="1:6" ht="30" customHeight="1">
      <c r="A1213" s="9">
        <v>1211</v>
      </c>
      <c r="B1213" s="9" t="str">
        <f>"50322023032216392672812"</f>
        <v>50322023032216392672812</v>
      </c>
      <c r="C1213" s="9" t="s">
        <v>80</v>
      </c>
      <c r="D1213" s="10" t="str">
        <f>"黄春瑜"</f>
        <v>黄春瑜</v>
      </c>
      <c r="E1213" s="9" t="str">
        <f t="shared" si="47"/>
        <v>女</v>
      </c>
      <c r="F1213" s="10"/>
    </row>
    <row r="1214" spans="1:6" ht="30" customHeight="1">
      <c r="A1214" s="9">
        <v>1212</v>
      </c>
      <c r="B1214" s="9" t="str">
        <f>"50322023032217511973075"</f>
        <v>50322023032217511973075</v>
      </c>
      <c r="C1214" s="9" t="s">
        <v>80</v>
      </c>
      <c r="D1214" s="10" t="str">
        <f>"韩美"</f>
        <v>韩美</v>
      </c>
      <c r="E1214" s="9" t="str">
        <f t="shared" si="47"/>
        <v>女</v>
      </c>
      <c r="F1214" s="10"/>
    </row>
    <row r="1215" spans="1:6" ht="30" customHeight="1">
      <c r="A1215" s="9">
        <v>1213</v>
      </c>
      <c r="B1215" s="9" t="str">
        <f>"50322023032218334173160"</f>
        <v>50322023032218334173160</v>
      </c>
      <c r="C1215" s="9" t="s">
        <v>80</v>
      </c>
      <c r="D1215" s="10" t="str">
        <f>"陈怡予"</f>
        <v>陈怡予</v>
      </c>
      <c r="E1215" s="9" t="str">
        <f t="shared" si="47"/>
        <v>女</v>
      </c>
      <c r="F1215" s="10"/>
    </row>
    <row r="1216" spans="1:6" ht="30" customHeight="1">
      <c r="A1216" s="9">
        <v>1214</v>
      </c>
      <c r="B1216" s="9" t="str">
        <f>"50322023032219433673275"</f>
        <v>50322023032219433673275</v>
      </c>
      <c r="C1216" s="9" t="s">
        <v>80</v>
      </c>
      <c r="D1216" s="10" t="str">
        <f>"朱奕霞"</f>
        <v>朱奕霞</v>
      </c>
      <c r="E1216" s="9" t="str">
        <f t="shared" si="47"/>
        <v>女</v>
      </c>
      <c r="F1216" s="10"/>
    </row>
    <row r="1217" spans="1:6" ht="30" customHeight="1">
      <c r="A1217" s="9">
        <v>1215</v>
      </c>
      <c r="B1217" s="9" t="str">
        <f>"50322023032221035673442"</f>
        <v>50322023032221035673442</v>
      </c>
      <c r="C1217" s="9" t="s">
        <v>80</v>
      </c>
      <c r="D1217" s="10" t="str">
        <f>"陈孟紫"</f>
        <v>陈孟紫</v>
      </c>
      <c r="E1217" s="9" t="str">
        <f t="shared" si="47"/>
        <v>女</v>
      </c>
      <c r="F1217" s="10"/>
    </row>
    <row r="1218" spans="1:6" ht="30" customHeight="1">
      <c r="A1218" s="9">
        <v>1216</v>
      </c>
      <c r="B1218" s="9" t="str">
        <f>"50322023032223020073680"</f>
        <v>50322023032223020073680</v>
      </c>
      <c r="C1218" s="9" t="s">
        <v>80</v>
      </c>
      <c r="D1218" s="10" t="str">
        <f>"谢辉暖"</f>
        <v>谢辉暖</v>
      </c>
      <c r="E1218" s="9" t="str">
        <f t="shared" si="47"/>
        <v>女</v>
      </c>
      <c r="F1218" s="10"/>
    </row>
    <row r="1219" spans="1:6" ht="30" customHeight="1">
      <c r="A1219" s="9">
        <v>1217</v>
      </c>
      <c r="B1219" s="9" t="str">
        <f>"50322023032223082673697"</f>
        <v>50322023032223082673697</v>
      </c>
      <c r="C1219" s="9" t="s">
        <v>80</v>
      </c>
      <c r="D1219" s="10" t="str">
        <f>"李慕君"</f>
        <v>李慕君</v>
      </c>
      <c r="E1219" s="9" t="str">
        <f t="shared" si="47"/>
        <v>女</v>
      </c>
      <c r="F1219" s="10"/>
    </row>
    <row r="1220" spans="1:6" ht="30" customHeight="1">
      <c r="A1220" s="9">
        <v>1218</v>
      </c>
      <c r="B1220" s="9" t="str">
        <f>"50322023032223260773722"</f>
        <v>50322023032223260773722</v>
      </c>
      <c r="C1220" s="9" t="s">
        <v>80</v>
      </c>
      <c r="D1220" s="10" t="str">
        <f>"许菁君"</f>
        <v>许菁君</v>
      </c>
      <c r="E1220" s="9" t="str">
        <f t="shared" si="47"/>
        <v>女</v>
      </c>
      <c r="F1220" s="10"/>
    </row>
    <row r="1221" spans="1:6" ht="30" customHeight="1">
      <c r="A1221" s="9">
        <v>1219</v>
      </c>
      <c r="B1221" s="9" t="str">
        <f>"50322023032308485473849"</f>
        <v>50322023032308485473849</v>
      </c>
      <c r="C1221" s="9" t="s">
        <v>80</v>
      </c>
      <c r="D1221" s="10" t="str">
        <f>"陈亚孝"</f>
        <v>陈亚孝</v>
      </c>
      <c r="E1221" s="9" t="str">
        <f>"男"</f>
        <v>男</v>
      </c>
      <c r="F1221" s="10"/>
    </row>
    <row r="1222" spans="1:6" ht="30" customHeight="1">
      <c r="A1222" s="9">
        <v>1220</v>
      </c>
      <c r="B1222" s="9" t="str">
        <f>"50322023032310270074056"</f>
        <v>50322023032310270074056</v>
      </c>
      <c r="C1222" s="9" t="s">
        <v>80</v>
      </c>
      <c r="D1222" s="10" t="str">
        <f>"李娇木"</f>
        <v>李娇木</v>
      </c>
      <c r="E1222" s="9" t="str">
        <f>"女"</f>
        <v>女</v>
      </c>
      <c r="F1222" s="10"/>
    </row>
    <row r="1223" spans="1:6" ht="30" customHeight="1">
      <c r="A1223" s="9">
        <v>1221</v>
      </c>
      <c r="B1223" s="9" t="str">
        <f>"50322023032312523474388"</f>
        <v>50322023032312523474388</v>
      </c>
      <c r="C1223" s="9" t="s">
        <v>80</v>
      </c>
      <c r="D1223" s="10" t="str">
        <f>"蒙博珍"</f>
        <v>蒙博珍</v>
      </c>
      <c r="E1223" s="9" t="str">
        <f>"女"</f>
        <v>女</v>
      </c>
      <c r="F1223" s="10"/>
    </row>
    <row r="1224" spans="1:6" ht="30" customHeight="1">
      <c r="A1224" s="9">
        <v>1222</v>
      </c>
      <c r="B1224" s="9" t="str">
        <f>"50322023032315423774651"</f>
        <v>50322023032315423774651</v>
      </c>
      <c r="C1224" s="9" t="s">
        <v>80</v>
      </c>
      <c r="D1224" s="10" t="str">
        <f>"陈荟朱"</f>
        <v>陈荟朱</v>
      </c>
      <c r="E1224" s="9" t="str">
        <f>"女"</f>
        <v>女</v>
      </c>
      <c r="F1224" s="10"/>
    </row>
    <row r="1225" spans="1:6" ht="30" customHeight="1">
      <c r="A1225" s="9">
        <v>1223</v>
      </c>
      <c r="B1225" s="9" t="str">
        <f>"50322023032317070474839"</f>
        <v>50322023032317070474839</v>
      </c>
      <c r="C1225" s="9" t="s">
        <v>80</v>
      </c>
      <c r="D1225" s="10" t="str">
        <f>"吴君"</f>
        <v>吴君</v>
      </c>
      <c r="E1225" s="9" t="str">
        <f>"女"</f>
        <v>女</v>
      </c>
      <c r="F1225" s="10"/>
    </row>
    <row r="1226" spans="1:6" ht="30" customHeight="1">
      <c r="A1226" s="9">
        <v>1224</v>
      </c>
      <c r="B1226" s="9" t="str">
        <f>"50322023032317395074883"</f>
        <v>50322023032317395074883</v>
      </c>
      <c r="C1226" s="9" t="s">
        <v>80</v>
      </c>
      <c r="D1226" s="10" t="str">
        <f>"李慧敏"</f>
        <v>李慧敏</v>
      </c>
      <c r="E1226" s="9" t="str">
        <f>"女"</f>
        <v>女</v>
      </c>
      <c r="F1226" s="10"/>
    </row>
    <row r="1227" spans="1:6" ht="30" customHeight="1">
      <c r="A1227" s="9">
        <v>1225</v>
      </c>
      <c r="B1227" s="9" t="str">
        <f>"50322023032320512775113"</f>
        <v>50322023032320512775113</v>
      </c>
      <c r="C1227" s="9" t="s">
        <v>80</v>
      </c>
      <c r="D1227" s="10" t="str">
        <f>"杨兴"</f>
        <v>杨兴</v>
      </c>
      <c r="E1227" s="9" t="str">
        <f>"男"</f>
        <v>男</v>
      </c>
      <c r="F1227" s="10"/>
    </row>
    <row r="1228" spans="1:6" ht="30" customHeight="1">
      <c r="A1228" s="9">
        <v>1226</v>
      </c>
      <c r="B1228" s="9" t="str">
        <f>"50322023032408472375424"</f>
        <v>50322023032408472375424</v>
      </c>
      <c r="C1228" s="9" t="s">
        <v>80</v>
      </c>
      <c r="D1228" s="10" t="str">
        <f>"廖思思"</f>
        <v>廖思思</v>
      </c>
      <c r="E1228" s="9" t="str">
        <f>"女"</f>
        <v>女</v>
      </c>
      <c r="F1228" s="10"/>
    </row>
    <row r="1229" spans="1:6" ht="30" customHeight="1">
      <c r="A1229" s="9">
        <v>1227</v>
      </c>
      <c r="B1229" s="9" t="str">
        <f>"50322023032410202875560"</f>
        <v>50322023032410202875560</v>
      </c>
      <c r="C1229" s="9" t="s">
        <v>80</v>
      </c>
      <c r="D1229" s="10" t="str">
        <f>"范冰冰"</f>
        <v>范冰冰</v>
      </c>
      <c r="E1229" s="9" t="str">
        <f>"女"</f>
        <v>女</v>
      </c>
      <c r="F1229" s="10"/>
    </row>
    <row r="1230" spans="1:6" ht="30" customHeight="1">
      <c r="A1230" s="9">
        <v>1228</v>
      </c>
      <c r="B1230" s="9" t="str">
        <f>"50322023032410442275596"</f>
        <v>50322023032410442275596</v>
      </c>
      <c r="C1230" s="9" t="s">
        <v>80</v>
      </c>
      <c r="D1230" s="10" t="str">
        <f>"蔡蕾"</f>
        <v>蔡蕾</v>
      </c>
      <c r="E1230" s="9" t="str">
        <f>"女"</f>
        <v>女</v>
      </c>
      <c r="F1230" s="10"/>
    </row>
    <row r="1231" spans="1:6" ht="30" customHeight="1">
      <c r="A1231" s="9">
        <v>1229</v>
      </c>
      <c r="B1231" s="9" t="str">
        <f>"50322023032412064175709"</f>
        <v>50322023032412064175709</v>
      </c>
      <c r="C1231" s="9" t="s">
        <v>80</v>
      </c>
      <c r="D1231" s="10" t="str">
        <f>"庞彦婷"</f>
        <v>庞彦婷</v>
      </c>
      <c r="E1231" s="9" t="str">
        <f>"女"</f>
        <v>女</v>
      </c>
      <c r="F1231" s="10"/>
    </row>
    <row r="1232" spans="1:6" ht="30" customHeight="1">
      <c r="A1232" s="9">
        <v>1230</v>
      </c>
      <c r="B1232" s="9" t="str">
        <f>"50322023032412193375734"</f>
        <v>50322023032412193375734</v>
      </c>
      <c r="C1232" s="9" t="s">
        <v>80</v>
      </c>
      <c r="D1232" s="10" t="str">
        <f>"符伟"</f>
        <v>符伟</v>
      </c>
      <c r="E1232" s="9" t="str">
        <f>"男"</f>
        <v>男</v>
      </c>
      <c r="F1232" s="10"/>
    </row>
    <row r="1233" spans="1:6" ht="30" customHeight="1">
      <c r="A1233" s="9">
        <v>1231</v>
      </c>
      <c r="B1233" s="9" t="str">
        <f>"50322023032412392175762"</f>
        <v>50322023032412392175762</v>
      </c>
      <c r="C1233" s="9" t="s">
        <v>80</v>
      </c>
      <c r="D1233" s="10" t="str">
        <f>"王兰"</f>
        <v>王兰</v>
      </c>
      <c r="E1233" s="9" t="str">
        <f aca="true" t="shared" si="48" ref="E1233:E1244">"女"</f>
        <v>女</v>
      </c>
      <c r="F1233" s="10"/>
    </row>
    <row r="1234" spans="1:6" ht="30" customHeight="1">
      <c r="A1234" s="9">
        <v>1232</v>
      </c>
      <c r="B1234" s="9" t="str">
        <f>"50322023032414420075925"</f>
        <v>50322023032414420075925</v>
      </c>
      <c r="C1234" s="9" t="s">
        <v>80</v>
      </c>
      <c r="D1234" s="10" t="str">
        <f>"牛龙妹"</f>
        <v>牛龙妹</v>
      </c>
      <c r="E1234" s="9" t="str">
        <f t="shared" si="48"/>
        <v>女</v>
      </c>
      <c r="F1234" s="10"/>
    </row>
    <row r="1235" spans="1:6" ht="30" customHeight="1">
      <c r="A1235" s="9">
        <v>1233</v>
      </c>
      <c r="B1235" s="9" t="str">
        <f>"50322023032418460276225"</f>
        <v>50322023032418460276225</v>
      </c>
      <c r="C1235" s="9" t="s">
        <v>80</v>
      </c>
      <c r="D1235" s="10" t="str">
        <f>"陈敏珠"</f>
        <v>陈敏珠</v>
      </c>
      <c r="E1235" s="9" t="str">
        <f t="shared" si="48"/>
        <v>女</v>
      </c>
      <c r="F1235" s="10"/>
    </row>
    <row r="1236" spans="1:6" ht="30" customHeight="1">
      <c r="A1236" s="9">
        <v>1234</v>
      </c>
      <c r="B1236" s="9" t="str">
        <f>"50322023032419581276286"</f>
        <v>50322023032419581276286</v>
      </c>
      <c r="C1236" s="9" t="s">
        <v>80</v>
      </c>
      <c r="D1236" s="10" t="str">
        <f>"林艳珍"</f>
        <v>林艳珍</v>
      </c>
      <c r="E1236" s="9" t="str">
        <f t="shared" si="48"/>
        <v>女</v>
      </c>
      <c r="F1236" s="10"/>
    </row>
    <row r="1237" spans="1:6" ht="30" customHeight="1">
      <c r="A1237" s="9">
        <v>1235</v>
      </c>
      <c r="B1237" s="9" t="str">
        <f>"50322023032420372176323"</f>
        <v>50322023032420372176323</v>
      </c>
      <c r="C1237" s="9" t="s">
        <v>80</v>
      </c>
      <c r="D1237" s="10" t="str">
        <f>"王娆婧"</f>
        <v>王娆婧</v>
      </c>
      <c r="E1237" s="9" t="str">
        <f t="shared" si="48"/>
        <v>女</v>
      </c>
      <c r="F1237" s="10"/>
    </row>
    <row r="1238" spans="1:6" ht="30" customHeight="1">
      <c r="A1238" s="9">
        <v>1236</v>
      </c>
      <c r="B1238" s="9" t="str">
        <f>"50322023032420552876343"</f>
        <v>50322023032420552876343</v>
      </c>
      <c r="C1238" s="9" t="s">
        <v>80</v>
      </c>
      <c r="D1238" s="10" t="str">
        <f>"谢芸妃"</f>
        <v>谢芸妃</v>
      </c>
      <c r="E1238" s="9" t="str">
        <f t="shared" si="48"/>
        <v>女</v>
      </c>
      <c r="F1238" s="10"/>
    </row>
    <row r="1239" spans="1:6" ht="30" customHeight="1">
      <c r="A1239" s="9">
        <v>1237</v>
      </c>
      <c r="B1239" s="9" t="str">
        <f>"50322023032421300876375"</f>
        <v>50322023032421300876375</v>
      </c>
      <c r="C1239" s="9" t="s">
        <v>80</v>
      </c>
      <c r="D1239" s="10" t="str">
        <f>"黄日春"</f>
        <v>黄日春</v>
      </c>
      <c r="E1239" s="9" t="str">
        <f t="shared" si="48"/>
        <v>女</v>
      </c>
      <c r="F1239" s="10"/>
    </row>
    <row r="1240" spans="1:6" ht="30" customHeight="1">
      <c r="A1240" s="9">
        <v>1238</v>
      </c>
      <c r="B1240" s="9" t="str">
        <f>"50322023032423123876449"</f>
        <v>50322023032423123876449</v>
      </c>
      <c r="C1240" s="9" t="s">
        <v>80</v>
      </c>
      <c r="D1240" s="10" t="str">
        <f>"张雪"</f>
        <v>张雪</v>
      </c>
      <c r="E1240" s="9" t="str">
        <f t="shared" si="48"/>
        <v>女</v>
      </c>
      <c r="F1240" s="11" t="s">
        <v>83</v>
      </c>
    </row>
    <row r="1241" spans="1:6" ht="30" customHeight="1">
      <c r="A1241" s="9">
        <v>1239</v>
      </c>
      <c r="B1241" s="9" t="str">
        <f>"50322023032508160876506"</f>
        <v>50322023032508160876506</v>
      </c>
      <c r="C1241" s="9" t="s">
        <v>80</v>
      </c>
      <c r="D1241" s="10" t="str">
        <f>"李丽萍"</f>
        <v>李丽萍</v>
      </c>
      <c r="E1241" s="9" t="str">
        <f t="shared" si="48"/>
        <v>女</v>
      </c>
      <c r="F1241" s="10"/>
    </row>
    <row r="1242" spans="1:6" ht="30" customHeight="1">
      <c r="A1242" s="9">
        <v>1240</v>
      </c>
      <c r="B1242" s="9" t="str">
        <f>"50322023032509360776542"</f>
        <v>50322023032509360776542</v>
      </c>
      <c r="C1242" s="9" t="s">
        <v>80</v>
      </c>
      <c r="D1242" s="10" t="str">
        <f>"刘星云"</f>
        <v>刘星云</v>
      </c>
      <c r="E1242" s="9" t="str">
        <f t="shared" si="48"/>
        <v>女</v>
      </c>
      <c r="F1242" s="10"/>
    </row>
    <row r="1243" spans="1:6" ht="30" customHeight="1">
      <c r="A1243" s="9">
        <v>1241</v>
      </c>
      <c r="B1243" s="9" t="str">
        <f>"50322023032514261576853"</f>
        <v>50322023032514261576853</v>
      </c>
      <c r="C1243" s="9" t="s">
        <v>80</v>
      </c>
      <c r="D1243" s="10" t="str">
        <f>"秦梦婷"</f>
        <v>秦梦婷</v>
      </c>
      <c r="E1243" s="9" t="str">
        <f t="shared" si="48"/>
        <v>女</v>
      </c>
      <c r="F1243" s="10"/>
    </row>
    <row r="1244" spans="1:6" ht="30" customHeight="1">
      <c r="A1244" s="9">
        <v>1242</v>
      </c>
      <c r="B1244" s="9" t="str">
        <f>"50322023032517124877020"</f>
        <v>50322023032517124877020</v>
      </c>
      <c r="C1244" s="9" t="s">
        <v>80</v>
      </c>
      <c r="D1244" s="10" t="str">
        <f>"陈卓"</f>
        <v>陈卓</v>
      </c>
      <c r="E1244" s="9" t="str">
        <f t="shared" si="48"/>
        <v>女</v>
      </c>
      <c r="F1244" s="10"/>
    </row>
    <row r="1245" spans="1:6" ht="30" customHeight="1">
      <c r="A1245" s="9">
        <v>1243</v>
      </c>
      <c r="B1245" s="9" t="str">
        <f>"50322023032519500577094"</f>
        <v>50322023032519500577094</v>
      </c>
      <c r="C1245" s="9" t="s">
        <v>80</v>
      </c>
      <c r="D1245" s="10" t="str">
        <f>"张祖波"</f>
        <v>张祖波</v>
      </c>
      <c r="E1245" s="9" t="str">
        <f>"男"</f>
        <v>男</v>
      </c>
      <c r="F1245" s="10"/>
    </row>
    <row r="1246" spans="1:6" ht="30" customHeight="1">
      <c r="A1246" s="9">
        <v>1244</v>
      </c>
      <c r="B1246" s="9" t="str">
        <f>"50322023032521273577150"</f>
        <v>50322023032521273577150</v>
      </c>
      <c r="C1246" s="9" t="s">
        <v>80</v>
      </c>
      <c r="D1246" s="10" t="str">
        <f>"赵婉屹"</f>
        <v>赵婉屹</v>
      </c>
      <c r="E1246" s="9" t="str">
        <f aca="true" t="shared" si="49" ref="E1246:E1255">"女"</f>
        <v>女</v>
      </c>
      <c r="F1246" s="10"/>
    </row>
    <row r="1247" spans="1:6" ht="30" customHeight="1">
      <c r="A1247" s="9">
        <v>1245</v>
      </c>
      <c r="B1247" s="9" t="str">
        <f>"50322023032522224777183"</f>
        <v>50322023032522224777183</v>
      </c>
      <c r="C1247" s="9" t="s">
        <v>80</v>
      </c>
      <c r="D1247" s="10" t="str">
        <f>"赵美娜"</f>
        <v>赵美娜</v>
      </c>
      <c r="E1247" s="9" t="str">
        <f t="shared" si="49"/>
        <v>女</v>
      </c>
      <c r="F1247" s="10"/>
    </row>
    <row r="1248" spans="1:6" ht="30" customHeight="1">
      <c r="A1248" s="9">
        <v>1246</v>
      </c>
      <c r="B1248" s="9" t="str">
        <f>"50322023032523224977208"</f>
        <v>50322023032523224977208</v>
      </c>
      <c r="C1248" s="9" t="s">
        <v>80</v>
      </c>
      <c r="D1248" s="10" t="str">
        <f>"王丽"</f>
        <v>王丽</v>
      </c>
      <c r="E1248" s="9" t="str">
        <f t="shared" si="49"/>
        <v>女</v>
      </c>
      <c r="F1248" s="10"/>
    </row>
    <row r="1249" spans="1:6" ht="30" customHeight="1">
      <c r="A1249" s="9">
        <v>1247</v>
      </c>
      <c r="B1249" s="9" t="str">
        <f>"50322023032523395177219"</f>
        <v>50322023032523395177219</v>
      </c>
      <c r="C1249" s="9" t="s">
        <v>80</v>
      </c>
      <c r="D1249" s="10" t="str">
        <f>"董小爱"</f>
        <v>董小爱</v>
      </c>
      <c r="E1249" s="9" t="str">
        <f t="shared" si="49"/>
        <v>女</v>
      </c>
      <c r="F1249" s="10"/>
    </row>
    <row r="1250" spans="1:6" ht="30" customHeight="1">
      <c r="A1250" s="9">
        <v>1248</v>
      </c>
      <c r="B1250" s="9" t="str">
        <f>"50322023032611020477316"</f>
        <v>50322023032611020477316</v>
      </c>
      <c r="C1250" s="9" t="s">
        <v>80</v>
      </c>
      <c r="D1250" s="10" t="str">
        <f>"李春月"</f>
        <v>李春月</v>
      </c>
      <c r="E1250" s="9" t="str">
        <f t="shared" si="49"/>
        <v>女</v>
      </c>
      <c r="F1250" s="10"/>
    </row>
    <row r="1251" spans="1:6" ht="30" customHeight="1">
      <c r="A1251" s="9">
        <v>1249</v>
      </c>
      <c r="B1251" s="9" t="str">
        <f>"50322023032612080277346"</f>
        <v>50322023032612080277346</v>
      </c>
      <c r="C1251" s="9" t="s">
        <v>80</v>
      </c>
      <c r="D1251" s="10" t="str">
        <f>"于晓旭"</f>
        <v>于晓旭</v>
      </c>
      <c r="E1251" s="9" t="str">
        <f t="shared" si="49"/>
        <v>女</v>
      </c>
      <c r="F1251" s="10"/>
    </row>
    <row r="1252" spans="1:6" ht="30" customHeight="1">
      <c r="A1252" s="9">
        <v>1250</v>
      </c>
      <c r="B1252" s="9" t="str">
        <f>"50322023032618585277572"</f>
        <v>50322023032618585277572</v>
      </c>
      <c r="C1252" s="9" t="s">
        <v>80</v>
      </c>
      <c r="D1252" s="10" t="str">
        <f>"邹银银"</f>
        <v>邹银银</v>
      </c>
      <c r="E1252" s="9" t="str">
        <f t="shared" si="49"/>
        <v>女</v>
      </c>
      <c r="F1252" s="10"/>
    </row>
    <row r="1253" spans="1:6" ht="30" customHeight="1">
      <c r="A1253" s="9">
        <v>1251</v>
      </c>
      <c r="B1253" s="9" t="str">
        <f>"50322023032621574277685"</f>
        <v>50322023032621574277685</v>
      </c>
      <c r="C1253" s="9" t="s">
        <v>80</v>
      </c>
      <c r="D1253" s="10" t="str">
        <f>"阮琼霞"</f>
        <v>阮琼霞</v>
      </c>
      <c r="E1253" s="9" t="str">
        <f t="shared" si="49"/>
        <v>女</v>
      </c>
      <c r="F1253" s="10"/>
    </row>
    <row r="1254" spans="1:6" ht="30" customHeight="1">
      <c r="A1254" s="9">
        <v>1252</v>
      </c>
      <c r="B1254" s="9" t="str">
        <f>"50322023032709061377853"</f>
        <v>50322023032709061377853</v>
      </c>
      <c r="C1254" s="9" t="s">
        <v>80</v>
      </c>
      <c r="D1254" s="10" t="str">
        <f>"邢丽君"</f>
        <v>邢丽君</v>
      </c>
      <c r="E1254" s="9" t="str">
        <f t="shared" si="49"/>
        <v>女</v>
      </c>
      <c r="F1254" s="10"/>
    </row>
    <row r="1255" spans="1:6" ht="30" customHeight="1">
      <c r="A1255" s="9">
        <v>1253</v>
      </c>
      <c r="B1255" s="9" t="str">
        <f>"50322023032709141177873"</f>
        <v>50322023032709141177873</v>
      </c>
      <c r="C1255" s="9" t="s">
        <v>80</v>
      </c>
      <c r="D1255" s="10" t="str">
        <f>"唐青霞"</f>
        <v>唐青霞</v>
      </c>
      <c r="E1255" s="9" t="str">
        <f t="shared" si="49"/>
        <v>女</v>
      </c>
      <c r="F1255" s="10"/>
    </row>
    <row r="1256" spans="1:6" ht="30" customHeight="1">
      <c r="A1256" s="9">
        <v>1254</v>
      </c>
      <c r="B1256" s="9" t="str">
        <f>"50322023032709262077904"</f>
        <v>50322023032709262077904</v>
      </c>
      <c r="C1256" s="9" t="s">
        <v>80</v>
      </c>
      <c r="D1256" s="10" t="str">
        <f>"吴清海"</f>
        <v>吴清海</v>
      </c>
      <c r="E1256" s="9" t="str">
        <f>"男"</f>
        <v>男</v>
      </c>
      <c r="F1256" s="10"/>
    </row>
    <row r="1257" spans="1:6" ht="30" customHeight="1">
      <c r="A1257" s="9">
        <v>1255</v>
      </c>
      <c r="B1257" s="9" t="str">
        <f>"50322023032710344078046"</f>
        <v>50322023032710344078046</v>
      </c>
      <c r="C1257" s="9" t="s">
        <v>80</v>
      </c>
      <c r="D1257" s="10" t="str">
        <f>"李雅茜"</f>
        <v>李雅茜</v>
      </c>
      <c r="E1257" s="9" t="str">
        <f aca="true" t="shared" si="50" ref="E1257:E1272">"女"</f>
        <v>女</v>
      </c>
      <c r="F1257" s="10"/>
    </row>
    <row r="1258" spans="1:6" ht="30" customHeight="1">
      <c r="A1258" s="9">
        <v>1256</v>
      </c>
      <c r="B1258" s="9" t="str">
        <f>"50322023032710354078048"</f>
        <v>50322023032710354078048</v>
      </c>
      <c r="C1258" s="9" t="s">
        <v>80</v>
      </c>
      <c r="D1258" s="10" t="str">
        <f>"吴福慧"</f>
        <v>吴福慧</v>
      </c>
      <c r="E1258" s="9" t="str">
        <f t="shared" si="50"/>
        <v>女</v>
      </c>
      <c r="F1258" s="10"/>
    </row>
    <row r="1259" spans="1:6" ht="30" customHeight="1">
      <c r="A1259" s="9">
        <v>1257</v>
      </c>
      <c r="B1259" s="9" t="str">
        <f>"50322023032712463778255"</f>
        <v>50322023032712463778255</v>
      </c>
      <c r="C1259" s="9" t="s">
        <v>80</v>
      </c>
      <c r="D1259" s="10" t="str">
        <f>"边越"</f>
        <v>边越</v>
      </c>
      <c r="E1259" s="9" t="str">
        <f t="shared" si="50"/>
        <v>女</v>
      </c>
      <c r="F1259" s="10"/>
    </row>
    <row r="1260" spans="1:6" ht="30" customHeight="1">
      <c r="A1260" s="9">
        <v>1258</v>
      </c>
      <c r="B1260" s="9" t="str">
        <f>"50322023032713030978278"</f>
        <v>50322023032713030978278</v>
      </c>
      <c r="C1260" s="9" t="s">
        <v>80</v>
      </c>
      <c r="D1260" s="10" t="str">
        <f>"吴晓颜"</f>
        <v>吴晓颜</v>
      </c>
      <c r="E1260" s="9" t="str">
        <f t="shared" si="50"/>
        <v>女</v>
      </c>
      <c r="F1260" s="10"/>
    </row>
    <row r="1261" spans="1:6" ht="30" customHeight="1">
      <c r="A1261" s="9">
        <v>1259</v>
      </c>
      <c r="B1261" s="9" t="str">
        <f>"50322023032713305678312"</f>
        <v>50322023032713305678312</v>
      </c>
      <c r="C1261" s="9" t="s">
        <v>80</v>
      </c>
      <c r="D1261" s="10" t="str">
        <f>"梁宇"</f>
        <v>梁宇</v>
      </c>
      <c r="E1261" s="9" t="str">
        <f t="shared" si="50"/>
        <v>女</v>
      </c>
      <c r="F1261" s="10"/>
    </row>
    <row r="1262" spans="1:6" ht="30" customHeight="1">
      <c r="A1262" s="9">
        <v>1260</v>
      </c>
      <c r="B1262" s="9" t="str">
        <f>"50322023032715542578484"</f>
        <v>50322023032715542578484</v>
      </c>
      <c r="C1262" s="9" t="s">
        <v>80</v>
      </c>
      <c r="D1262" s="10" t="str">
        <f>"姜徐"</f>
        <v>姜徐</v>
      </c>
      <c r="E1262" s="9" t="str">
        <f t="shared" si="50"/>
        <v>女</v>
      </c>
      <c r="F1262" s="10"/>
    </row>
    <row r="1263" spans="1:6" ht="30" customHeight="1">
      <c r="A1263" s="9">
        <v>1261</v>
      </c>
      <c r="B1263" s="9" t="str">
        <f>"50322023032718532878707"</f>
        <v>50322023032718532878707</v>
      </c>
      <c r="C1263" s="9" t="s">
        <v>80</v>
      </c>
      <c r="D1263" s="10" t="str">
        <f>"冯彩莲"</f>
        <v>冯彩莲</v>
      </c>
      <c r="E1263" s="9" t="str">
        <f t="shared" si="50"/>
        <v>女</v>
      </c>
      <c r="F1263" s="10"/>
    </row>
    <row r="1264" spans="1:6" ht="30" customHeight="1">
      <c r="A1264" s="9">
        <v>1262</v>
      </c>
      <c r="B1264" s="9" t="str">
        <f>"50322023032719090278718"</f>
        <v>50322023032719090278718</v>
      </c>
      <c r="C1264" s="9" t="s">
        <v>80</v>
      </c>
      <c r="D1264" s="10" t="str">
        <f>"杨小叶"</f>
        <v>杨小叶</v>
      </c>
      <c r="E1264" s="9" t="str">
        <f t="shared" si="50"/>
        <v>女</v>
      </c>
      <c r="F1264" s="10"/>
    </row>
    <row r="1265" spans="1:6" ht="30" customHeight="1">
      <c r="A1265" s="9">
        <v>1263</v>
      </c>
      <c r="B1265" s="9" t="str">
        <f>"50322023032721113078855"</f>
        <v>50322023032721113078855</v>
      </c>
      <c r="C1265" s="9" t="s">
        <v>80</v>
      </c>
      <c r="D1265" s="10" t="str">
        <f>"吴晓莹"</f>
        <v>吴晓莹</v>
      </c>
      <c r="E1265" s="9" t="str">
        <f t="shared" si="50"/>
        <v>女</v>
      </c>
      <c r="F1265" s="10"/>
    </row>
    <row r="1266" spans="1:6" ht="30" customHeight="1">
      <c r="A1266" s="9">
        <v>1264</v>
      </c>
      <c r="B1266" s="9" t="str">
        <f>"50322023032723281979003"</f>
        <v>50322023032723281979003</v>
      </c>
      <c r="C1266" s="9" t="s">
        <v>80</v>
      </c>
      <c r="D1266" s="10" t="str">
        <f>"陈太景"</f>
        <v>陈太景</v>
      </c>
      <c r="E1266" s="9" t="str">
        <f t="shared" si="50"/>
        <v>女</v>
      </c>
      <c r="F1266" s="10"/>
    </row>
    <row r="1267" spans="1:6" ht="30" customHeight="1">
      <c r="A1267" s="9">
        <v>1265</v>
      </c>
      <c r="B1267" s="9" t="str">
        <f>"50322023032723411379012"</f>
        <v>50322023032723411379012</v>
      </c>
      <c r="C1267" s="9" t="s">
        <v>80</v>
      </c>
      <c r="D1267" s="10" t="str">
        <f>"黄晓慧"</f>
        <v>黄晓慧</v>
      </c>
      <c r="E1267" s="9" t="str">
        <f t="shared" si="50"/>
        <v>女</v>
      </c>
      <c r="F1267" s="10"/>
    </row>
    <row r="1268" spans="1:6" ht="30" customHeight="1">
      <c r="A1268" s="9">
        <v>1266</v>
      </c>
      <c r="B1268" s="9" t="str">
        <f>"50322023032814045379563"</f>
        <v>50322023032814045379563</v>
      </c>
      <c r="C1268" s="9" t="s">
        <v>80</v>
      </c>
      <c r="D1268" s="10" t="str">
        <f>"王宝俪"</f>
        <v>王宝俪</v>
      </c>
      <c r="E1268" s="9" t="str">
        <f t="shared" si="50"/>
        <v>女</v>
      </c>
      <c r="F1268" s="10"/>
    </row>
    <row r="1269" spans="1:6" ht="30" customHeight="1">
      <c r="A1269" s="9">
        <v>1267</v>
      </c>
      <c r="B1269" s="9" t="str">
        <f>"50322023032817230579824"</f>
        <v>50322023032817230579824</v>
      </c>
      <c r="C1269" s="9" t="s">
        <v>80</v>
      </c>
      <c r="D1269" s="10" t="str">
        <f>"冼恩嫚"</f>
        <v>冼恩嫚</v>
      </c>
      <c r="E1269" s="9" t="str">
        <f t="shared" si="50"/>
        <v>女</v>
      </c>
      <c r="F1269" s="10"/>
    </row>
    <row r="1270" spans="1:6" ht="30" customHeight="1">
      <c r="A1270" s="9">
        <v>1268</v>
      </c>
      <c r="B1270" s="9" t="str">
        <f>"50322023032819495079958"</f>
        <v>50322023032819495079958</v>
      </c>
      <c r="C1270" s="9" t="s">
        <v>80</v>
      </c>
      <c r="D1270" s="10" t="str">
        <f>"梁嫚"</f>
        <v>梁嫚</v>
      </c>
      <c r="E1270" s="9" t="str">
        <f t="shared" si="50"/>
        <v>女</v>
      </c>
      <c r="F1270" s="10"/>
    </row>
    <row r="1271" spans="1:6" ht="30" customHeight="1">
      <c r="A1271" s="9">
        <v>1269</v>
      </c>
      <c r="B1271" s="9" t="str">
        <f>"50322023032820055379982"</f>
        <v>50322023032820055379982</v>
      </c>
      <c r="C1271" s="9" t="s">
        <v>80</v>
      </c>
      <c r="D1271" s="10" t="str">
        <f>"潘诗婷"</f>
        <v>潘诗婷</v>
      </c>
      <c r="E1271" s="9" t="str">
        <f t="shared" si="50"/>
        <v>女</v>
      </c>
      <c r="F1271" s="10"/>
    </row>
    <row r="1272" spans="1:6" ht="30" customHeight="1">
      <c r="A1272" s="9">
        <v>1270</v>
      </c>
      <c r="B1272" s="9" t="str">
        <f>"50322023032820582380071"</f>
        <v>50322023032820582380071</v>
      </c>
      <c r="C1272" s="9" t="s">
        <v>80</v>
      </c>
      <c r="D1272" s="10" t="str">
        <f>"林娜"</f>
        <v>林娜</v>
      </c>
      <c r="E1272" s="9" t="str">
        <f t="shared" si="50"/>
        <v>女</v>
      </c>
      <c r="F1272" s="11" t="s">
        <v>84</v>
      </c>
    </row>
    <row r="1273" spans="1:6" ht="30" customHeight="1">
      <c r="A1273" s="9">
        <v>1271</v>
      </c>
      <c r="B1273" s="9" t="str">
        <f>"50322023032821384580128"</f>
        <v>50322023032821384580128</v>
      </c>
      <c r="C1273" s="9" t="s">
        <v>80</v>
      </c>
      <c r="D1273" s="10" t="str">
        <f>"袁涌航"</f>
        <v>袁涌航</v>
      </c>
      <c r="E1273" s="9" t="str">
        <f>"男"</f>
        <v>男</v>
      </c>
      <c r="F1273" s="10"/>
    </row>
    <row r="1274" spans="1:6" ht="30" customHeight="1">
      <c r="A1274" s="9">
        <v>1272</v>
      </c>
      <c r="B1274" s="9" t="str">
        <f>"50322023032821445780138"</f>
        <v>50322023032821445780138</v>
      </c>
      <c r="C1274" s="9" t="s">
        <v>80</v>
      </c>
      <c r="D1274" s="10" t="str">
        <f>"陈永恒"</f>
        <v>陈永恒</v>
      </c>
      <c r="E1274" s="9" t="str">
        <f>"男"</f>
        <v>男</v>
      </c>
      <c r="F1274" s="10"/>
    </row>
    <row r="1275" spans="1:6" ht="30" customHeight="1">
      <c r="A1275" s="9">
        <v>1273</v>
      </c>
      <c r="B1275" s="9" t="str">
        <f>"50322023032821523780150"</f>
        <v>50322023032821523780150</v>
      </c>
      <c r="C1275" s="9" t="s">
        <v>80</v>
      </c>
      <c r="D1275" s="10" t="str">
        <f>"陈丹"</f>
        <v>陈丹</v>
      </c>
      <c r="E1275" s="9" t="str">
        <f aca="true" t="shared" si="51" ref="E1275:E1294">"女"</f>
        <v>女</v>
      </c>
      <c r="F1275" s="10"/>
    </row>
    <row r="1276" spans="1:6" ht="30" customHeight="1">
      <c r="A1276" s="9">
        <v>1274</v>
      </c>
      <c r="B1276" s="9" t="str">
        <f>"50322023032821591780163"</f>
        <v>50322023032821591780163</v>
      </c>
      <c r="C1276" s="9" t="s">
        <v>80</v>
      </c>
      <c r="D1276" s="10" t="str">
        <f>"王茜"</f>
        <v>王茜</v>
      </c>
      <c r="E1276" s="9" t="str">
        <f t="shared" si="51"/>
        <v>女</v>
      </c>
      <c r="F1276" s="11" t="s">
        <v>85</v>
      </c>
    </row>
    <row r="1277" spans="1:6" ht="30" customHeight="1">
      <c r="A1277" s="9">
        <v>1275</v>
      </c>
      <c r="B1277" s="9" t="str">
        <f>"50322023032822173280195"</f>
        <v>50322023032822173280195</v>
      </c>
      <c r="C1277" s="9" t="s">
        <v>80</v>
      </c>
      <c r="D1277" s="10" t="str">
        <f>"吴小雪"</f>
        <v>吴小雪</v>
      </c>
      <c r="E1277" s="9" t="str">
        <f t="shared" si="51"/>
        <v>女</v>
      </c>
      <c r="F1277" s="10"/>
    </row>
    <row r="1278" spans="1:6" ht="30" customHeight="1">
      <c r="A1278" s="9">
        <v>1276</v>
      </c>
      <c r="B1278" s="9" t="str">
        <f>"50322023032822490580246"</f>
        <v>50322023032822490580246</v>
      </c>
      <c r="C1278" s="9" t="s">
        <v>80</v>
      </c>
      <c r="D1278" s="10" t="str">
        <f>"林施妹"</f>
        <v>林施妹</v>
      </c>
      <c r="E1278" s="9" t="str">
        <f t="shared" si="51"/>
        <v>女</v>
      </c>
      <c r="F1278" s="10"/>
    </row>
    <row r="1279" spans="1:6" ht="30" customHeight="1">
      <c r="A1279" s="9">
        <v>1277</v>
      </c>
      <c r="B1279" s="9" t="str">
        <f>"50322023032822552580257"</f>
        <v>50322023032822552580257</v>
      </c>
      <c r="C1279" s="9" t="s">
        <v>80</v>
      </c>
      <c r="D1279" s="10" t="str">
        <f>"黄方"</f>
        <v>黄方</v>
      </c>
      <c r="E1279" s="9" t="str">
        <f t="shared" si="51"/>
        <v>女</v>
      </c>
      <c r="F1279" s="10"/>
    </row>
    <row r="1280" spans="1:6" ht="30" customHeight="1">
      <c r="A1280" s="9">
        <v>1278</v>
      </c>
      <c r="B1280" s="9" t="str">
        <f>"50322023032823045380266"</f>
        <v>50322023032823045380266</v>
      </c>
      <c r="C1280" s="9" t="s">
        <v>80</v>
      </c>
      <c r="D1280" s="10" t="str">
        <f>"罗明玲"</f>
        <v>罗明玲</v>
      </c>
      <c r="E1280" s="9" t="str">
        <f t="shared" si="51"/>
        <v>女</v>
      </c>
      <c r="F1280" s="10"/>
    </row>
    <row r="1281" spans="1:6" ht="30" customHeight="1">
      <c r="A1281" s="9">
        <v>1279</v>
      </c>
      <c r="B1281" s="9" t="str">
        <f>"50322023032823105980271"</f>
        <v>50322023032823105980271</v>
      </c>
      <c r="C1281" s="9" t="s">
        <v>80</v>
      </c>
      <c r="D1281" s="10" t="str">
        <f>"崔琼文"</f>
        <v>崔琼文</v>
      </c>
      <c r="E1281" s="9" t="str">
        <f t="shared" si="51"/>
        <v>女</v>
      </c>
      <c r="F1281" s="10"/>
    </row>
    <row r="1282" spans="1:6" ht="30" customHeight="1">
      <c r="A1282" s="9">
        <v>1280</v>
      </c>
      <c r="B1282" s="9" t="str">
        <f>"50322023032823441880298"</f>
        <v>50322023032823441880298</v>
      </c>
      <c r="C1282" s="9" t="s">
        <v>80</v>
      </c>
      <c r="D1282" s="10" t="str">
        <f>"王小楣"</f>
        <v>王小楣</v>
      </c>
      <c r="E1282" s="9" t="str">
        <f t="shared" si="51"/>
        <v>女</v>
      </c>
      <c r="F1282" s="10"/>
    </row>
    <row r="1283" spans="1:6" ht="30" customHeight="1">
      <c r="A1283" s="9">
        <v>1281</v>
      </c>
      <c r="B1283" s="9" t="str">
        <f>"50322023032907560380362"</f>
        <v>50322023032907560380362</v>
      </c>
      <c r="C1283" s="9" t="s">
        <v>80</v>
      </c>
      <c r="D1283" s="10" t="str">
        <f>"陈小平"</f>
        <v>陈小平</v>
      </c>
      <c r="E1283" s="9" t="str">
        <f t="shared" si="51"/>
        <v>女</v>
      </c>
      <c r="F1283" s="10"/>
    </row>
    <row r="1284" spans="1:6" ht="30" customHeight="1">
      <c r="A1284" s="9">
        <v>1282</v>
      </c>
      <c r="B1284" s="9" t="str">
        <f>"50322023032908481280393"</f>
        <v>50322023032908481280393</v>
      </c>
      <c r="C1284" s="9" t="s">
        <v>80</v>
      </c>
      <c r="D1284" s="10" t="str">
        <f>"何丽丁"</f>
        <v>何丽丁</v>
      </c>
      <c r="E1284" s="9" t="str">
        <f t="shared" si="51"/>
        <v>女</v>
      </c>
      <c r="F1284" s="10"/>
    </row>
    <row r="1285" spans="1:6" ht="30" customHeight="1">
      <c r="A1285" s="9">
        <v>1283</v>
      </c>
      <c r="B1285" s="9" t="str">
        <f>"50322023032909315680722"</f>
        <v>50322023032909315680722</v>
      </c>
      <c r="C1285" s="9" t="s">
        <v>80</v>
      </c>
      <c r="D1285" s="10" t="str">
        <f>"王丹"</f>
        <v>王丹</v>
      </c>
      <c r="E1285" s="9" t="str">
        <f t="shared" si="51"/>
        <v>女</v>
      </c>
      <c r="F1285" s="11" t="s">
        <v>86</v>
      </c>
    </row>
    <row r="1286" spans="1:6" ht="30" customHeight="1">
      <c r="A1286" s="9">
        <v>1284</v>
      </c>
      <c r="B1286" s="9" t="str">
        <f>"50322023032909434280821"</f>
        <v>50322023032909434280821</v>
      </c>
      <c r="C1286" s="9" t="s">
        <v>80</v>
      </c>
      <c r="D1286" s="10" t="str">
        <f>"马翠"</f>
        <v>马翠</v>
      </c>
      <c r="E1286" s="9" t="str">
        <f t="shared" si="51"/>
        <v>女</v>
      </c>
      <c r="F1286" s="10"/>
    </row>
    <row r="1287" spans="1:6" ht="30" customHeight="1">
      <c r="A1287" s="9">
        <v>1285</v>
      </c>
      <c r="B1287" s="9" t="str">
        <f>"50322023032911345981468"</f>
        <v>50322023032911345981468</v>
      </c>
      <c r="C1287" s="9" t="s">
        <v>80</v>
      </c>
      <c r="D1287" s="10" t="str">
        <f>"符坤丹"</f>
        <v>符坤丹</v>
      </c>
      <c r="E1287" s="9" t="str">
        <f t="shared" si="51"/>
        <v>女</v>
      </c>
      <c r="F1287" s="10"/>
    </row>
    <row r="1288" spans="1:6" ht="30" customHeight="1">
      <c r="A1288" s="9">
        <v>1286</v>
      </c>
      <c r="B1288" s="9" t="str">
        <f>"50322023032912100181603"</f>
        <v>50322023032912100181603</v>
      </c>
      <c r="C1288" s="9" t="s">
        <v>80</v>
      </c>
      <c r="D1288" s="10" t="str">
        <f>"邵丽"</f>
        <v>邵丽</v>
      </c>
      <c r="E1288" s="9" t="str">
        <f t="shared" si="51"/>
        <v>女</v>
      </c>
      <c r="F1288" s="10"/>
    </row>
    <row r="1289" spans="1:6" ht="30" customHeight="1">
      <c r="A1289" s="9">
        <v>1287</v>
      </c>
      <c r="B1289" s="9" t="str">
        <f>"50322023032912394881719"</f>
        <v>50322023032912394881719</v>
      </c>
      <c r="C1289" s="9" t="s">
        <v>80</v>
      </c>
      <c r="D1289" s="10" t="str">
        <f>"唐海珊"</f>
        <v>唐海珊</v>
      </c>
      <c r="E1289" s="9" t="str">
        <f t="shared" si="51"/>
        <v>女</v>
      </c>
      <c r="F1289" s="10"/>
    </row>
    <row r="1290" spans="1:6" ht="30" customHeight="1">
      <c r="A1290" s="9">
        <v>1288</v>
      </c>
      <c r="B1290" s="9" t="str">
        <f>"50322023032912520181765"</f>
        <v>50322023032912520181765</v>
      </c>
      <c r="C1290" s="9" t="s">
        <v>80</v>
      </c>
      <c r="D1290" s="10" t="str">
        <f>"龙玉颖"</f>
        <v>龙玉颖</v>
      </c>
      <c r="E1290" s="9" t="str">
        <f t="shared" si="51"/>
        <v>女</v>
      </c>
      <c r="F1290" s="10"/>
    </row>
    <row r="1291" spans="1:6" ht="30" customHeight="1">
      <c r="A1291" s="9">
        <v>1289</v>
      </c>
      <c r="B1291" s="9" t="str">
        <f>"50322023032916345082591"</f>
        <v>50322023032916345082591</v>
      </c>
      <c r="C1291" s="9" t="s">
        <v>80</v>
      </c>
      <c r="D1291" s="10" t="str">
        <f>"徐庄岚"</f>
        <v>徐庄岚</v>
      </c>
      <c r="E1291" s="9" t="str">
        <f t="shared" si="51"/>
        <v>女</v>
      </c>
      <c r="F1291" s="10"/>
    </row>
    <row r="1292" spans="1:6" ht="30" customHeight="1">
      <c r="A1292" s="9">
        <v>1290</v>
      </c>
      <c r="B1292" s="9" t="str">
        <f>"50322023032916470682667"</f>
        <v>50322023032916470682667</v>
      </c>
      <c r="C1292" s="9" t="s">
        <v>80</v>
      </c>
      <c r="D1292" s="10" t="str">
        <f>"李文茹"</f>
        <v>李文茹</v>
      </c>
      <c r="E1292" s="9" t="str">
        <f t="shared" si="51"/>
        <v>女</v>
      </c>
      <c r="F1292" s="10"/>
    </row>
    <row r="1293" spans="1:6" ht="30" customHeight="1">
      <c r="A1293" s="9">
        <v>1291</v>
      </c>
      <c r="B1293" s="9" t="str">
        <f>"50322023032917221783726"</f>
        <v>50322023032917221783726</v>
      </c>
      <c r="C1293" s="9" t="s">
        <v>80</v>
      </c>
      <c r="D1293" s="10" t="str">
        <f>"叶金莹"</f>
        <v>叶金莹</v>
      </c>
      <c r="E1293" s="9" t="str">
        <f t="shared" si="51"/>
        <v>女</v>
      </c>
      <c r="F1293" s="10"/>
    </row>
    <row r="1294" spans="1:6" ht="30" customHeight="1">
      <c r="A1294" s="9">
        <v>1292</v>
      </c>
      <c r="B1294" s="9" t="str">
        <f>"50322023032919415384410"</f>
        <v>50322023032919415384410</v>
      </c>
      <c r="C1294" s="9" t="s">
        <v>80</v>
      </c>
      <c r="D1294" s="10" t="str">
        <f>"虞佳菲"</f>
        <v>虞佳菲</v>
      </c>
      <c r="E1294" s="9" t="str">
        <f t="shared" si="51"/>
        <v>女</v>
      </c>
      <c r="F1294" s="10"/>
    </row>
    <row r="1295" spans="1:6" ht="30" customHeight="1">
      <c r="A1295" s="9">
        <v>1293</v>
      </c>
      <c r="B1295" s="9" t="str">
        <f>"50322023032919471984427"</f>
        <v>50322023032919471984427</v>
      </c>
      <c r="C1295" s="9" t="s">
        <v>80</v>
      </c>
      <c r="D1295" s="10" t="str">
        <f>"钟可宝"</f>
        <v>钟可宝</v>
      </c>
      <c r="E1295" s="9" t="str">
        <f>"男"</f>
        <v>男</v>
      </c>
      <c r="F1295" s="10"/>
    </row>
    <row r="1296" spans="1:6" ht="30" customHeight="1">
      <c r="A1296" s="9">
        <v>1294</v>
      </c>
      <c r="B1296" s="9" t="str">
        <f>"50322023032920335484576"</f>
        <v>50322023032920335484576</v>
      </c>
      <c r="C1296" s="9" t="s">
        <v>80</v>
      </c>
      <c r="D1296" s="10" t="str">
        <f>"邱阳林"</f>
        <v>邱阳林</v>
      </c>
      <c r="E1296" s="9" t="str">
        <f>"女"</f>
        <v>女</v>
      </c>
      <c r="F1296" s="10"/>
    </row>
    <row r="1297" spans="1:6" ht="30" customHeight="1">
      <c r="A1297" s="9">
        <v>1295</v>
      </c>
      <c r="B1297" s="9" t="str">
        <f>"50322023032920490584620"</f>
        <v>50322023032920490584620</v>
      </c>
      <c r="C1297" s="9" t="s">
        <v>80</v>
      </c>
      <c r="D1297" s="10" t="str">
        <f>"钟婵"</f>
        <v>钟婵</v>
      </c>
      <c r="E1297" s="9" t="str">
        <f>"女"</f>
        <v>女</v>
      </c>
      <c r="F1297" s="10"/>
    </row>
    <row r="1298" spans="1:6" ht="30" customHeight="1">
      <c r="A1298" s="9">
        <v>1296</v>
      </c>
      <c r="B1298" s="9" t="str">
        <f>"50322023032921184084707"</f>
        <v>50322023032921184084707</v>
      </c>
      <c r="C1298" s="9" t="s">
        <v>80</v>
      </c>
      <c r="D1298" s="10" t="str">
        <f>"王栋"</f>
        <v>王栋</v>
      </c>
      <c r="E1298" s="9" t="str">
        <f>"男"</f>
        <v>男</v>
      </c>
      <c r="F1298" s="11" t="s">
        <v>87</v>
      </c>
    </row>
    <row r="1299" spans="1:6" ht="30" customHeight="1">
      <c r="A1299" s="9">
        <v>1297</v>
      </c>
      <c r="B1299" s="9" t="str">
        <f>"50322023032921211984716"</f>
        <v>50322023032921211984716</v>
      </c>
      <c r="C1299" s="9" t="s">
        <v>80</v>
      </c>
      <c r="D1299" s="10" t="str">
        <f>"颜莹莹"</f>
        <v>颜莹莹</v>
      </c>
      <c r="E1299" s="9" t="str">
        <f aca="true" t="shared" si="52" ref="E1299:E1306">"女"</f>
        <v>女</v>
      </c>
      <c r="F1299" s="10"/>
    </row>
    <row r="1300" spans="1:6" ht="30" customHeight="1">
      <c r="A1300" s="9">
        <v>1298</v>
      </c>
      <c r="B1300" s="9" t="str">
        <f>"50322023032921274884735"</f>
        <v>50322023032921274884735</v>
      </c>
      <c r="C1300" s="9" t="s">
        <v>80</v>
      </c>
      <c r="D1300" s="10" t="str">
        <f>"华淑萍"</f>
        <v>华淑萍</v>
      </c>
      <c r="E1300" s="9" t="str">
        <f t="shared" si="52"/>
        <v>女</v>
      </c>
      <c r="F1300" s="10"/>
    </row>
    <row r="1301" spans="1:6" ht="30" customHeight="1">
      <c r="A1301" s="9">
        <v>1299</v>
      </c>
      <c r="B1301" s="9" t="str">
        <f>"50322023032921381984762"</f>
        <v>50322023032921381984762</v>
      </c>
      <c r="C1301" s="9" t="s">
        <v>80</v>
      </c>
      <c r="D1301" s="10" t="str">
        <f>"符彩丽"</f>
        <v>符彩丽</v>
      </c>
      <c r="E1301" s="9" t="str">
        <f t="shared" si="52"/>
        <v>女</v>
      </c>
      <c r="F1301" s="10"/>
    </row>
    <row r="1302" spans="1:6" ht="30" customHeight="1">
      <c r="A1302" s="9">
        <v>1300</v>
      </c>
      <c r="B1302" s="9" t="str">
        <f>"50322023032922334384911"</f>
        <v>50322023032922334384911</v>
      </c>
      <c r="C1302" s="9" t="s">
        <v>80</v>
      </c>
      <c r="D1302" s="10" t="str">
        <f>"王雪琴"</f>
        <v>王雪琴</v>
      </c>
      <c r="E1302" s="9" t="str">
        <f t="shared" si="52"/>
        <v>女</v>
      </c>
      <c r="F1302" s="10"/>
    </row>
    <row r="1303" spans="1:6" ht="30" customHeight="1">
      <c r="A1303" s="9">
        <v>1301</v>
      </c>
      <c r="B1303" s="9" t="str">
        <f>"50322023032923065684983"</f>
        <v>50322023032923065684983</v>
      </c>
      <c r="C1303" s="9" t="s">
        <v>80</v>
      </c>
      <c r="D1303" s="10" t="str">
        <f>"刘冰冰"</f>
        <v>刘冰冰</v>
      </c>
      <c r="E1303" s="9" t="str">
        <f t="shared" si="52"/>
        <v>女</v>
      </c>
      <c r="F1303" s="10"/>
    </row>
    <row r="1304" spans="1:6" ht="30" customHeight="1">
      <c r="A1304" s="9">
        <v>1302</v>
      </c>
      <c r="B1304" s="9" t="str">
        <f>"50322023033007012185128"</f>
        <v>50322023033007012185128</v>
      </c>
      <c r="C1304" s="9" t="s">
        <v>80</v>
      </c>
      <c r="D1304" s="10" t="str">
        <f>"周笑如"</f>
        <v>周笑如</v>
      </c>
      <c r="E1304" s="9" t="str">
        <f t="shared" si="52"/>
        <v>女</v>
      </c>
      <c r="F1304" s="10"/>
    </row>
    <row r="1305" spans="1:6" ht="30" customHeight="1">
      <c r="A1305" s="9">
        <v>1303</v>
      </c>
      <c r="B1305" s="9" t="str">
        <f>"50322023033008513485253"</f>
        <v>50322023033008513485253</v>
      </c>
      <c r="C1305" s="9" t="s">
        <v>80</v>
      </c>
      <c r="D1305" s="10" t="str">
        <f>"李国柳"</f>
        <v>李国柳</v>
      </c>
      <c r="E1305" s="9" t="str">
        <f t="shared" si="52"/>
        <v>女</v>
      </c>
      <c r="F1305" s="10"/>
    </row>
    <row r="1306" spans="1:6" ht="30" customHeight="1">
      <c r="A1306" s="9">
        <v>1304</v>
      </c>
      <c r="B1306" s="9" t="str">
        <f>"50322023033008553285268"</f>
        <v>50322023033008553285268</v>
      </c>
      <c r="C1306" s="9" t="s">
        <v>80</v>
      </c>
      <c r="D1306" s="10" t="str">
        <f>"张玉珠"</f>
        <v>张玉珠</v>
      </c>
      <c r="E1306" s="9" t="str">
        <f t="shared" si="52"/>
        <v>女</v>
      </c>
      <c r="F1306" s="10"/>
    </row>
    <row r="1307" spans="1:6" ht="30" customHeight="1">
      <c r="A1307" s="9">
        <v>1305</v>
      </c>
      <c r="B1307" s="9" t="str">
        <f>"50322023033009150485365"</f>
        <v>50322023033009150485365</v>
      </c>
      <c r="C1307" s="9" t="s">
        <v>80</v>
      </c>
      <c r="D1307" s="10" t="str">
        <f>"赖群星"</f>
        <v>赖群星</v>
      </c>
      <c r="E1307" s="9" t="str">
        <f>"男"</f>
        <v>男</v>
      </c>
      <c r="F1307" s="10"/>
    </row>
    <row r="1308" spans="1:6" ht="30" customHeight="1">
      <c r="A1308" s="9">
        <v>1306</v>
      </c>
      <c r="B1308" s="9" t="str">
        <f>"50322023033009310585431"</f>
        <v>50322023033009310585431</v>
      </c>
      <c r="C1308" s="9" t="s">
        <v>80</v>
      </c>
      <c r="D1308" s="10" t="str">
        <f>"吕珊伟"</f>
        <v>吕珊伟</v>
      </c>
      <c r="E1308" s="9" t="str">
        <f>"女"</f>
        <v>女</v>
      </c>
      <c r="F1308" s="10"/>
    </row>
    <row r="1309" spans="1:6" ht="30" customHeight="1">
      <c r="A1309" s="9">
        <v>1307</v>
      </c>
      <c r="B1309" s="9" t="str">
        <f>"50322023033009345885451"</f>
        <v>50322023033009345885451</v>
      </c>
      <c r="C1309" s="9" t="s">
        <v>80</v>
      </c>
      <c r="D1309" s="10" t="str">
        <f>"冯朝芳"</f>
        <v>冯朝芳</v>
      </c>
      <c r="E1309" s="9" t="str">
        <f>"女"</f>
        <v>女</v>
      </c>
      <c r="F1309" s="10"/>
    </row>
    <row r="1310" spans="1:6" ht="30" customHeight="1">
      <c r="A1310" s="9">
        <v>1308</v>
      </c>
      <c r="B1310" s="9" t="str">
        <f>"50322023033010340885703"</f>
        <v>50322023033010340885703</v>
      </c>
      <c r="C1310" s="9" t="s">
        <v>80</v>
      </c>
      <c r="D1310" s="10" t="str">
        <f>"吴文静"</f>
        <v>吴文静</v>
      </c>
      <c r="E1310" s="9" t="str">
        <f>"女"</f>
        <v>女</v>
      </c>
      <c r="F1310" s="10"/>
    </row>
    <row r="1311" spans="1:6" ht="30" customHeight="1">
      <c r="A1311" s="9">
        <v>1309</v>
      </c>
      <c r="B1311" s="9" t="str">
        <f>"50322023032108451163113"</f>
        <v>50322023032108451163113</v>
      </c>
      <c r="C1311" s="9" t="s">
        <v>88</v>
      </c>
      <c r="D1311" s="10" t="str">
        <f>"孙学薇"</f>
        <v>孙学薇</v>
      </c>
      <c r="E1311" s="9" t="str">
        <f>"女"</f>
        <v>女</v>
      </c>
      <c r="F1311" s="10"/>
    </row>
    <row r="1312" spans="1:6" ht="30" customHeight="1">
      <c r="A1312" s="9">
        <v>1310</v>
      </c>
      <c r="B1312" s="9" t="str">
        <f>"50322023032110052664009"</f>
        <v>50322023032110052664009</v>
      </c>
      <c r="C1312" s="9" t="s">
        <v>88</v>
      </c>
      <c r="D1312" s="10" t="str">
        <f>"王优"</f>
        <v>王优</v>
      </c>
      <c r="E1312" s="9" t="str">
        <f>"男"</f>
        <v>男</v>
      </c>
      <c r="F1312" s="10"/>
    </row>
    <row r="1313" spans="1:6" ht="30" customHeight="1">
      <c r="A1313" s="9">
        <v>1311</v>
      </c>
      <c r="B1313" s="9" t="str">
        <f>"50322023032112541565328"</f>
        <v>50322023032112541565328</v>
      </c>
      <c r="C1313" s="9" t="s">
        <v>88</v>
      </c>
      <c r="D1313" s="10" t="str">
        <f>"吴云"</f>
        <v>吴云</v>
      </c>
      <c r="E1313" s="9" t="str">
        <f aca="true" t="shared" si="53" ref="E1313:E1321">"女"</f>
        <v>女</v>
      </c>
      <c r="F1313" s="10"/>
    </row>
    <row r="1314" spans="1:6" ht="30" customHeight="1">
      <c r="A1314" s="9">
        <v>1312</v>
      </c>
      <c r="B1314" s="9" t="str">
        <f>"50322023032123425469095"</f>
        <v>50322023032123425469095</v>
      </c>
      <c r="C1314" s="9" t="s">
        <v>88</v>
      </c>
      <c r="D1314" s="10" t="str">
        <f>"曾一晗"</f>
        <v>曾一晗</v>
      </c>
      <c r="E1314" s="9" t="str">
        <f t="shared" si="53"/>
        <v>女</v>
      </c>
      <c r="F1314" s="10"/>
    </row>
    <row r="1315" spans="1:6" ht="30" customHeight="1">
      <c r="A1315" s="9">
        <v>1313</v>
      </c>
      <c r="B1315" s="9" t="str">
        <f>"50322023032416160776065"</f>
        <v>50322023032416160776065</v>
      </c>
      <c r="C1315" s="9" t="s">
        <v>88</v>
      </c>
      <c r="D1315" s="10" t="str">
        <f>"翁成花"</f>
        <v>翁成花</v>
      </c>
      <c r="E1315" s="9" t="str">
        <f t="shared" si="53"/>
        <v>女</v>
      </c>
      <c r="F1315" s="10"/>
    </row>
    <row r="1316" spans="1:6" ht="30" customHeight="1">
      <c r="A1316" s="9">
        <v>1314</v>
      </c>
      <c r="B1316" s="9" t="str">
        <f>"50322023032621333477667"</f>
        <v>50322023032621333477667</v>
      </c>
      <c r="C1316" s="9" t="s">
        <v>88</v>
      </c>
      <c r="D1316" s="10" t="str">
        <f>"吴佳锡"</f>
        <v>吴佳锡</v>
      </c>
      <c r="E1316" s="9" t="str">
        <f t="shared" si="53"/>
        <v>女</v>
      </c>
      <c r="F1316" s="10"/>
    </row>
    <row r="1317" spans="1:6" ht="30" customHeight="1">
      <c r="A1317" s="9">
        <v>1315</v>
      </c>
      <c r="B1317" s="9" t="str">
        <f>"50322023032622504577731"</f>
        <v>50322023032622504577731</v>
      </c>
      <c r="C1317" s="9" t="s">
        <v>88</v>
      </c>
      <c r="D1317" s="10" t="str">
        <f>"肖丽"</f>
        <v>肖丽</v>
      </c>
      <c r="E1317" s="9" t="str">
        <f t="shared" si="53"/>
        <v>女</v>
      </c>
      <c r="F1317" s="10"/>
    </row>
    <row r="1318" spans="1:6" ht="30" customHeight="1">
      <c r="A1318" s="9">
        <v>1316</v>
      </c>
      <c r="B1318" s="9" t="str">
        <f>"50322023032819425679949"</f>
        <v>50322023032819425679949</v>
      </c>
      <c r="C1318" s="9" t="s">
        <v>88</v>
      </c>
      <c r="D1318" s="10" t="str">
        <f>"王景荟"</f>
        <v>王景荟</v>
      </c>
      <c r="E1318" s="9" t="str">
        <f t="shared" si="53"/>
        <v>女</v>
      </c>
      <c r="F1318" s="10"/>
    </row>
    <row r="1319" spans="1:6" ht="30" customHeight="1">
      <c r="A1319" s="9">
        <v>1317</v>
      </c>
      <c r="B1319" s="9" t="str">
        <f>"50322023032911143681364"</f>
        <v>50322023032911143681364</v>
      </c>
      <c r="C1319" s="9" t="s">
        <v>88</v>
      </c>
      <c r="D1319" s="10" t="str">
        <f>"冯美"</f>
        <v>冯美</v>
      </c>
      <c r="E1319" s="9" t="str">
        <f t="shared" si="53"/>
        <v>女</v>
      </c>
      <c r="F1319" s="10"/>
    </row>
    <row r="1320" spans="1:6" ht="30" customHeight="1">
      <c r="A1320" s="9">
        <v>1318</v>
      </c>
      <c r="B1320" s="9" t="str">
        <f>"50322023032920050284500"</f>
        <v>50322023032920050284500</v>
      </c>
      <c r="C1320" s="9" t="s">
        <v>88</v>
      </c>
      <c r="D1320" s="10" t="str">
        <f>"陈子女"</f>
        <v>陈子女</v>
      </c>
      <c r="E1320" s="9" t="str">
        <f t="shared" si="53"/>
        <v>女</v>
      </c>
      <c r="F1320" s="10"/>
    </row>
    <row r="1321" spans="1:6" ht="30" customHeight="1">
      <c r="A1321" s="9">
        <v>1319</v>
      </c>
      <c r="B1321" s="9" t="str">
        <f>"50322023033009031185302"</f>
        <v>50322023033009031185302</v>
      </c>
      <c r="C1321" s="9" t="s">
        <v>88</v>
      </c>
      <c r="D1321" s="10" t="str">
        <f>"王帮潇"</f>
        <v>王帮潇</v>
      </c>
      <c r="E1321" s="9" t="str">
        <f t="shared" si="53"/>
        <v>女</v>
      </c>
      <c r="F1321" s="10"/>
    </row>
    <row r="1322" spans="1:6" ht="30" customHeight="1">
      <c r="A1322" s="9">
        <v>1320</v>
      </c>
      <c r="B1322" s="9" t="str">
        <f>"50322023032108464963121"</f>
        <v>50322023032108464963121</v>
      </c>
      <c r="C1322" s="9" t="s">
        <v>89</v>
      </c>
      <c r="D1322" s="10" t="str">
        <f>"时璋彪"</f>
        <v>时璋彪</v>
      </c>
      <c r="E1322" s="9" t="str">
        <f>"男"</f>
        <v>男</v>
      </c>
      <c r="F1322" s="10"/>
    </row>
    <row r="1323" spans="1:6" ht="30" customHeight="1">
      <c r="A1323" s="9">
        <v>1321</v>
      </c>
      <c r="B1323" s="9" t="str">
        <f>"50322023032116163866630"</f>
        <v>50322023032116163866630</v>
      </c>
      <c r="C1323" s="9" t="s">
        <v>89</v>
      </c>
      <c r="D1323" s="10" t="str">
        <f>"张万"</f>
        <v>张万</v>
      </c>
      <c r="E1323" s="9" t="str">
        <f>"女"</f>
        <v>女</v>
      </c>
      <c r="F1323" s="10"/>
    </row>
    <row r="1324" spans="1:6" ht="30" customHeight="1">
      <c r="A1324" s="9">
        <v>1322</v>
      </c>
      <c r="B1324" s="9" t="str">
        <f>"50322023032209253769617"</f>
        <v>50322023032209253769617</v>
      </c>
      <c r="C1324" s="9" t="s">
        <v>89</v>
      </c>
      <c r="D1324" s="10" t="str">
        <f>"林霞"</f>
        <v>林霞</v>
      </c>
      <c r="E1324" s="9" t="str">
        <f>"女"</f>
        <v>女</v>
      </c>
      <c r="F1324" s="10"/>
    </row>
    <row r="1325" spans="1:6" ht="30" customHeight="1">
      <c r="A1325" s="9">
        <v>1323</v>
      </c>
      <c r="B1325" s="9" t="str">
        <f>"50322023032209572669804"</f>
        <v>50322023032209572669804</v>
      </c>
      <c r="C1325" s="9" t="s">
        <v>89</v>
      </c>
      <c r="D1325" s="10" t="str">
        <f>"陈王辉"</f>
        <v>陈王辉</v>
      </c>
      <c r="E1325" s="9" t="str">
        <f>"男"</f>
        <v>男</v>
      </c>
      <c r="F1325" s="10"/>
    </row>
    <row r="1326" spans="1:6" ht="30" customHeight="1">
      <c r="A1326" s="9">
        <v>1324</v>
      </c>
      <c r="B1326" s="9" t="str">
        <f>"50322023032211592570695"</f>
        <v>50322023032211592570695</v>
      </c>
      <c r="C1326" s="9" t="s">
        <v>89</v>
      </c>
      <c r="D1326" s="10" t="str">
        <f>"符棉钫"</f>
        <v>符棉钫</v>
      </c>
      <c r="E1326" s="9" t="str">
        <f>"男"</f>
        <v>男</v>
      </c>
      <c r="F1326" s="10"/>
    </row>
    <row r="1327" spans="1:6" ht="30" customHeight="1">
      <c r="A1327" s="9">
        <v>1325</v>
      </c>
      <c r="B1327" s="9" t="str">
        <f>"50322023032221442273518"</f>
        <v>50322023032221442273518</v>
      </c>
      <c r="C1327" s="9" t="s">
        <v>89</v>
      </c>
      <c r="D1327" s="10" t="str">
        <f>"谭光亮"</f>
        <v>谭光亮</v>
      </c>
      <c r="E1327" s="9" t="str">
        <f>"男"</f>
        <v>男</v>
      </c>
      <c r="F1327" s="10"/>
    </row>
    <row r="1328" spans="1:6" ht="30" customHeight="1">
      <c r="A1328" s="9">
        <v>1326</v>
      </c>
      <c r="B1328" s="9" t="str">
        <f>"50322023032311043274159"</f>
        <v>50322023032311043274159</v>
      </c>
      <c r="C1328" s="9" t="s">
        <v>89</v>
      </c>
      <c r="D1328" s="10" t="str">
        <f>"符贻芬"</f>
        <v>符贻芬</v>
      </c>
      <c r="E1328" s="9" t="str">
        <f>"女"</f>
        <v>女</v>
      </c>
      <c r="F1328" s="10"/>
    </row>
    <row r="1329" spans="1:6" ht="30" customHeight="1">
      <c r="A1329" s="9">
        <v>1327</v>
      </c>
      <c r="B1329" s="9" t="str">
        <f>"50322023032313264374437"</f>
        <v>50322023032313264374437</v>
      </c>
      <c r="C1329" s="9" t="s">
        <v>89</v>
      </c>
      <c r="D1329" s="10" t="str">
        <f>"张月"</f>
        <v>张月</v>
      </c>
      <c r="E1329" s="9" t="str">
        <f>"女"</f>
        <v>女</v>
      </c>
      <c r="F1329" s="10"/>
    </row>
    <row r="1330" spans="1:6" ht="30" customHeight="1">
      <c r="A1330" s="9">
        <v>1328</v>
      </c>
      <c r="B1330" s="9" t="str">
        <f>"50322023032321542875201"</f>
        <v>50322023032321542875201</v>
      </c>
      <c r="C1330" s="9" t="s">
        <v>89</v>
      </c>
      <c r="D1330" s="10" t="str">
        <f>"黄朝华"</f>
        <v>黄朝华</v>
      </c>
      <c r="E1330" s="9" t="str">
        <f>"男"</f>
        <v>男</v>
      </c>
      <c r="F1330" s="11" t="s">
        <v>90</v>
      </c>
    </row>
    <row r="1331" spans="1:6" ht="30" customHeight="1">
      <c r="A1331" s="9">
        <v>1329</v>
      </c>
      <c r="B1331" s="9" t="str">
        <f>"50322023032400030475353"</f>
        <v>50322023032400030475353</v>
      </c>
      <c r="C1331" s="9" t="s">
        <v>89</v>
      </c>
      <c r="D1331" s="10" t="str">
        <f>"唐凌鹏"</f>
        <v>唐凌鹏</v>
      </c>
      <c r="E1331" s="9" t="str">
        <f>"男"</f>
        <v>男</v>
      </c>
      <c r="F1331" s="10"/>
    </row>
    <row r="1332" spans="1:6" ht="30" customHeight="1">
      <c r="A1332" s="9">
        <v>1330</v>
      </c>
      <c r="B1332" s="9" t="str">
        <f>"50322023032409155475469"</f>
        <v>50322023032409155475469</v>
      </c>
      <c r="C1332" s="9" t="s">
        <v>89</v>
      </c>
      <c r="D1332" s="10" t="str">
        <f>"李燃燃"</f>
        <v>李燃燃</v>
      </c>
      <c r="E1332" s="9" t="str">
        <f>"女"</f>
        <v>女</v>
      </c>
      <c r="F1332" s="10"/>
    </row>
    <row r="1333" spans="1:6" ht="30" customHeight="1">
      <c r="A1333" s="9">
        <v>1331</v>
      </c>
      <c r="B1333" s="9" t="str">
        <f>"50322023032419000976237"</f>
        <v>50322023032419000976237</v>
      </c>
      <c r="C1333" s="9" t="s">
        <v>89</v>
      </c>
      <c r="D1333" s="10" t="str">
        <f>"李昌运"</f>
        <v>李昌运</v>
      </c>
      <c r="E1333" s="9" t="str">
        <f aca="true" t="shared" si="54" ref="E1333:E1338">"男"</f>
        <v>男</v>
      </c>
      <c r="F1333" s="10"/>
    </row>
    <row r="1334" spans="1:6" ht="30" customHeight="1">
      <c r="A1334" s="9">
        <v>1332</v>
      </c>
      <c r="B1334" s="9" t="str">
        <f>"50322023032810131279272"</f>
        <v>50322023032810131279272</v>
      </c>
      <c r="C1334" s="9" t="s">
        <v>89</v>
      </c>
      <c r="D1334" s="10" t="str">
        <f>"胡童"</f>
        <v>胡童</v>
      </c>
      <c r="E1334" s="9" t="str">
        <f t="shared" si="54"/>
        <v>男</v>
      </c>
      <c r="F1334" s="10"/>
    </row>
    <row r="1335" spans="1:6" ht="30" customHeight="1">
      <c r="A1335" s="9">
        <v>1333</v>
      </c>
      <c r="B1335" s="9" t="str">
        <f>"50322023032820113879996"</f>
        <v>50322023032820113879996</v>
      </c>
      <c r="C1335" s="9" t="s">
        <v>89</v>
      </c>
      <c r="D1335" s="10" t="str">
        <f>"索广超"</f>
        <v>索广超</v>
      </c>
      <c r="E1335" s="9" t="str">
        <f t="shared" si="54"/>
        <v>男</v>
      </c>
      <c r="F1335" s="10"/>
    </row>
    <row r="1336" spans="1:6" ht="30" customHeight="1">
      <c r="A1336" s="9">
        <v>1334</v>
      </c>
      <c r="B1336" s="9" t="str">
        <f>"50322023032821384580129"</f>
        <v>50322023032821384580129</v>
      </c>
      <c r="C1336" s="9" t="s">
        <v>89</v>
      </c>
      <c r="D1336" s="10" t="str">
        <f>"林志钢"</f>
        <v>林志钢</v>
      </c>
      <c r="E1336" s="9" t="str">
        <f t="shared" si="54"/>
        <v>男</v>
      </c>
      <c r="F1336" s="10"/>
    </row>
    <row r="1337" spans="1:6" ht="30" customHeight="1">
      <c r="A1337" s="9">
        <v>1335</v>
      </c>
      <c r="B1337" s="9" t="str">
        <f>"50322023032821581180160"</f>
        <v>50322023032821581180160</v>
      </c>
      <c r="C1337" s="9" t="s">
        <v>89</v>
      </c>
      <c r="D1337" s="10" t="str">
        <f>"王春鸣"</f>
        <v>王春鸣</v>
      </c>
      <c r="E1337" s="9" t="str">
        <f t="shared" si="54"/>
        <v>男</v>
      </c>
      <c r="F1337" s="10"/>
    </row>
    <row r="1338" spans="1:6" ht="30" customHeight="1">
      <c r="A1338" s="9">
        <v>1336</v>
      </c>
      <c r="B1338" s="9" t="str">
        <f>"50322023032909295880707"</f>
        <v>50322023032909295880707</v>
      </c>
      <c r="C1338" s="9" t="s">
        <v>89</v>
      </c>
      <c r="D1338" s="10" t="str">
        <f>"李兴军"</f>
        <v>李兴军</v>
      </c>
      <c r="E1338" s="9" t="str">
        <f t="shared" si="54"/>
        <v>男</v>
      </c>
      <c r="F1338" s="10"/>
    </row>
    <row r="1339" spans="1:6" ht="30" customHeight="1">
      <c r="A1339" s="9">
        <v>1337</v>
      </c>
      <c r="B1339" s="9" t="str">
        <f>"50322023032912334781695"</f>
        <v>50322023032912334781695</v>
      </c>
      <c r="C1339" s="9" t="s">
        <v>89</v>
      </c>
      <c r="D1339" s="10" t="str">
        <f>"梁彩莲"</f>
        <v>梁彩莲</v>
      </c>
      <c r="E1339" s="9" t="str">
        <f>"女"</f>
        <v>女</v>
      </c>
      <c r="F1339" s="10"/>
    </row>
    <row r="1340" spans="1:6" ht="30" customHeight="1">
      <c r="A1340" s="9">
        <v>1338</v>
      </c>
      <c r="B1340" s="9" t="str">
        <f>"50322023033009323485440"</f>
        <v>50322023033009323485440</v>
      </c>
      <c r="C1340" s="9" t="s">
        <v>89</v>
      </c>
      <c r="D1340" s="10" t="str">
        <f>"陈峰"</f>
        <v>陈峰</v>
      </c>
      <c r="E1340" s="9" t="str">
        <f>"男"</f>
        <v>男</v>
      </c>
      <c r="F1340" s="10"/>
    </row>
    <row r="1341" spans="1:6" ht="30" customHeight="1">
      <c r="A1341" s="9">
        <v>1339</v>
      </c>
      <c r="B1341" s="9" t="str">
        <f>"50322023032217522773080"</f>
        <v>50322023032217522773080</v>
      </c>
      <c r="C1341" s="9" t="s">
        <v>91</v>
      </c>
      <c r="D1341" s="10" t="str">
        <f>"洪梦凡"</f>
        <v>洪梦凡</v>
      </c>
      <c r="E1341" s="9" t="str">
        <f>"女"</f>
        <v>女</v>
      </c>
      <c r="F1341" s="10"/>
    </row>
    <row r="1342" spans="1:6" ht="30" customHeight="1">
      <c r="A1342" s="9">
        <v>1340</v>
      </c>
      <c r="B1342" s="9" t="str">
        <f>"50322023032221440473517"</f>
        <v>50322023032221440473517</v>
      </c>
      <c r="C1342" s="9" t="s">
        <v>91</v>
      </c>
      <c r="D1342" s="10" t="str">
        <f>"苏怡"</f>
        <v>苏怡</v>
      </c>
      <c r="E1342" s="9" t="str">
        <f>"女"</f>
        <v>女</v>
      </c>
      <c r="F1342" s="10"/>
    </row>
    <row r="1343" spans="1:6" ht="30" customHeight="1">
      <c r="A1343" s="9">
        <v>1341</v>
      </c>
      <c r="B1343" s="9" t="str">
        <f>"50322023032320200775076"</f>
        <v>50322023032320200775076</v>
      </c>
      <c r="C1343" s="9" t="s">
        <v>91</v>
      </c>
      <c r="D1343" s="10" t="str">
        <f>"姚峥琦"</f>
        <v>姚峥琦</v>
      </c>
      <c r="E1343" s="9" t="str">
        <f>"女"</f>
        <v>女</v>
      </c>
      <c r="F1343" s="10"/>
    </row>
    <row r="1344" spans="1:6" ht="30" customHeight="1">
      <c r="A1344" s="9">
        <v>1342</v>
      </c>
      <c r="B1344" s="9" t="str">
        <f>"50322023032320285975085"</f>
        <v>50322023032320285975085</v>
      </c>
      <c r="C1344" s="9" t="s">
        <v>91</v>
      </c>
      <c r="D1344" s="10" t="str">
        <f>"白怡雯"</f>
        <v>白怡雯</v>
      </c>
      <c r="E1344" s="9" t="str">
        <f>"女"</f>
        <v>女</v>
      </c>
      <c r="F1344" s="10"/>
    </row>
    <row r="1345" spans="1:6" ht="30" customHeight="1">
      <c r="A1345" s="9">
        <v>1343</v>
      </c>
      <c r="B1345" s="9" t="str">
        <f>"50322023032410305475576"</f>
        <v>50322023032410305475576</v>
      </c>
      <c r="C1345" s="9" t="s">
        <v>91</v>
      </c>
      <c r="D1345" s="10" t="str">
        <f>"马好平"</f>
        <v>马好平</v>
      </c>
      <c r="E1345" s="9" t="str">
        <f>"男"</f>
        <v>男</v>
      </c>
      <c r="F1345" s="10"/>
    </row>
    <row r="1346" spans="1:6" ht="30" customHeight="1">
      <c r="A1346" s="9">
        <v>1344</v>
      </c>
      <c r="B1346" s="9" t="str">
        <f>"50322023032515203476918"</f>
        <v>50322023032515203476918</v>
      </c>
      <c r="C1346" s="9" t="s">
        <v>91</v>
      </c>
      <c r="D1346" s="10" t="str">
        <f>"丁倩妮"</f>
        <v>丁倩妮</v>
      </c>
      <c r="E1346" s="9" t="str">
        <f>"女"</f>
        <v>女</v>
      </c>
      <c r="F1346" s="10"/>
    </row>
    <row r="1347" spans="1:6" ht="30" customHeight="1">
      <c r="A1347" s="9">
        <v>1345</v>
      </c>
      <c r="B1347" s="9" t="str">
        <f>"50322023032710482878072"</f>
        <v>50322023032710482878072</v>
      </c>
      <c r="C1347" s="9" t="s">
        <v>91</v>
      </c>
      <c r="D1347" s="10" t="str">
        <f>"苏畅"</f>
        <v>苏畅</v>
      </c>
      <c r="E1347" s="9" t="str">
        <f>"女"</f>
        <v>女</v>
      </c>
      <c r="F1347" s="10"/>
    </row>
    <row r="1348" spans="1:6" ht="30" customHeight="1">
      <c r="A1348" s="9">
        <v>1346</v>
      </c>
      <c r="B1348" s="9" t="str">
        <f>"50322023032718035178670"</f>
        <v>50322023032718035178670</v>
      </c>
      <c r="C1348" s="9" t="s">
        <v>91</v>
      </c>
      <c r="D1348" s="10" t="str">
        <f>"徐嘉琪"</f>
        <v>徐嘉琪</v>
      </c>
      <c r="E1348" s="9" t="str">
        <f>"女"</f>
        <v>女</v>
      </c>
      <c r="F1348" s="10"/>
    </row>
    <row r="1349" spans="1:6" ht="30" customHeight="1">
      <c r="A1349" s="9">
        <v>1347</v>
      </c>
      <c r="B1349" s="9" t="str">
        <f>"50322023032816532579784"</f>
        <v>50322023032816532579784</v>
      </c>
      <c r="C1349" s="9" t="s">
        <v>91</v>
      </c>
      <c r="D1349" s="10" t="str">
        <f>"左涵恩"</f>
        <v>左涵恩</v>
      </c>
      <c r="E1349" s="9" t="str">
        <f>"女"</f>
        <v>女</v>
      </c>
      <c r="F1349" s="10"/>
    </row>
    <row r="1350" spans="1:6" ht="30" customHeight="1">
      <c r="A1350" s="9">
        <v>1348</v>
      </c>
      <c r="B1350" s="9" t="str">
        <f>"50322023032819590779972"</f>
        <v>50322023032819590779972</v>
      </c>
      <c r="C1350" s="9" t="s">
        <v>91</v>
      </c>
      <c r="D1350" s="10" t="str">
        <f>"刘春雨"</f>
        <v>刘春雨</v>
      </c>
      <c r="E1350" s="9" t="str">
        <f>"男"</f>
        <v>男</v>
      </c>
      <c r="F1350" s="10"/>
    </row>
    <row r="1351" spans="1:6" ht="30" customHeight="1">
      <c r="A1351" s="9">
        <v>1349</v>
      </c>
      <c r="B1351" s="9" t="str">
        <f>"50322023032909000380407"</f>
        <v>50322023032909000380407</v>
      </c>
      <c r="C1351" s="9" t="s">
        <v>91</v>
      </c>
      <c r="D1351" s="10" t="str">
        <f>"昝涛"</f>
        <v>昝涛</v>
      </c>
      <c r="E1351" s="9" t="str">
        <f>"女"</f>
        <v>女</v>
      </c>
      <c r="F1351" s="10"/>
    </row>
    <row r="1352" spans="1:6" ht="30" customHeight="1">
      <c r="A1352" s="9">
        <v>1350</v>
      </c>
      <c r="B1352" s="9" t="str">
        <f>"50322023033010240985672"</f>
        <v>50322023033010240985672</v>
      </c>
      <c r="C1352" s="9" t="s">
        <v>91</v>
      </c>
      <c r="D1352" s="10" t="str">
        <f>"羊玉薇"</f>
        <v>羊玉薇</v>
      </c>
      <c r="E1352" s="9" t="str">
        <f>"女"</f>
        <v>女</v>
      </c>
      <c r="F1352" s="10"/>
    </row>
    <row r="1353" spans="1:6" ht="30" customHeight="1">
      <c r="A1353" s="9">
        <v>1351</v>
      </c>
      <c r="B1353" s="9" t="str">
        <f>"50322023032108090262969"</f>
        <v>50322023032108090262969</v>
      </c>
      <c r="C1353" s="9" t="s">
        <v>92</v>
      </c>
      <c r="D1353" s="10" t="str">
        <f>"马鑫"</f>
        <v>马鑫</v>
      </c>
      <c r="E1353" s="9" t="str">
        <f>"女"</f>
        <v>女</v>
      </c>
      <c r="F1353" s="10"/>
    </row>
    <row r="1354" spans="1:6" ht="30" customHeight="1">
      <c r="A1354" s="9">
        <v>1352</v>
      </c>
      <c r="B1354" s="9" t="str">
        <f>"50322023032109530763876"</f>
        <v>50322023032109530763876</v>
      </c>
      <c r="C1354" s="9" t="s">
        <v>92</v>
      </c>
      <c r="D1354" s="10" t="str">
        <f>"史克壮"</f>
        <v>史克壮</v>
      </c>
      <c r="E1354" s="9" t="str">
        <f>"男"</f>
        <v>男</v>
      </c>
      <c r="F1354" s="10"/>
    </row>
    <row r="1355" spans="1:6" ht="30" customHeight="1">
      <c r="A1355" s="9">
        <v>1353</v>
      </c>
      <c r="B1355" s="9" t="str">
        <f>"50322023032111101164597"</f>
        <v>50322023032111101164597</v>
      </c>
      <c r="C1355" s="9" t="s">
        <v>92</v>
      </c>
      <c r="D1355" s="10" t="str">
        <f>"姜婷婷"</f>
        <v>姜婷婷</v>
      </c>
      <c r="E1355" s="9" t="str">
        <f aca="true" t="shared" si="55" ref="E1355:E1386">"女"</f>
        <v>女</v>
      </c>
      <c r="F1355" s="10"/>
    </row>
    <row r="1356" spans="1:6" ht="30" customHeight="1">
      <c r="A1356" s="9">
        <v>1354</v>
      </c>
      <c r="B1356" s="9" t="str">
        <f>"50322023032113573765736"</f>
        <v>50322023032113573765736</v>
      </c>
      <c r="C1356" s="9" t="s">
        <v>92</v>
      </c>
      <c r="D1356" s="10" t="str">
        <f>"李桂枝"</f>
        <v>李桂枝</v>
      </c>
      <c r="E1356" s="9" t="str">
        <f t="shared" si="55"/>
        <v>女</v>
      </c>
      <c r="F1356" s="10"/>
    </row>
    <row r="1357" spans="1:6" ht="30" customHeight="1">
      <c r="A1357" s="9">
        <v>1355</v>
      </c>
      <c r="B1357" s="9" t="str">
        <f>"50322023032116295666720"</f>
        <v>50322023032116295666720</v>
      </c>
      <c r="C1357" s="9" t="s">
        <v>92</v>
      </c>
      <c r="D1357" s="10" t="str">
        <f>"谢雨轩"</f>
        <v>谢雨轩</v>
      </c>
      <c r="E1357" s="9" t="str">
        <f t="shared" si="55"/>
        <v>女</v>
      </c>
      <c r="F1357" s="10"/>
    </row>
    <row r="1358" spans="1:6" ht="30" customHeight="1">
      <c r="A1358" s="9">
        <v>1356</v>
      </c>
      <c r="B1358" s="9" t="str">
        <f>"50322023032120245567930"</f>
        <v>50322023032120245567930</v>
      </c>
      <c r="C1358" s="9" t="s">
        <v>92</v>
      </c>
      <c r="D1358" s="10" t="str">
        <f>"王啸瑜"</f>
        <v>王啸瑜</v>
      </c>
      <c r="E1358" s="9" t="str">
        <f t="shared" si="55"/>
        <v>女</v>
      </c>
      <c r="F1358" s="10"/>
    </row>
    <row r="1359" spans="1:6" ht="30" customHeight="1">
      <c r="A1359" s="9">
        <v>1357</v>
      </c>
      <c r="B1359" s="9" t="str">
        <f>"50322023032121500668511"</f>
        <v>50322023032121500668511</v>
      </c>
      <c r="C1359" s="9" t="s">
        <v>92</v>
      </c>
      <c r="D1359" s="10" t="str">
        <f>"李佳凝"</f>
        <v>李佳凝</v>
      </c>
      <c r="E1359" s="9" t="str">
        <f t="shared" si="55"/>
        <v>女</v>
      </c>
      <c r="F1359" s="10"/>
    </row>
    <row r="1360" spans="1:6" ht="30" customHeight="1">
      <c r="A1360" s="9">
        <v>1358</v>
      </c>
      <c r="B1360" s="9" t="str">
        <f>"50322023032200285969217"</f>
        <v>50322023032200285969217</v>
      </c>
      <c r="C1360" s="9" t="s">
        <v>92</v>
      </c>
      <c r="D1360" s="10" t="str">
        <f>"王慧霞"</f>
        <v>王慧霞</v>
      </c>
      <c r="E1360" s="9" t="str">
        <f t="shared" si="55"/>
        <v>女</v>
      </c>
      <c r="F1360" s="10"/>
    </row>
    <row r="1361" spans="1:6" ht="30" customHeight="1">
      <c r="A1361" s="9">
        <v>1359</v>
      </c>
      <c r="B1361" s="9" t="str">
        <f>"50322023032210231769993"</f>
        <v>50322023032210231769993</v>
      </c>
      <c r="C1361" s="9" t="s">
        <v>92</v>
      </c>
      <c r="D1361" s="10" t="str">
        <f>"凃治鑫"</f>
        <v>凃治鑫</v>
      </c>
      <c r="E1361" s="9" t="str">
        <f t="shared" si="55"/>
        <v>女</v>
      </c>
      <c r="F1361" s="10"/>
    </row>
    <row r="1362" spans="1:6" ht="30" customHeight="1">
      <c r="A1362" s="9">
        <v>1360</v>
      </c>
      <c r="B1362" s="9" t="str">
        <f>"50322023032215295272179"</f>
        <v>50322023032215295272179</v>
      </c>
      <c r="C1362" s="9" t="s">
        <v>92</v>
      </c>
      <c r="D1362" s="10" t="str">
        <f>"张家溶"</f>
        <v>张家溶</v>
      </c>
      <c r="E1362" s="9" t="str">
        <f t="shared" si="55"/>
        <v>女</v>
      </c>
      <c r="F1362" s="10"/>
    </row>
    <row r="1363" spans="1:6" ht="30" customHeight="1">
      <c r="A1363" s="9">
        <v>1361</v>
      </c>
      <c r="B1363" s="9" t="str">
        <f>"50322023032216350972782"</f>
        <v>50322023032216350972782</v>
      </c>
      <c r="C1363" s="9" t="s">
        <v>92</v>
      </c>
      <c r="D1363" s="10" t="str">
        <f>"王芬芬"</f>
        <v>王芬芬</v>
      </c>
      <c r="E1363" s="9" t="str">
        <f t="shared" si="55"/>
        <v>女</v>
      </c>
      <c r="F1363" s="10"/>
    </row>
    <row r="1364" spans="1:6" ht="30" customHeight="1">
      <c r="A1364" s="9">
        <v>1362</v>
      </c>
      <c r="B1364" s="9" t="str">
        <f>"50322023032220280073357"</f>
        <v>50322023032220280073357</v>
      </c>
      <c r="C1364" s="9" t="s">
        <v>92</v>
      </c>
      <c r="D1364" s="10" t="str">
        <f>"詹冰"</f>
        <v>詹冰</v>
      </c>
      <c r="E1364" s="9" t="str">
        <f t="shared" si="55"/>
        <v>女</v>
      </c>
      <c r="F1364" s="10"/>
    </row>
    <row r="1365" spans="1:6" ht="30" customHeight="1">
      <c r="A1365" s="9">
        <v>1363</v>
      </c>
      <c r="B1365" s="9" t="str">
        <f>"50322023032312433074366"</f>
        <v>50322023032312433074366</v>
      </c>
      <c r="C1365" s="9" t="s">
        <v>92</v>
      </c>
      <c r="D1365" s="10" t="str">
        <f>"董烁"</f>
        <v>董烁</v>
      </c>
      <c r="E1365" s="9" t="str">
        <f t="shared" si="55"/>
        <v>女</v>
      </c>
      <c r="F1365" s="10"/>
    </row>
    <row r="1366" spans="1:6" ht="30" customHeight="1">
      <c r="A1366" s="9">
        <v>1364</v>
      </c>
      <c r="B1366" s="9" t="str">
        <f>"50322023032402042175378"</f>
        <v>50322023032402042175378</v>
      </c>
      <c r="C1366" s="9" t="s">
        <v>92</v>
      </c>
      <c r="D1366" s="10" t="str">
        <f>"张蒙萌"</f>
        <v>张蒙萌</v>
      </c>
      <c r="E1366" s="9" t="str">
        <f t="shared" si="55"/>
        <v>女</v>
      </c>
      <c r="F1366" s="10"/>
    </row>
    <row r="1367" spans="1:6" ht="30" customHeight="1">
      <c r="A1367" s="9">
        <v>1365</v>
      </c>
      <c r="B1367" s="9" t="str">
        <f>"50322023032421054976353"</f>
        <v>50322023032421054976353</v>
      </c>
      <c r="C1367" s="9" t="s">
        <v>92</v>
      </c>
      <c r="D1367" s="10" t="str">
        <f>"李思思"</f>
        <v>李思思</v>
      </c>
      <c r="E1367" s="9" t="str">
        <f t="shared" si="55"/>
        <v>女</v>
      </c>
      <c r="F1367" s="10"/>
    </row>
    <row r="1368" spans="1:6" ht="30" customHeight="1">
      <c r="A1368" s="9">
        <v>1366</v>
      </c>
      <c r="B1368" s="9" t="str">
        <f>"50322023032512015176712"</f>
        <v>50322023032512015176712</v>
      </c>
      <c r="C1368" s="9" t="s">
        <v>92</v>
      </c>
      <c r="D1368" s="10" t="str">
        <f>"许晶晶"</f>
        <v>许晶晶</v>
      </c>
      <c r="E1368" s="9" t="str">
        <f t="shared" si="55"/>
        <v>女</v>
      </c>
      <c r="F1368" s="10"/>
    </row>
    <row r="1369" spans="1:6" ht="30" customHeight="1">
      <c r="A1369" s="9">
        <v>1367</v>
      </c>
      <c r="B1369" s="9" t="str">
        <f>"50322023032608112977247"</f>
        <v>50322023032608112977247</v>
      </c>
      <c r="C1369" s="9" t="s">
        <v>92</v>
      </c>
      <c r="D1369" s="10" t="str">
        <f>"王雪"</f>
        <v>王雪</v>
      </c>
      <c r="E1369" s="9" t="str">
        <f t="shared" si="55"/>
        <v>女</v>
      </c>
      <c r="F1369" s="10"/>
    </row>
    <row r="1370" spans="1:6" ht="30" customHeight="1">
      <c r="A1370" s="9">
        <v>1368</v>
      </c>
      <c r="B1370" s="9" t="str">
        <f>"50322023032613100477380"</f>
        <v>50322023032613100477380</v>
      </c>
      <c r="C1370" s="9" t="s">
        <v>92</v>
      </c>
      <c r="D1370" s="10" t="str">
        <f>"吕伟"</f>
        <v>吕伟</v>
      </c>
      <c r="E1370" s="9" t="str">
        <f t="shared" si="55"/>
        <v>女</v>
      </c>
      <c r="F1370" s="10"/>
    </row>
    <row r="1371" spans="1:6" ht="30" customHeight="1">
      <c r="A1371" s="9">
        <v>1369</v>
      </c>
      <c r="B1371" s="9" t="str">
        <f>"50322023032615374477463"</f>
        <v>50322023032615374477463</v>
      </c>
      <c r="C1371" s="9" t="s">
        <v>92</v>
      </c>
      <c r="D1371" s="10" t="str">
        <f>"吕卓航"</f>
        <v>吕卓航</v>
      </c>
      <c r="E1371" s="9" t="str">
        <f t="shared" si="55"/>
        <v>女</v>
      </c>
      <c r="F1371" s="10"/>
    </row>
    <row r="1372" spans="1:6" ht="30" customHeight="1">
      <c r="A1372" s="9">
        <v>1370</v>
      </c>
      <c r="B1372" s="9" t="str">
        <f>"50322023032622452477727"</f>
        <v>50322023032622452477727</v>
      </c>
      <c r="C1372" s="9" t="s">
        <v>92</v>
      </c>
      <c r="D1372" s="10" t="str">
        <f>"周梦君"</f>
        <v>周梦君</v>
      </c>
      <c r="E1372" s="9" t="str">
        <f t="shared" si="55"/>
        <v>女</v>
      </c>
      <c r="F1372" s="10"/>
    </row>
    <row r="1373" spans="1:6" ht="30" customHeight="1">
      <c r="A1373" s="9">
        <v>1371</v>
      </c>
      <c r="B1373" s="9" t="str">
        <f>"50322023032718343778690"</f>
        <v>50322023032718343778690</v>
      </c>
      <c r="C1373" s="9" t="s">
        <v>92</v>
      </c>
      <c r="D1373" s="10" t="str">
        <f>"刘子妍"</f>
        <v>刘子妍</v>
      </c>
      <c r="E1373" s="9" t="str">
        <f t="shared" si="55"/>
        <v>女</v>
      </c>
      <c r="F1373" s="10"/>
    </row>
    <row r="1374" spans="1:6" ht="30" customHeight="1">
      <c r="A1374" s="9">
        <v>1372</v>
      </c>
      <c r="B1374" s="9" t="str">
        <f>"50322023032811251579404"</f>
        <v>50322023032811251579404</v>
      </c>
      <c r="C1374" s="9" t="s">
        <v>92</v>
      </c>
      <c r="D1374" s="10" t="str">
        <f>"吴飞雪"</f>
        <v>吴飞雪</v>
      </c>
      <c r="E1374" s="9" t="str">
        <f t="shared" si="55"/>
        <v>女</v>
      </c>
      <c r="F1374" s="10"/>
    </row>
    <row r="1375" spans="1:6" ht="30" customHeight="1">
      <c r="A1375" s="9">
        <v>1373</v>
      </c>
      <c r="B1375" s="9" t="str">
        <f>"50322023032811365679421"</f>
        <v>50322023032811365679421</v>
      </c>
      <c r="C1375" s="9" t="s">
        <v>92</v>
      </c>
      <c r="D1375" s="10" t="str">
        <f>"梁旭阳"</f>
        <v>梁旭阳</v>
      </c>
      <c r="E1375" s="9" t="str">
        <f t="shared" si="55"/>
        <v>女</v>
      </c>
      <c r="F1375" s="10"/>
    </row>
    <row r="1376" spans="1:6" ht="30" customHeight="1">
      <c r="A1376" s="9">
        <v>1374</v>
      </c>
      <c r="B1376" s="9" t="str">
        <f>"50322023032812343979476"</f>
        <v>50322023032812343979476</v>
      </c>
      <c r="C1376" s="9" t="s">
        <v>92</v>
      </c>
      <c r="D1376" s="10" t="str">
        <f>"白皙"</f>
        <v>白皙</v>
      </c>
      <c r="E1376" s="9" t="str">
        <f t="shared" si="55"/>
        <v>女</v>
      </c>
      <c r="F1376" s="10"/>
    </row>
    <row r="1377" spans="1:6" ht="30" customHeight="1">
      <c r="A1377" s="9">
        <v>1375</v>
      </c>
      <c r="B1377" s="9" t="str">
        <f>"50322023032820035179977"</f>
        <v>50322023032820035179977</v>
      </c>
      <c r="C1377" s="9" t="s">
        <v>92</v>
      </c>
      <c r="D1377" s="10" t="str">
        <f>"李宛桦"</f>
        <v>李宛桦</v>
      </c>
      <c r="E1377" s="9" t="str">
        <f t="shared" si="55"/>
        <v>女</v>
      </c>
      <c r="F1377" s="10"/>
    </row>
    <row r="1378" spans="1:6" ht="30" customHeight="1">
      <c r="A1378" s="9">
        <v>1376</v>
      </c>
      <c r="B1378" s="9" t="str">
        <f>"50322023033008465085235"</f>
        <v>50322023033008465085235</v>
      </c>
      <c r="C1378" s="9" t="s">
        <v>92</v>
      </c>
      <c r="D1378" s="10" t="str">
        <f>"许亚姣"</f>
        <v>许亚姣</v>
      </c>
      <c r="E1378" s="9" t="str">
        <f t="shared" si="55"/>
        <v>女</v>
      </c>
      <c r="F1378" s="10"/>
    </row>
    <row r="1379" spans="1:6" ht="30" customHeight="1">
      <c r="A1379" s="9">
        <v>1377</v>
      </c>
      <c r="B1379" s="9" t="str">
        <f>"50322023032109415863509"</f>
        <v>50322023032109415863509</v>
      </c>
      <c r="C1379" s="9" t="s">
        <v>93</v>
      </c>
      <c r="D1379" s="10" t="str">
        <f>"董吉芬"</f>
        <v>董吉芬</v>
      </c>
      <c r="E1379" s="9" t="str">
        <f t="shared" si="55"/>
        <v>女</v>
      </c>
      <c r="F1379" s="10"/>
    </row>
    <row r="1380" spans="1:6" ht="30" customHeight="1">
      <c r="A1380" s="9">
        <v>1378</v>
      </c>
      <c r="B1380" s="9" t="str">
        <f>"50322023032110050464002"</f>
        <v>50322023032110050464002</v>
      </c>
      <c r="C1380" s="9" t="s">
        <v>93</v>
      </c>
      <c r="D1380" s="10" t="str">
        <f>"栾克惠"</f>
        <v>栾克惠</v>
      </c>
      <c r="E1380" s="9" t="str">
        <f t="shared" si="55"/>
        <v>女</v>
      </c>
      <c r="F1380" s="10"/>
    </row>
    <row r="1381" spans="1:6" ht="30" customHeight="1">
      <c r="A1381" s="9">
        <v>1379</v>
      </c>
      <c r="B1381" s="9" t="str">
        <f>"50322023032112293865181"</f>
        <v>50322023032112293865181</v>
      </c>
      <c r="C1381" s="9" t="s">
        <v>93</v>
      </c>
      <c r="D1381" s="10" t="str">
        <f>"吴思荧"</f>
        <v>吴思荧</v>
      </c>
      <c r="E1381" s="9" t="str">
        <f t="shared" si="55"/>
        <v>女</v>
      </c>
      <c r="F1381" s="10"/>
    </row>
    <row r="1382" spans="1:6" ht="30" customHeight="1">
      <c r="A1382" s="9">
        <v>1380</v>
      </c>
      <c r="B1382" s="9" t="str">
        <f>"50322023032113475465671"</f>
        <v>50322023032113475465671</v>
      </c>
      <c r="C1382" s="9" t="s">
        <v>93</v>
      </c>
      <c r="D1382" s="10" t="str">
        <f>"姚璐洁"</f>
        <v>姚璐洁</v>
      </c>
      <c r="E1382" s="9" t="str">
        <f t="shared" si="55"/>
        <v>女</v>
      </c>
      <c r="F1382" s="10"/>
    </row>
    <row r="1383" spans="1:6" ht="30" customHeight="1">
      <c r="A1383" s="9">
        <v>1381</v>
      </c>
      <c r="B1383" s="9" t="str">
        <f>"50322023032115232366236"</f>
        <v>50322023032115232366236</v>
      </c>
      <c r="C1383" s="9" t="s">
        <v>93</v>
      </c>
      <c r="D1383" s="10" t="str">
        <f>"王女婷"</f>
        <v>王女婷</v>
      </c>
      <c r="E1383" s="9" t="str">
        <f t="shared" si="55"/>
        <v>女</v>
      </c>
      <c r="F1383" s="10"/>
    </row>
    <row r="1384" spans="1:6" ht="30" customHeight="1">
      <c r="A1384" s="9">
        <v>1382</v>
      </c>
      <c r="B1384" s="9" t="str">
        <f>"50322023032210285570043"</f>
        <v>50322023032210285570043</v>
      </c>
      <c r="C1384" s="9" t="s">
        <v>93</v>
      </c>
      <c r="D1384" s="10" t="str">
        <f>"谢慧芬"</f>
        <v>谢慧芬</v>
      </c>
      <c r="E1384" s="9" t="str">
        <f t="shared" si="55"/>
        <v>女</v>
      </c>
      <c r="F1384" s="10"/>
    </row>
    <row r="1385" spans="1:6" ht="30" customHeight="1">
      <c r="A1385" s="9">
        <v>1383</v>
      </c>
      <c r="B1385" s="9" t="str">
        <f>"50322023032411431575676"</f>
        <v>50322023032411431575676</v>
      </c>
      <c r="C1385" s="9" t="s">
        <v>93</v>
      </c>
      <c r="D1385" s="10" t="str">
        <f>"黄正"</f>
        <v>黄正</v>
      </c>
      <c r="E1385" s="9" t="str">
        <f t="shared" si="55"/>
        <v>女</v>
      </c>
      <c r="F1385" s="10"/>
    </row>
    <row r="1386" spans="1:6" ht="30" customHeight="1">
      <c r="A1386" s="9">
        <v>1384</v>
      </c>
      <c r="B1386" s="9" t="str">
        <f>"50322023032417280676158"</f>
        <v>50322023032417280676158</v>
      </c>
      <c r="C1386" s="9" t="s">
        <v>93</v>
      </c>
      <c r="D1386" s="10" t="str">
        <f>"潘孝柳"</f>
        <v>潘孝柳</v>
      </c>
      <c r="E1386" s="9" t="str">
        <f t="shared" si="55"/>
        <v>女</v>
      </c>
      <c r="F1386" s="10"/>
    </row>
    <row r="1387" spans="1:6" ht="30" customHeight="1">
      <c r="A1387" s="9">
        <v>1385</v>
      </c>
      <c r="B1387" s="9" t="str">
        <f>"50322023032613100377379"</f>
        <v>50322023032613100377379</v>
      </c>
      <c r="C1387" s="9" t="s">
        <v>93</v>
      </c>
      <c r="D1387" s="10" t="str">
        <f>"黎灵晶"</f>
        <v>黎灵晶</v>
      </c>
      <c r="E1387" s="9" t="str">
        <f>"男"</f>
        <v>男</v>
      </c>
      <c r="F1387" s="10"/>
    </row>
    <row r="1388" spans="1:6" ht="30" customHeight="1">
      <c r="A1388" s="9">
        <v>1386</v>
      </c>
      <c r="B1388" s="9" t="str">
        <f>"50322023032710161378017"</f>
        <v>50322023032710161378017</v>
      </c>
      <c r="C1388" s="9" t="s">
        <v>93</v>
      </c>
      <c r="D1388" s="10" t="str">
        <f>"高嘉敏"</f>
        <v>高嘉敏</v>
      </c>
      <c r="E1388" s="9" t="str">
        <f>"女"</f>
        <v>女</v>
      </c>
      <c r="F1388" s="10"/>
    </row>
    <row r="1389" spans="1:6" ht="30" customHeight="1">
      <c r="A1389" s="9">
        <v>1387</v>
      </c>
      <c r="B1389" s="9" t="str">
        <f>"50322023032711423778174"</f>
        <v>50322023032711423778174</v>
      </c>
      <c r="C1389" s="9" t="s">
        <v>93</v>
      </c>
      <c r="D1389" s="10" t="str">
        <f>"姚向阳"</f>
        <v>姚向阳</v>
      </c>
      <c r="E1389" s="9" t="str">
        <f>"男"</f>
        <v>男</v>
      </c>
      <c r="F1389" s="10"/>
    </row>
    <row r="1390" spans="1:6" ht="30" customHeight="1">
      <c r="A1390" s="9">
        <v>1388</v>
      </c>
      <c r="B1390" s="9" t="str">
        <f>"50322023032714540578393"</f>
        <v>50322023032714540578393</v>
      </c>
      <c r="C1390" s="9" t="s">
        <v>93</v>
      </c>
      <c r="D1390" s="10" t="str">
        <f>"钟经美"</f>
        <v>钟经美</v>
      </c>
      <c r="E1390" s="9" t="str">
        <f aca="true" t="shared" si="56" ref="E1390:E1406">"女"</f>
        <v>女</v>
      </c>
      <c r="F1390" s="10"/>
    </row>
    <row r="1391" spans="1:6" ht="30" customHeight="1">
      <c r="A1391" s="9">
        <v>1389</v>
      </c>
      <c r="B1391" s="9" t="str">
        <f>"50322023032715374678461"</f>
        <v>50322023032715374678461</v>
      </c>
      <c r="C1391" s="9" t="s">
        <v>93</v>
      </c>
      <c r="D1391" s="10" t="str">
        <f>"吴慧敏 "</f>
        <v>吴慧敏 </v>
      </c>
      <c r="E1391" s="9" t="str">
        <f t="shared" si="56"/>
        <v>女</v>
      </c>
      <c r="F1391" s="10"/>
    </row>
    <row r="1392" spans="1:6" ht="30" customHeight="1">
      <c r="A1392" s="9">
        <v>1390</v>
      </c>
      <c r="B1392" s="9" t="str">
        <f>"50322023032810411079328"</f>
        <v>50322023032810411079328</v>
      </c>
      <c r="C1392" s="9" t="s">
        <v>93</v>
      </c>
      <c r="D1392" s="10" t="str">
        <f>"王玉珍"</f>
        <v>王玉珍</v>
      </c>
      <c r="E1392" s="9" t="str">
        <f t="shared" si="56"/>
        <v>女</v>
      </c>
      <c r="F1392" s="10"/>
    </row>
    <row r="1393" spans="1:6" ht="30" customHeight="1">
      <c r="A1393" s="9">
        <v>1391</v>
      </c>
      <c r="B1393" s="9" t="str">
        <f>"50322023032821542180152"</f>
        <v>50322023032821542180152</v>
      </c>
      <c r="C1393" s="9" t="s">
        <v>93</v>
      </c>
      <c r="D1393" s="10" t="str">
        <f>"林海宁"</f>
        <v>林海宁</v>
      </c>
      <c r="E1393" s="9" t="str">
        <f t="shared" si="56"/>
        <v>女</v>
      </c>
      <c r="F1393" s="10"/>
    </row>
    <row r="1394" spans="1:6" ht="30" customHeight="1">
      <c r="A1394" s="9">
        <v>1392</v>
      </c>
      <c r="B1394" s="9" t="str">
        <f>"50322023032822084580178"</f>
        <v>50322023032822084580178</v>
      </c>
      <c r="C1394" s="9" t="s">
        <v>93</v>
      </c>
      <c r="D1394" s="10" t="str">
        <f>"杨春燕"</f>
        <v>杨春燕</v>
      </c>
      <c r="E1394" s="9" t="str">
        <f t="shared" si="56"/>
        <v>女</v>
      </c>
      <c r="F1394" s="10"/>
    </row>
    <row r="1395" spans="1:6" ht="30" customHeight="1">
      <c r="A1395" s="9">
        <v>1393</v>
      </c>
      <c r="B1395" s="9" t="str">
        <f>"50322023032915494582391"</f>
        <v>50322023032915494582391</v>
      </c>
      <c r="C1395" s="9" t="s">
        <v>93</v>
      </c>
      <c r="D1395" s="10" t="str">
        <f>"陆晓英"</f>
        <v>陆晓英</v>
      </c>
      <c r="E1395" s="9" t="str">
        <f t="shared" si="56"/>
        <v>女</v>
      </c>
      <c r="F1395" s="10"/>
    </row>
    <row r="1396" spans="1:6" ht="30" customHeight="1">
      <c r="A1396" s="9">
        <v>1394</v>
      </c>
      <c r="B1396" s="9" t="str">
        <f>"50322023032110580864477"</f>
        <v>50322023032110580864477</v>
      </c>
      <c r="C1396" s="9" t="s">
        <v>94</v>
      </c>
      <c r="D1396" s="10" t="str">
        <f>"郭思家"</f>
        <v>郭思家</v>
      </c>
      <c r="E1396" s="9" t="str">
        <f t="shared" si="56"/>
        <v>女</v>
      </c>
      <c r="F1396" s="10"/>
    </row>
    <row r="1397" spans="1:6" ht="30" customHeight="1">
      <c r="A1397" s="9">
        <v>1395</v>
      </c>
      <c r="B1397" s="9" t="str">
        <f>"50322023032213164771198"</f>
        <v>50322023032213164771198</v>
      </c>
      <c r="C1397" s="9" t="s">
        <v>94</v>
      </c>
      <c r="D1397" s="10" t="str">
        <f>"曾耀丹"</f>
        <v>曾耀丹</v>
      </c>
      <c r="E1397" s="9" t="str">
        <f t="shared" si="56"/>
        <v>女</v>
      </c>
      <c r="F1397" s="10"/>
    </row>
    <row r="1398" spans="1:6" ht="30" customHeight="1">
      <c r="A1398" s="9">
        <v>1396</v>
      </c>
      <c r="B1398" s="9" t="str">
        <f>"50322023032409341475496"</f>
        <v>50322023032409341475496</v>
      </c>
      <c r="C1398" s="9" t="s">
        <v>94</v>
      </c>
      <c r="D1398" s="10" t="str">
        <f>"邓华清"</f>
        <v>邓华清</v>
      </c>
      <c r="E1398" s="9" t="str">
        <f t="shared" si="56"/>
        <v>女</v>
      </c>
      <c r="F1398" s="10"/>
    </row>
    <row r="1399" spans="1:6" ht="30" customHeight="1">
      <c r="A1399" s="9">
        <v>1397</v>
      </c>
      <c r="B1399" s="9" t="str">
        <f>"50322023032915195282280"</f>
        <v>50322023032915195282280</v>
      </c>
      <c r="C1399" s="9" t="s">
        <v>94</v>
      </c>
      <c r="D1399" s="10" t="str">
        <f>"董智"</f>
        <v>董智</v>
      </c>
      <c r="E1399" s="9" t="str">
        <f t="shared" si="56"/>
        <v>女</v>
      </c>
      <c r="F1399" s="10"/>
    </row>
    <row r="1400" spans="1:6" ht="30" customHeight="1">
      <c r="A1400" s="9">
        <v>1398</v>
      </c>
      <c r="B1400" s="9" t="str">
        <f>"50322023032209105269538"</f>
        <v>50322023032209105269538</v>
      </c>
      <c r="C1400" s="9" t="s">
        <v>95</v>
      </c>
      <c r="D1400" s="10" t="str">
        <f>"马岑薇"</f>
        <v>马岑薇</v>
      </c>
      <c r="E1400" s="9" t="str">
        <f t="shared" si="56"/>
        <v>女</v>
      </c>
      <c r="F1400" s="10"/>
    </row>
    <row r="1401" spans="1:6" ht="30" customHeight="1">
      <c r="A1401" s="9">
        <v>1399</v>
      </c>
      <c r="B1401" s="9" t="str">
        <f>"50322023032216190772633"</f>
        <v>50322023032216190772633</v>
      </c>
      <c r="C1401" s="9" t="s">
        <v>95</v>
      </c>
      <c r="D1401" s="10" t="str">
        <f>"王柔斯"</f>
        <v>王柔斯</v>
      </c>
      <c r="E1401" s="9" t="str">
        <f t="shared" si="56"/>
        <v>女</v>
      </c>
      <c r="F1401" s="10"/>
    </row>
    <row r="1402" spans="1:6" ht="30" customHeight="1">
      <c r="A1402" s="9">
        <v>1400</v>
      </c>
      <c r="B1402" s="9" t="str">
        <f>"50322023032309234673914"</f>
        <v>50322023032309234673914</v>
      </c>
      <c r="C1402" s="9" t="s">
        <v>95</v>
      </c>
      <c r="D1402" s="10" t="str">
        <f>"张西月"</f>
        <v>张西月</v>
      </c>
      <c r="E1402" s="9" t="str">
        <f t="shared" si="56"/>
        <v>女</v>
      </c>
      <c r="F1402" s="10"/>
    </row>
    <row r="1403" spans="1:6" ht="30" customHeight="1">
      <c r="A1403" s="9">
        <v>1401</v>
      </c>
      <c r="B1403" s="9" t="str">
        <f>"50322023032310182774031"</f>
        <v>50322023032310182774031</v>
      </c>
      <c r="C1403" s="9" t="s">
        <v>95</v>
      </c>
      <c r="D1403" s="10" t="str">
        <f>"石扬惠子"</f>
        <v>石扬惠子</v>
      </c>
      <c r="E1403" s="9" t="str">
        <f t="shared" si="56"/>
        <v>女</v>
      </c>
      <c r="F1403" s="10"/>
    </row>
    <row r="1404" spans="1:6" ht="30" customHeight="1">
      <c r="A1404" s="9">
        <v>1402</v>
      </c>
      <c r="B1404" s="9" t="str">
        <f>"50322023032321453875186"</f>
        <v>50322023032321453875186</v>
      </c>
      <c r="C1404" s="9" t="s">
        <v>95</v>
      </c>
      <c r="D1404" s="10" t="str">
        <f>"谭皓心"</f>
        <v>谭皓心</v>
      </c>
      <c r="E1404" s="9" t="str">
        <f t="shared" si="56"/>
        <v>女</v>
      </c>
      <c r="F1404" s="10"/>
    </row>
    <row r="1405" spans="1:6" ht="30" customHeight="1">
      <c r="A1405" s="9">
        <v>1403</v>
      </c>
      <c r="B1405" s="9" t="str">
        <f>"50322023032322461675276"</f>
        <v>50322023032322461675276</v>
      </c>
      <c r="C1405" s="9" t="s">
        <v>95</v>
      </c>
      <c r="D1405" s="10" t="str">
        <f>"何有仪"</f>
        <v>何有仪</v>
      </c>
      <c r="E1405" s="9" t="str">
        <f t="shared" si="56"/>
        <v>女</v>
      </c>
      <c r="F1405" s="10"/>
    </row>
    <row r="1406" spans="1:6" ht="30" customHeight="1">
      <c r="A1406" s="9">
        <v>1404</v>
      </c>
      <c r="B1406" s="9" t="str">
        <f>"50322023032413280575841"</f>
        <v>50322023032413280575841</v>
      </c>
      <c r="C1406" s="9" t="s">
        <v>95</v>
      </c>
      <c r="D1406" s="10" t="str">
        <f>"吴永洁"</f>
        <v>吴永洁</v>
      </c>
      <c r="E1406" s="9" t="str">
        <f t="shared" si="56"/>
        <v>女</v>
      </c>
      <c r="F1406" s="10"/>
    </row>
    <row r="1407" spans="1:6" ht="30" customHeight="1">
      <c r="A1407" s="9">
        <v>1405</v>
      </c>
      <c r="B1407" s="9" t="str">
        <f>"50322023032520535677138"</f>
        <v>50322023032520535677138</v>
      </c>
      <c r="C1407" s="9" t="s">
        <v>95</v>
      </c>
      <c r="D1407" s="10" t="str">
        <f>"徐明君"</f>
        <v>徐明君</v>
      </c>
      <c r="E1407" s="9" t="str">
        <f>"男"</f>
        <v>男</v>
      </c>
      <c r="F1407" s="10"/>
    </row>
    <row r="1408" spans="1:6" ht="30" customHeight="1">
      <c r="A1408" s="9">
        <v>1406</v>
      </c>
      <c r="B1408" s="9" t="str">
        <f>"50322023032522392577193"</f>
        <v>50322023032522392577193</v>
      </c>
      <c r="C1408" s="9" t="s">
        <v>95</v>
      </c>
      <c r="D1408" s="10" t="str">
        <f>"于德华"</f>
        <v>于德华</v>
      </c>
      <c r="E1408" s="9" t="str">
        <f aca="true" t="shared" si="57" ref="E1408:E1418">"女"</f>
        <v>女</v>
      </c>
      <c r="F1408" s="10"/>
    </row>
    <row r="1409" spans="1:6" ht="30" customHeight="1">
      <c r="A1409" s="9">
        <v>1407</v>
      </c>
      <c r="B1409" s="9" t="str">
        <f>"50322023032608502477256"</f>
        <v>50322023032608502477256</v>
      </c>
      <c r="C1409" s="9" t="s">
        <v>95</v>
      </c>
      <c r="D1409" s="10" t="str">
        <f>"邵楠"</f>
        <v>邵楠</v>
      </c>
      <c r="E1409" s="9" t="str">
        <f t="shared" si="57"/>
        <v>女</v>
      </c>
      <c r="F1409" s="10"/>
    </row>
    <row r="1410" spans="1:6" ht="30" customHeight="1">
      <c r="A1410" s="9">
        <v>1408</v>
      </c>
      <c r="B1410" s="9" t="str">
        <f>"50322023032611020077315"</f>
        <v>50322023032611020077315</v>
      </c>
      <c r="C1410" s="9" t="s">
        <v>95</v>
      </c>
      <c r="D1410" s="10" t="str">
        <f>"周甜"</f>
        <v>周甜</v>
      </c>
      <c r="E1410" s="9" t="str">
        <f t="shared" si="57"/>
        <v>女</v>
      </c>
      <c r="F1410" s="10"/>
    </row>
    <row r="1411" spans="1:6" ht="30" customHeight="1">
      <c r="A1411" s="9">
        <v>1409</v>
      </c>
      <c r="B1411" s="9" t="str">
        <f>"50322023032623380877761"</f>
        <v>50322023032623380877761</v>
      </c>
      <c r="C1411" s="9" t="s">
        <v>95</v>
      </c>
      <c r="D1411" s="10" t="str">
        <f>"文苹妃"</f>
        <v>文苹妃</v>
      </c>
      <c r="E1411" s="9" t="str">
        <f t="shared" si="57"/>
        <v>女</v>
      </c>
      <c r="F1411" s="10"/>
    </row>
    <row r="1412" spans="1:6" ht="30" customHeight="1">
      <c r="A1412" s="9">
        <v>1410</v>
      </c>
      <c r="B1412" s="9" t="str">
        <f>"50322023032708185077801"</f>
        <v>50322023032708185077801</v>
      </c>
      <c r="C1412" s="9" t="s">
        <v>95</v>
      </c>
      <c r="D1412" s="10" t="str">
        <f>"田恬"</f>
        <v>田恬</v>
      </c>
      <c r="E1412" s="9" t="str">
        <f t="shared" si="57"/>
        <v>女</v>
      </c>
      <c r="F1412" s="10"/>
    </row>
    <row r="1413" spans="1:6" ht="30" customHeight="1">
      <c r="A1413" s="9">
        <v>1411</v>
      </c>
      <c r="B1413" s="9" t="str">
        <f>"50322023032711105778122"</f>
        <v>50322023032711105778122</v>
      </c>
      <c r="C1413" s="9" t="s">
        <v>95</v>
      </c>
      <c r="D1413" s="10" t="str">
        <f>"苏虹"</f>
        <v>苏虹</v>
      </c>
      <c r="E1413" s="9" t="str">
        <f t="shared" si="57"/>
        <v>女</v>
      </c>
      <c r="F1413" s="10"/>
    </row>
    <row r="1414" spans="1:6" ht="30" customHeight="1">
      <c r="A1414" s="9">
        <v>1412</v>
      </c>
      <c r="B1414" s="9" t="str">
        <f>"50322023032711241578149"</f>
        <v>50322023032711241578149</v>
      </c>
      <c r="C1414" s="9" t="s">
        <v>95</v>
      </c>
      <c r="D1414" s="10" t="str">
        <f>"吴慧子"</f>
        <v>吴慧子</v>
      </c>
      <c r="E1414" s="9" t="str">
        <f t="shared" si="57"/>
        <v>女</v>
      </c>
      <c r="F1414" s="10"/>
    </row>
    <row r="1415" spans="1:6" ht="30" customHeight="1">
      <c r="A1415" s="9">
        <v>1413</v>
      </c>
      <c r="B1415" s="9" t="str">
        <f>"50322023032819142479911"</f>
        <v>50322023032819142479911</v>
      </c>
      <c r="C1415" s="9" t="s">
        <v>95</v>
      </c>
      <c r="D1415" s="10" t="str">
        <f>"陈珊珊"</f>
        <v>陈珊珊</v>
      </c>
      <c r="E1415" s="9" t="str">
        <f t="shared" si="57"/>
        <v>女</v>
      </c>
      <c r="F1415" s="10"/>
    </row>
    <row r="1416" spans="1:6" ht="30" customHeight="1">
      <c r="A1416" s="9">
        <v>1414</v>
      </c>
      <c r="B1416" s="9" t="str">
        <f>"50322023032820390080040"</f>
        <v>50322023032820390080040</v>
      </c>
      <c r="C1416" s="9" t="s">
        <v>95</v>
      </c>
      <c r="D1416" s="10" t="str">
        <f>"黎晓晴"</f>
        <v>黎晓晴</v>
      </c>
      <c r="E1416" s="9" t="str">
        <f t="shared" si="57"/>
        <v>女</v>
      </c>
      <c r="F1416" s="10"/>
    </row>
    <row r="1417" spans="1:6" ht="30" customHeight="1">
      <c r="A1417" s="9">
        <v>1415</v>
      </c>
      <c r="B1417" s="9" t="str">
        <f>"50322023032922065884844"</f>
        <v>50322023032922065884844</v>
      </c>
      <c r="C1417" s="9" t="s">
        <v>95</v>
      </c>
      <c r="D1417" s="10" t="str">
        <f>"王金玉"</f>
        <v>王金玉</v>
      </c>
      <c r="E1417" s="9" t="str">
        <f t="shared" si="57"/>
        <v>女</v>
      </c>
      <c r="F1417" s="10"/>
    </row>
    <row r="1418" spans="1:6" ht="30" customHeight="1">
      <c r="A1418" s="9">
        <v>1416</v>
      </c>
      <c r="B1418" s="9" t="str">
        <f>"50322023033010160185644"</f>
        <v>50322023033010160185644</v>
      </c>
      <c r="C1418" s="9" t="s">
        <v>95</v>
      </c>
      <c r="D1418" s="10" t="str">
        <f>"史佳宇"</f>
        <v>史佳宇</v>
      </c>
      <c r="E1418" s="9" t="str">
        <f t="shared" si="57"/>
        <v>女</v>
      </c>
      <c r="F1418" s="10"/>
    </row>
    <row r="1419" spans="1:6" ht="30" customHeight="1">
      <c r="A1419" s="9">
        <v>1417</v>
      </c>
      <c r="B1419" s="9" t="str">
        <f>"50322023032108590563189"</f>
        <v>50322023032108590563189</v>
      </c>
      <c r="C1419" s="9" t="s">
        <v>96</v>
      </c>
      <c r="D1419" s="10" t="str">
        <f>"林发敏"</f>
        <v>林发敏</v>
      </c>
      <c r="E1419" s="9" t="str">
        <f>"男"</f>
        <v>男</v>
      </c>
      <c r="F1419" s="10"/>
    </row>
    <row r="1420" spans="1:6" ht="30" customHeight="1">
      <c r="A1420" s="9">
        <v>1418</v>
      </c>
      <c r="B1420" s="9" t="str">
        <f>"50322023032116402466795"</f>
        <v>50322023032116402466795</v>
      </c>
      <c r="C1420" s="9" t="s">
        <v>96</v>
      </c>
      <c r="D1420" s="10" t="str">
        <f>"丁息凡"</f>
        <v>丁息凡</v>
      </c>
      <c r="E1420" s="9" t="str">
        <f aca="true" t="shared" si="58" ref="E1420:E1429">"女"</f>
        <v>女</v>
      </c>
      <c r="F1420" s="10"/>
    </row>
    <row r="1421" spans="1:6" ht="30" customHeight="1">
      <c r="A1421" s="9">
        <v>1419</v>
      </c>
      <c r="B1421" s="9" t="str">
        <f>"50322023032309534173980"</f>
        <v>50322023032309534173980</v>
      </c>
      <c r="C1421" s="9" t="s">
        <v>96</v>
      </c>
      <c r="D1421" s="10" t="str">
        <f>"张婷"</f>
        <v>张婷</v>
      </c>
      <c r="E1421" s="9" t="str">
        <f t="shared" si="58"/>
        <v>女</v>
      </c>
      <c r="F1421" s="11" t="s">
        <v>97</v>
      </c>
    </row>
    <row r="1422" spans="1:6" ht="30" customHeight="1">
      <c r="A1422" s="9">
        <v>1420</v>
      </c>
      <c r="B1422" s="9" t="str">
        <f>"50322023032310015673997"</f>
        <v>50322023032310015673997</v>
      </c>
      <c r="C1422" s="9" t="s">
        <v>96</v>
      </c>
      <c r="D1422" s="10" t="str">
        <f>"李静姣"</f>
        <v>李静姣</v>
      </c>
      <c r="E1422" s="9" t="str">
        <f t="shared" si="58"/>
        <v>女</v>
      </c>
      <c r="F1422" s="10"/>
    </row>
    <row r="1423" spans="1:6" ht="30" customHeight="1">
      <c r="A1423" s="9">
        <v>1421</v>
      </c>
      <c r="B1423" s="9" t="str">
        <f>"50322023032908583480404"</f>
        <v>50322023032908583480404</v>
      </c>
      <c r="C1423" s="9" t="s">
        <v>96</v>
      </c>
      <c r="D1423" s="10" t="str">
        <f>"沈雪姣"</f>
        <v>沈雪姣</v>
      </c>
      <c r="E1423" s="9" t="str">
        <f t="shared" si="58"/>
        <v>女</v>
      </c>
      <c r="F1423" s="10"/>
    </row>
    <row r="1424" spans="1:6" ht="30" customHeight="1">
      <c r="A1424" s="9">
        <v>1422</v>
      </c>
      <c r="B1424" s="9" t="str">
        <f>"50322023032909275280691"</f>
        <v>50322023032909275280691</v>
      </c>
      <c r="C1424" s="9" t="s">
        <v>96</v>
      </c>
      <c r="D1424" s="10" t="str">
        <f>"曾惠雯"</f>
        <v>曾惠雯</v>
      </c>
      <c r="E1424" s="9" t="str">
        <f t="shared" si="58"/>
        <v>女</v>
      </c>
      <c r="F1424" s="10"/>
    </row>
    <row r="1425" spans="1:6" ht="30" customHeight="1">
      <c r="A1425" s="9">
        <v>1423</v>
      </c>
      <c r="B1425" s="9" t="str">
        <f>"50322023032109503563854"</f>
        <v>50322023032109503563854</v>
      </c>
      <c r="C1425" s="9" t="s">
        <v>98</v>
      </c>
      <c r="D1425" s="10" t="str">
        <f>"林璧冰"</f>
        <v>林璧冰</v>
      </c>
      <c r="E1425" s="9" t="str">
        <f t="shared" si="58"/>
        <v>女</v>
      </c>
      <c r="F1425" s="10"/>
    </row>
    <row r="1426" spans="1:6" ht="30" customHeight="1">
      <c r="A1426" s="9">
        <v>1424</v>
      </c>
      <c r="B1426" s="9" t="str">
        <f>"50322023032211175570399"</f>
        <v>50322023032211175570399</v>
      </c>
      <c r="C1426" s="9" t="s">
        <v>98</v>
      </c>
      <c r="D1426" s="10" t="str">
        <f>"王玮娴"</f>
        <v>王玮娴</v>
      </c>
      <c r="E1426" s="9" t="str">
        <f t="shared" si="58"/>
        <v>女</v>
      </c>
      <c r="F1426" s="10"/>
    </row>
    <row r="1427" spans="1:6" ht="30" customHeight="1">
      <c r="A1427" s="9">
        <v>1425</v>
      </c>
      <c r="B1427" s="9" t="str">
        <f>"50322023032215434172310"</f>
        <v>50322023032215434172310</v>
      </c>
      <c r="C1427" s="9" t="s">
        <v>98</v>
      </c>
      <c r="D1427" s="10" t="str">
        <f>"陈瑶瑶"</f>
        <v>陈瑶瑶</v>
      </c>
      <c r="E1427" s="9" t="str">
        <f t="shared" si="58"/>
        <v>女</v>
      </c>
      <c r="F1427" s="10"/>
    </row>
    <row r="1428" spans="1:6" ht="30" customHeight="1">
      <c r="A1428" s="9">
        <v>1426</v>
      </c>
      <c r="B1428" s="9" t="str">
        <f>"50322023032218395673169"</f>
        <v>50322023032218395673169</v>
      </c>
      <c r="C1428" s="9" t="s">
        <v>98</v>
      </c>
      <c r="D1428" s="10" t="str">
        <f>"黄冠婷"</f>
        <v>黄冠婷</v>
      </c>
      <c r="E1428" s="9" t="str">
        <f t="shared" si="58"/>
        <v>女</v>
      </c>
      <c r="F1428" s="10"/>
    </row>
    <row r="1429" spans="1:6" ht="30" customHeight="1">
      <c r="A1429" s="9">
        <v>1427</v>
      </c>
      <c r="B1429" s="9" t="str">
        <f>"50322023032109111163270"</f>
        <v>50322023032109111163270</v>
      </c>
      <c r="C1429" s="9" t="s">
        <v>99</v>
      </c>
      <c r="D1429" s="10" t="str">
        <f>"沈文涛"</f>
        <v>沈文涛</v>
      </c>
      <c r="E1429" s="9" t="str">
        <f t="shared" si="58"/>
        <v>女</v>
      </c>
      <c r="F1429" s="10"/>
    </row>
    <row r="1430" spans="1:6" ht="30" customHeight="1">
      <c r="A1430" s="9">
        <v>1428</v>
      </c>
      <c r="B1430" s="9" t="str">
        <f>"50322023032110214064168"</f>
        <v>50322023032110214064168</v>
      </c>
      <c r="C1430" s="9" t="s">
        <v>99</v>
      </c>
      <c r="D1430" s="10" t="str">
        <f>"程威"</f>
        <v>程威</v>
      </c>
      <c r="E1430" s="9" t="str">
        <f>"男"</f>
        <v>男</v>
      </c>
      <c r="F1430" s="10"/>
    </row>
    <row r="1431" spans="1:6" ht="30" customHeight="1">
      <c r="A1431" s="9">
        <v>1429</v>
      </c>
      <c r="B1431" s="9" t="str">
        <f>"50322023032110230464180"</f>
        <v>50322023032110230464180</v>
      </c>
      <c r="C1431" s="9" t="s">
        <v>99</v>
      </c>
      <c r="D1431" s="10" t="str">
        <f>"蔡文慧"</f>
        <v>蔡文慧</v>
      </c>
      <c r="E1431" s="9" t="str">
        <f>"女"</f>
        <v>女</v>
      </c>
      <c r="F1431" s="10"/>
    </row>
    <row r="1432" spans="1:6" ht="30" customHeight="1">
      <c r="A1432" s="9">
        <v>1430</v>
      </c>
      <c r="B1432" s="9" t="str">
        <f>"50322023032115504566425"</f>
        <v>50322023032115504566425</v>
      </c>
      <c r="C1432" s="9" t="s">
        <v>99</v>
      </c>
      <c r="D1432" s="10" t="str">
        <f>"黄海燕"</f>
        <v>黄海燕</v>
      </c>
      <c r="E1432" s="9" t="str">
        <f>"女"</f>
        <v>女</v>
      </c>
      <c r="F1432" s="10"/>
    </row>
    <row r="1433" spans="1:6" ht="30" customHeight="1">
      <c r="A1433" s="9">
        <v>1431</v>
      </c>
      <c r="B1433" s="9" t="str">
        <f>"50322023032116123266595"</f>
        <v>50322023032116123266595</v>
      </c>
      <c r="C1433" s="9" t="s">
        <v>99</v>
      </c>
      <c r="D1433" s="10" t="str">
        <f>"吴育林"</f>
        <v>吴育林</v>
      </c>
      <c r="E1433" s="9" t="str">
        <f>"男"</f>
        <v>男</v>
      </c>
      <c r="F1433" s="10"/>
    </row>
    <row r="1434" spans="1:6" ht="30" customHeight="1">
      <c r="A1434" s="9">
        <v>1432</v>
      </c>
      <c r="B1434" s="9" t="str">
        <f>"50322023032209155969565"</f>
        <v>50322023032209155969565</v>
      </c>
      <c r="C1434" s="9" t="s">
        <v>99</v>
      </c>
      <c r="D1434" s="10" t="str">
        <f>"黄传翔"</f>
        <v>黄传翔</v>
      </c>
      <c r="E1434" s="9" t="str">
        <f>"男"</f>
        <v>男</v>
      </c>
      <c r="F1434" s="10"/>
    </row>
    <row r="1435" spans="1:6" ht="30" customHeight="1">
      <c r="A1435" s="9">
        <v>1433</v>
      </c>
      <c r="B1435" s="9" t="str">
        <f>"50322023032219105073225"</f>
        <v>50322023032219105073225</v>
      </c>
      <c r="C1435" s="9" t="s">
        <v>99</v>
      </c>
      <c r="D1435" s="10" t="str">
        <f>"郑彩妹"</f>
        <v>郑彩妹</v>
      </c>
      <c r="E1435" s="9" t="str">
        <f>"女"</f>
        <v>女</v>
      </c>
      <c r="F1435" s="10"/>
    </row>
    <row r="1436" spans="1:6" ht="30" customHeight="1">
      <c r="A1436" s="9">
        <v>1434</v>
      </c>
      <c r="B1436" s="9" t="str">
        <f>"50322023032220350673375"</f>
        <v>50322023032220350673375</v>
      </c>
      <c r="C1436" s="9" t="s">
        <v>99</v>
      </c>
      <c r="D1436" s="10" t="str">
        <f>"高伟"</f>
        <v>高伟</v>
      </c>
      <c r="E1436" s="9" t="str">
        <f>"男"</f>
        <v>男</v>
      </c>
      <c r="F1436" s="10"/>
    </row>
    <row r="1437" spans="1:6" ht="30" customHeight="1">
      <c r="A1437" s="9">
        <v>1435</v>
      </c>
      <c r="B1437" s="9" t="str">
        <f>"50322023032321341475170"</f>
        <v>50322023032321341475170</v>
      </c>
      <c r="C1437" s="9" t="s">
        <v>99</v>
      </c>
      <c r="D1437" s="10" t="str">
        <f>"申晓晓"</f>
        <v>申晓晓</v>
      </c>
      <c r="E1437" s="9" t="str">
        <f>"女"</f>
        <v>女</v>
      </c>
      <c r="F1437" s="10"/>
    </row>
    <row r="1438" spans="1:6" ht="30" customHeight="1">
      <c r="A1438" s="9">
        <v>1436</v>
      </c>
      <c r="B1438" s="9" t="str">
        <f>"50322023032417513576178"</f>
        <v>50322023032417513576178</v>
      </c>
      <c r="C1438" s="9" t="s">
        <v>99</v>
      </c>
      <c r="D1438" s="10" t="str">
        <f>"林妮妮"</f>
        <v>林妮妮</v>
      </c>
      <c r="E1438" s="9" t="str">
        <f>"女"</f>
        <v>女</v>
      </c>
      <c r="F1438" s="10"/>
    </row>
    <row r="1439" spans="1:6" ht="30" customHeight="1">
      <c r="A1439" s="9">
        <v>1437</v>
      </c>
      <c r="B1439" s="9" t="str">
        <f>"50322023032711191578139"</f>
        <v>50322023032711191578139</v>
      </c>
      <c r="C1439" s="9" t="s">
        <v>99</v>
      </c>
      <c r="D1439" s="10" t="str">
        <f>"王科研"</f>
        <v>王科研</v>
      </c>
      <c r="E1439" s="9" t="str">
        <f>"男"</f>
        <v>男</v>
      </c>
      <c r="F1439" s="10"/>
    </row>
    <row r="1440" spans="1:6" ht="30" customHeight="1">
      <c r="A1440" s="9">
        <v>1438</v>
      </c>
      <c r="B1440" s="9" t="str">
        <f>"50322023032711542778196"</f>
        <v>50322023032711542778196</v>
      </c>
      <c r="C1440" s="9" t="s">
        <v>99</v>
      </c>
      <c r="D1440" s="10" t="str">
        <f>"李丽香"</f>
        <v>李丽香</v>
      </c>
      <c r="E1440" s="9" t="str">
        <f>"女"</f>
        <v>女</v>
      </c>
      <c r="F1440" s="10"/>
    </row>
    <row r="1441" spans="1:6" ht="30" customHeight="1">
      <c r="A1441" s="9">
        <v>1439</v>
      </c>
      <c r="B1441" s="9" t="str">
        <f>"50322023032910121681005"</f>
        <v>50322023032910121681005</v>
      </c>
      <c r="C1441" s="9" t="s">
        <v>99</v>
      </c>
      <c r="D1441" s="10" t="str">
        <f>"黎秋侬"</f>
        <v>黎秋侬</v>
      </c>
      <c r="E1441" s="9" t="str">
        <f>"女"</f>
        <v>女</v>
      </c>
      <c r="F1441" s="10"/>
    </row>
    <row r="1442" spans="1:6" ht="30" customHeight="1">
      <c r="A1442" s="9">
        <v>1440</v>
      </c>
      <c r="B1442" s="9" t="str">
        <f>"50322023032911253781424"</f>
        <v>50322023032911253781424</v>
      </c>
      <c r="C1442" s="9" t="s">
        <v>99</v>
      </c>
      <c r="D1442" s="10" t="str">
        <f>"陈积莹"</f>
        <v>陈积莹</v>
      </c>
      <c r="E1442" s="9" t="str">
        <f>"女"</f>
        <v>女</v>
      </c>
      <c r="F1442" s="10"/>
    </row>
    <row r="1443" spans="1:6" ht="30" customHeight="1">
      <c r="A1443" s="9">
        <v>1441</v>
      </c>
      <c r="B1443" s="9" t="str">
        <f>"50322023032918540584271"</f>
        <v>50322023032918540584271</v>
      </c>
      <c r="C1443" s="9" t="s">
        <v>99</v>
      </c>
      <c r="D1443" s="10" t="str">
        <f>"郭善兰"</f>
        <v>郭善兰</v>
      </c>
      <c r="E1443" s="9" t="str">
        <f>"女"</f>
        <v>女</v>
      </c>
      <c r="F1443" s="10"/>
    </row>
    <row r="1444" spans="1:6" ht="30" customHeight="1">
      <c r="A1444" s="9">
        <v>1442</v>
      </c>
      <c r="B1444" s="9" t="str">
        <f>"50322023033010052485594"</f>
        <v>50322023033010052485594</v>
      </c>
      <c r="C1444" s="9" t="s">
        <v>99</v>
      </c>
      <c r="D1444" s="10" t="str">
        <f>"冉浩阳"</f>
        <v>冉浩阳</v>
      </c>
      <c r="E1444" s="9" t="str">
        <f>"男"</f>
        <v>男</v>
      </c>
      <c r="F1444" s="10"/>
    </row>
    <row r="1445" spans="1:6" ht="30" customHeight="1">
      <c r="A1445" s="9">
        <v>1443</v>
      </c>
      <c r="B1445" s="9" t="str">
        <f>"50322023032108355663067"</f>
        <v>50322023032108355663067</v>
      </c>
      <c r="C1445" s="9" t="s">
        <v>100</v>
      </c>
      <c r="D1445" s="10" t="str">
        <f>"张婷"</f>
        <v>张婷</v>
      </c>
      <c r="E1445" s="9" t="str">
        <f aca="true" t="shared" si="59" ref="E1445:E1454">"女"</f>
        <v>女</v>
      </c>
      <c r="F1445" s="11" t="s">
        <v>101</v>
      </c>
    </row>
    <row r="1446" spans="1:6" ht="30" customHeight="1">
      <c r="A1446" s="9">
        <v>1444</v>
      </c>
      <c r="B1446" s="9" t="str">
        <f>"50322023032112202265114"</f>
        <v>50322023032112202265114</v>
      </c>
      <c r="C1446" s="9" t="s">
        <v>100</v>
      </c>
      <c r="D1446" s="10" t="str">
        <f>"赵丽"</f>
        <v>赵丽</v>
      </c>
      <c r="E1446" s="9" t="str">
        <f t="shared" si="59"/>
        <v>女</v>
      </c>
      <c r="F1446" s="10"/>
    </row>
    <row r="1447" spans="1:6" ht="30" customHeight="1">
      <c r="A1447" s="9">
        <v>1445</v>
      </c>
      <c r="B1447" s="9" t="str">
        <f>"50322023032113412765617"</f>
        <v>50322023032113412765617</v>
      </c>
      <c r="C1447" s="9" t="s">
        <v>100</v>
      </c>
      <c r="D1447" s="10" t="str">
        <f>"魏夏晖"</f>
        <v>魏夏晖</v>
      </c>
      <c r="E1447" s="9" t="str">
        <f t="shared" si="59"/>
        <v>女</v>
      </c>
      <c r="F1447" s="10"/>
    </row>
    <row r="1448" spans="1:6" ht="30" customHeight="1">
      <c r="A1448" s="9">
        <v>1446</v>
      </c>
      <c r="B1448" s="9" t="str">
        <f>"50322023032114431765983"</f>
        <v>50322023032114431765983</v>
      </c>
      <c r="C1448" s="9" t="s">
        <v>100</v>
      </c>
      <c r="D1448" s="10" t="str">
        <f>"陈宏娜"</f>
        <v>陈宏娜</v>
      </c>
      <c r="E1448" s="9" t="str">
        <f t="shared" si="59"/>
        <v>女</v>
      </c>
      <c r="F1448" s="10"/>
    </row>
    <row r="1449" spans="1:6" ht="30" customHeight="1">
      <c r="A1449" s="9">
        <v>1447</v>
      </c>
      <c r="B1449" s="9" t="str">
        <f>"50322023032115251666255"</f>
        <v>50322023032115251666255</v>
      </c>
      <c r="C1449" s="9" t="s">
        <v>100</v>
      </c>
      <c r="D1449" s="10" t="str">
        <f>"王丹丹"</f>
        <v>王丹丹</v>
      </c>
      <c r="E1449" s="9" t="str">
        <f t="shared" si="59"/>
        <v>女</v>
      </c>
      <c r="F1449" s="10"/>
    </row>
    <row r="1450" spans="1:6" ht="30" customHeight="1">
      <c r="A1450" s="9">
        <v>1448</v>
      </c>
      <c r="B1450" s="9" t="str">
        <f>"50322023032115290566284"</f>
        <v>50322023032115290566284</v>
      </c>
      <c r="C1450" s="9" t="s">
        <v>100</v>
      </c>
      <c r="D1450" s="10" t="str">
        <f>"刘雅辉"</f>
        <v>刘雅辉</v>
      </c>
      <c r="E1450" s="9" t="str">
        <f t="shared" si="59"/>
        <v>女</v>
      </c>
      <c r="F1450" s="10"/>
    </row>
    <row r="1451" spans="1:6" ht="30" customHeight="1">
      <c r="A1451" s="9">
        <v>1449</v>
      </c>
      <c r="B1451" s="9" t="str">
        <f>"50322023032116045266534"</f>
        <v>50322023032116045266534</v>
      </c>
      <c r="C1451" s="9" t="s">
        <v>100</v>
      </c>
      <c r="D1451" s="10" t="str">
        <f>"梁承教"</f>
        <v>梁承教</v>
      </c>
      <c r="E1451" s="9" t="str">
        <f t="shared" si="59"/>
        <v>女</v>
      </c>
      <c r="F1451" s="10"/>
    </row>
    <row r="1452" spans="1:6" ht="30" customHeight="1">
      <c r="A1452" s="9">
        <v>1450</v>
      </c>
      <c r="B1452" s="9" t="str">
        <f>"50322023032117021266923"</f>
        <v>50322023032117021266923</v>
      </c>
      <c r="C1452" s="9" t="s">
        <v>100</v>
      </c>
      <c r="D1452" s="10" t="str">
        <f>"李彩霞"</f>
        <v>李彩霞</v>
      </c>
      <c r="E1452" s="9" t="str">
        <f t="shared" si="59"/>
        <v>女</v>
      </c>
      <c r="F1452" s="10"/>
    </row>
    <row r="1453" spans="1:6" ht="30" customHeight="1">
      <c r="A1453" s="9">
        <v>1451</v>
      </c>
      <c r="B1453" s="9" t="str">
        <f>"50322023032117414567127"</f>
        <v>50322023032117414567127</v>
      </c>
      <c r="C1453" s="9" t="s">
        <v>100</v>
      </c>
      <c r="D1453" s="10" t="str">
        <f>"蔡似梅"</f>
        <v>蔡似梅</v>
      </c>
      <c r="E1453" s="9" t="str">
        <f t="shared" si="59"/>
        <v>女</v>
      </c>
      <c r="F1453" s="10"/>
    </row>
    <row r="1454" spans="1:6" ht="30" customHeight="1">
      <c r="A1454" s="9">
        <v>1452</v>
      </c>
      <c r="B1454" s="9" t="str">
        <f>"50322023032118115767248"</f>
        <v>50322023032118115767248</v>
      </c>
      <c r="C1454" s="9" t="s">
        <v>100</v>
      </c>
      <c r="D1454" s="10" t="str">
        <f>"杨庆嫩"</f>
        <v>杨庆嫩</v>
      </c>
      <c r="E1454" s="9" t="str">
        <f t="shared" si="59"/>
        <v>女</v>
      </c>
      <c r="F1454" s="10"/>
    </row>
    <row r="1455" spans="1:6" ht="30" customHeight="1">
      <c r="A1455" s="9">
        <v>1453</v>
      </c>
      <c r="B1455" s="9" t="str">
        <f>"50322023032120265167945"</f>
        <v>50322023032120265167945</v>
      </c>
      <c r="C1455" s="9" t="s">
        <v>100</v>
      </c>
      <c r="D1455" s="10" t="str">
        <f>"唐金鑫"</f>
        <v>唐金鑫</v>
      </c>
      <c r="E1455" s="9" t="str">
        <f>"男"</f>
        <v>男</v>
      </c>
      <c r="F1455" s="10"/>
    </row>
    <row r="1456" spans="1:6" ht="30" customHeight="1">
      <c r="A1456" s="9">
        <v>1454</v>
      </c>
      <c r="B1456" s="9" t="str">
        <f>"50322023032211174070395"</f>
        <v>50322023032211174070395</v>
      </c>
      <c r="C1456" s="9" t="s">
        <v>100</v>
      </c>
      <c r="D1456" s="10" t="str">
        <f>"文珺"</f>
        <v>文珺</v>
      </c>
      <c r="E1456" s="9" t="str">
        <f>"女"</f>
        <v>女</v>
      </c>
      <c r="F1456" s="10"/>
    </row>
    <row r="1457" spans="1:6" ht="30" customHeight="1">
      <c r="A1457" s="9">
        <v>1455</v>
      </c>
      <c r="B1457" s="9" t="str">
        <f>"50322023032214552071875"</f>
        <v>50322023032214552071875</v>
      </c>
      <c r="C1457" s="9" t="s">
        <v>100</v>
      </c>
      <c r="D1457" s="10" t="str">
        <f>"林颖"</f>
        <v>林颖</v>
      </c>
      <c r="E1457" s="9" t="str">
        <f>"女"</f>
        <v>女</v>
      </c>
      <c r="F1457" s="11" t="s">
        <v>86</v>
      </c>
    </row>
    <row r="1458" spans="1:6" ht="30" customHeight="1">
      <c r="A1458" s="9">
        <v>1456</v>
      </c>
      <c r="B1458" s="9" t="str">
        <f>"50322023032215402372274"</f>
        <v>50322023032215402372274</v>
      </c>
      <c r="C1458" s="9" t="s">
        <v>100</v>
      </c>
      <c r="D1458" s="10" t="str">
        <f>"文春娥"</f>
        <v>文春娥</v>
      </c>
      <c r="E1458" s="9" t="str">
        <f>"女"</f>
        <v>女</v>
      </c>
      <c r="F1458" s="10"/>
    </row>
    <row r="1459" spans="1:6" ht="30" customHeight="1">
      <c r="A1459" s="9">
        <v>1457</v>
      </c>
      <c r="B1459" s="9" t="str">
        <f>"50322023032217094373005"</f>
        <v>50322023032217094373005</v>
      </c>
      <c r="C1459" s="9" t="s">
        <v>100</v>
      </c>
      <c r="D1459" s="10" t="str">
        <f>"周贞廷"</f>
        <v>周贞廷</v>
      </c>
      <c r="E1459" s="9" t="str">
        <f>"女"</f>
        <v>女</v>
      </c>
      <c r="F1459" s="10"/>
    </row>
    <row r="1460" spans="1:6" ht="30" customHeight="1">
      <c r="A1460" s="9">
        <v>1458</v>
      </c>
      <c r="B1460" s="9" t="str">
        <f>"50322023032220343173372"</f>
        <v>50322023032220343173372</v>
      </c>
      <c r="C1460" s="9" t="s">
        <v>100</v>
      </c>
      <c r="D1460" s="10" t="str">
        <f>"王香梅"</f>
        <v>王香梅</v>
      </c>
      <c r="E1460" s="9" t="str">
        <f>"女"</f>
        <v>女</v>
      </c>
      <c r="F1460" s="10"/>
    </row>
    <row r="1461" spans="1:6" ht="30" customHeight="1">
      <c r="A1461" s="9">
        <v>1459</v>
      </c>
      <c r="B1461" s="9" t="str">
        <f>"50322023032221173473472"</f>
        <v>50322023032221173473472</v>
      </c>
      <c r="C1461" s="9" t="s">
        <v>100</v>
      </c>
      <c r="D1461" s="10" t="str">
        <f>"符启坚"</f>
        <v>符启坚</v>
      </c>
      <c r="E1461" s="9" t="str">
        <f>"男"</f>
        <v>男</v>
      </c>
      <c r="F1461" s="10"/>
    </row>
    <row r="1462" spans="1:6" ht="30" customHeight="1">
      <c r="A1462" s="9">
        <v>1460</v>
      </c>
      <c r="B1462" s="9" t="str">
        <f>"50322023032307562273809"</f>
        <v>50322023032307562273809</v>
      </c>
      <c r="C1462" s="9" t="s">
        <v>100</v>
      </c>
      <c r="D1462" s="10" t="str">
        <f>"祁曼雅"</f>
        <v>祁曼雅</v>
      </c>
      <c r="E1462" s="9" t="str">
        <f aca="true" t="shared" si="60" ref="E1462:E1489">"女"</f>
        <v>女</v>
      </c>
      <c r="F1462" s="10"/>
    </row>
    <row r="1463" spans="1:6" ht="30" customHeight="1">
      <c r="A1463" s="9">
        <v>1461</v>
      </c>
      <c r="B1463" s="9" t="str">
        <f>"50322023032310194974033"</f>
        <v>50322023032310194974033</v>
      </c>
      <c r="C1463" s="9" t="s">
        <v>100</v>
      </c>
      <c r="D1463" s="10" t="str">
        <f>"李月春"</f>
        <v>李月春</v>
      </c>
      <c r="E1463" s="9" t="str">
        <f t="shared" si="60"/>
        <v>女</v>
      </c>
      <c r="F1463" s="10"/>
    </row>
    <row r="1464" spans="1:6" ht="30" customHeight="1">
      <c r="A1464" s="9">
        <v>1462</v>
      </c>
      <c r="B1464" s="9" t="str">
        <f>"50322023032310301974064"</f>
        <v>50322023032310301974064</v>
      </c>
      <c r="C1464" s="9" t="s">
        <v>100</v>
      </c>
      <c r="D1464" s="10" t="str">
        <f>"邝春容"</f>
        <v>邝春容</v>
      </c>
      <c r="E1464" s="9" t="str">
        <f t="shared" si="60"/>
        <v>女</v>
      </c>
      <c r="F1464" s="10"/>
    </row>
    <row r="1465" spans="1:6" ht="30" customHeight="1">
      <c r="A1465" s="9">
        <v>1463</v>
      </c>
      <c r="B1465" s="9" t="str">
        <f>"50322023032311062774163"</f>
        <v>50322023032311062774163</v>
      </c>
      <c r="C1465" s="9" t="s">
        <v>100</v>
      </c>
      <c r="D1465" s="10" t="str">
        <f>"黄淑珍"</f>
        <v>黄淑珍</v>
      </c>
      <c r="E1465" s="9" t="str">
        <f t="shared" si="60"/>
        <v>女</v>
      </c>
      <c r="F1465" s="10"/>
    </row>
    <row r="1466" spans="1:6" ht="30" customHeight="1">
      <c r="A1466" s="9">
        <v>1464</v>
      </c>
      <c r="B1466" s="9" t="str">
        <f>"50322023032317033874835"</f>
        <v>50322023032317033874835</v>
      </c>
      <c r="C1466" s="9" t="s">
        <v>100</v>
      </c>
      <c r="D1466" s="10" t="str">
        <f>"周钰钰"</f>
        <v>周钰钰</v>
      </c>
      <c r="E1466" s="9" t="str">
        <f t="shared" si="60"/>
        <v>女</v>
      </c>
      <c r="F1466" s="10"/>
    </row>
    <row r="1467" spans="1:6" ht="30" customHeight="1">
      <c r="A1467" s="9">
        <v>1465</v>
      </c>
      <c r="B1467" s="9" t="str">
        <f>"50322023032317144074852"</f>
        <v>50322023032317144074852</v>
      </c>
      <c r="C1467" s="9" t="s">
        <v>100</v>
      </c>
      <c r="D1467" s="10" t="str">
        <f>"周炳丹"</f>
        <v>周炳丹</v>
      </c>
      <c r="E1467" s="9" t="str">
        <f t="shared" si="60"/>
        <v>女</v>
      </c>
      <c r="F1467" s="10"/>
    </row>
    <row r="1468" spans="1:6" ht="30" customHeight="1">
      <c r="A1468" s="9">
        <v>1466</v>
      </c>
      <c r="B1468" s="9" t="str">
        <f>"50322023032407592675399"</f>
        <v>50322023032407592675399</v>
      </c>
      <c r="C1468" s="9" t="s">
        <v>100</v>
      </c>
      <c r="D1468" s="10" t="str">
        <f>"李婆姑"</f>
        <v>李婆姑</v>
      </c>
      <c r="E1468" s="9" t="str">
        <f t="shared" si="60"/>
        <v>女</v>
      </c>
      <c r="F1468" s="10"/>
    </row>
    <row r="1469" spans="1:6" ht="30" customHeight="1">
      <c r="A1469" s="9">
        <v>1467</v>
      </c>
      <c r="B1469" s="9" t="str">
        <f>"50322023032412212575736"</f>
        <v>50322023032412212575736</v>
      </c>
      <c r="C1469" s="9" t="s">
        <v>100</v>
      </c>
      <c r="D1469" s="10" t="str">
        <f>"陈春香"</f>
        <v>陈春香</v>
      </c>
      <c r="E1469" s="9" t="str">
        <f t="shared" si="60"/>
        <v>女</v>
      </c>
      <c r="F1469" s="10"/>
    </row>
    <row r="1470" spans="1:6" ht="30" customHeight="1">
      <c r="A1470" s="9">
        <v>1468</v>
      </c>
      <c r="B1470" s="9" t="str">
        <f>"50322023032415070475967"</f>
        <v>50322023032415070475967</v>
      </c>
      <c r="C1470" s="9" t="s">
        <v>100</v>
      </c>
      <c r="D1470" s="10" t="str">
        <f>"陈亚萍"</f>
        <v>陈亚萍</v>
      </c>
      <c r="E1470" s="9" t="str">
        <f t="shared" si="60"/>
        <v>女</v>
      </c>
      <c r="F1470" s="10"/>
    </row>
    <row r="1471" spans="1:6" ht="30" customHeight="1">
      <c r="A1471" s="9">
        <v>1469</v>
      </c>
      <c r="B1471" s="9" t="str">
        <f>"50322023032419483676280"</f>
        <v>50322023032419483676280</v>
      </c>
      <c r="C1471" s="9" t="s">
        <v>100</v>
      </c>
      <c r="D1471" s="10" t="str">
        <f>"黄立娇"</f>
        <v>黄立娇</v>
      </c>
      <c r="E1471" s="9" t="str">
        <f t="shared" si="60"/>
        <v>女</v>
      </c>
      <c r="F1471" s="10"/>
    </row>
    <row r="1472" spans="1:6" ht="30" customHeight="1">
      <c r="A1472" s="9">
        <v>1470</v>
      </c>
      <c r="B1472" s="9" t="str">
        <f>"50322023032420444276333"</f>
        <v>50322023032420444276333</v>
      </c>
      <c r="C1472" s="9" t="s">
        <v>100</v>
      </c>
      <c r="D1472" s="10" t="str">
        <f>"曾茜"</f>
        <v>曾茜</v>
      </c>
      <c r="E1472" s="9" t="str">
        <f t="shared" si="60"/>
        <v>女</v>
      </c>
      <c r="F1472" s="10"/>
    </row>
    <row r="1473" spans="1:6" ht="30" customHeight="1">
      <c r="A1473" s="9">
        <v>1471</v>
      </c>
      <c r="B1473" s="9" t="str">
        <f>"50322023032421065676354"</f>
        <v>50322023032421065676354</v>
      </c>
      <c r="C1473" s="9" t="s">
        <v>100</v>
      </c>
      <c r="D1473" s="10" t="str">
        <f>"盘天娜"</f>
        <v>盘天娜</v>
      </c>
      <c r="E1473" s="9" t="str">
        <f t="shared" si="60"/>
        <v>女</v>
      </c>
      <c r="F1473" s="10"/>
    </row>
    <row r="1474" spans="1:6" ht="30" customHeight="1">
      <c r="A1474" s="9">
        <v>1472</v>
      </c>
      <c r="B1474" s="9" t="str">
        <f>"50322023032422313676427"</f>
        <v>50322023032422313676427</v>
      </c>
      <c r="C1474" s="9" t="s">
        <v>100</v>
      </c>
      <c r="D1474" s="10" t="str">
        <f>"符鲜风"</f>
        <v>符鲜风</v>
      </c>
      <c r="E1474" s="9" t="str">
        <f t="shared" si="60"/>
        <v>女</v>
      </c>
      <c r="F1474" s="10"/>
    </row>
    <row r="1475" spans="1:6" ht="30" customHeight="1">
      <c r="A1475" s="9">
        <v>1473</v>
      </c>
      <c r="B1475" s="9" t="str">
        <f>"50322023032511174376663"</f>
        <v>50322023032511174376663</v>
      </c>
      <c r="C1475" s="9" t="s">
        <v>100</v>
      </c>
      <c r="D1475" s="10" t="str">
        <f>"王凤丹"</f>
        <v>王凤丹</v>
      </c>
      <c r="E1475" s="9" t="str">
        <f t="shared" si="60"/>
        <v>女</v>
      </c>
      <c r="F1475" s="10"/>
    </row>
    <row r="1476" spans="1:6" ht="30" customHeight="1">
      <c r="A1476" s="9">
        <v>1474</v>
      </c>
      <c r="B1476" s="9" t="str">
        <f>"50322023032516480677000"</f>
        <v>50322023032516480677000</v>
      </c>
      <c r="C1476" s="9" t="s">
        <v>100</v>
      </c>
      <c r="D1476" s="10" t="str">
        <f>"杨秋月"</f>
        <v>杨秋月</v>
      </c>
      <c r="E1476" s="9" t="str">
        <f t="shared" si="60"/>
        <v>女</v>
      </c>
      <c r="F1476" s="10"/>
    </row>
    <row r="1477" spans="1:6" ht="30" customHeight="1">
      <c r="A1477" s="9">
        <v>1475</v>
      </c>
      <c r="B1477" s="9" t="str">
        <f>"50322023032518571977073"</f>
        <v>50322023032518571977073</v>
      </c>
      <c r="C1477" s="9" t="s">
        <v>100</v>
      </c>
      <c r="D1477" s="10" t="str">
        <f>"裴芳芳"</f>
        <v>裴芳芳</v>
      </c>
      <c r="E1477" s="9" t="str">
        <f t="shared" si="60"/>
        <v>女</v>
      </c>
      <c r="F1477" s="10"/>
    </row>
    <row r="1478" spans="1:6" ht="30" customHeight="1">
      <c r="A1478" s="9">
        <v>1476</v>
      </c>
      <c r="B1478" s="9" t="str">
        <f>"50322023032520510377135"</f>
        <v>50322023032520510377135</v>
      </c>
      <c r="C1478" s="9" t="s">
        <v>100</v>
      </c>
      <c r="D1478" s="10" t="str">
        <f>"余映徵"</f>
        <v>余映徵</v>
      </c>
      <c r="E1478" s="9" t="str">
        <f t="shared" si="60"/>
        <v>女</v>
      </c>
      <c r="F1478" s="10"/>
    </row>
    <row r="1479" spans="1:6" ht="30" customHeight="1">
      <c r="A1479" s="9">
        <v>1477</v>
      </c>
      <c r="B1479" s="9" t="str">
        <f>"50322023032521194077148"</f>
        <v>50322023032521194077148</v>
      </c>
      <c r="C1479" s="9" t="s">
        <v>100</v>
      </c>
      <c r="D1479" s="10" t="str">
        <f>"温馨然"</f>
        <v>温馨然</v>
      </c>
      <c r="E1479" s="9" t="str">
        <f t="shared" si="60"/>
        <v>女</v>
      </c>
      <c r="F1479" s="10"/>
    </row>
    <row r="1480" spans="1:6" ht="30" customHeight="1">
      <c r="A1480" s="9">
        <v>1478</v>
      </c>
      <c r="B1480" s="9" t="str">
        <f>"50322023032521534677164"</f>
        <v>50322023032521534677164</v>
      </c>
      <c r="C1480" s="9" t="s">
        <v>100</v>
      </c>
      <c r="D1480" s="10" t="str">
        <f>"陈小曼"</f>
        <v>陈小曼</v>
      </c>
      <c r="E1480" s="9" t="str">
        <f t="shared" si="60"/>
        <v>女</v>
      </c>
      <c r="F1480" s="10"/>
    </row>
    <row r="1481" spans="1:6" ht="30" customHeight="1">
      <c r="A1481" s="9">
        <v>1479</v>
      </c>
      <c r="B1481" s="9" t="str">
        <f>"50322023032600464977237"</f>
        <v>50322023032600464977237</v>
      </c>
      <c r="C1481" s="9" t="s">
        <v>100</v>
      </c>
      <c r="D1481" s="10" t="str">
        <f>"林兴梅"</f>
        <v>林兴梅</v>
      </c>
      <c r="E1481" s="9" t="str">
        <f t="shared" si="60"/>
        <v>女</v>
      </c>
      <c r="F1481" s="10"/>
    </row>
    <row r="1482" spans="1:6" ht="30" customHeight="1">
      <c r="A1482" s="9">
        <v>1480</v>
      </c>
      <c r="B1482" s="9" t="str">
        <f>"50322023032619053777576"</f>
        <v>50322023032619053777576</v>
      </c>
      <c r="C1482" s="9" t="s">
        <v>100</v>
      </c>
      <c r="D1482" s="10" t="str">
        <f>"吉发霞"</f>
        <v>吉发霞</v>
      </c>
      <c r="E1482" s="9" t="str">
        <f t="shared" si="60"/>
        <v>女</v>
      </c>
      <c r="F1482" s="10"/>
    </row>
    <row r="1483" spans="1:6" ht="30" customHeight="1">
      <c r="A1483" s="9">
        <v>1481</v>
      </c>
      <c r="B1483" s="9" t="str">
        <f>"50322023032620374677627"</f>
        <v>50322023032620374677627</v>
      </c>
      <c r="C1483" s="9" t="s">
        <v>100</v>
      </c>
      <c r="D1483" s="10" t="str">
        <f>"黄梦婷"</f>
        <v>黄梦婷</v>
      </c>
      <c r="E1483" s="9" t="str">
        <f t="shared" si="60"/>
        <v>女</v>
      </c>
      <c r="F1483" s="10"/>
    </row>
    <row r="1484" spans="1:6" ht="30" customHeight="1">
      <c r="A1484" s="9">
        <v>1482</v>
      </c>
      <c r="B1484" s="9" t="str">
        <f>"50322023032622141577702"</f>
        <v>50322023032622141577702</v>
      </c>
      <c r="C1484" s="9" t="s">
        <v>100</v>
      </c>
      <c r="D1484" s="10" t="str">
        <f>"云雨茵"</f>
        <v>云雨茵</v>
      </c>
      <c r="E1484" s="9" t="str">
        <f t="shared" si="60"/>
        <v>女</v>
      </c>
      <c r="F1484" s="10"/>
    </row>
    <row r="1485" spans="1:6" ht="30" customHeight="1">
      <c r="A1485" s="9">
        <v>1483</v>
      </c>
      <c r="B1485" s="9" t="str">
        <f>"50322023032708201077802"</f>
        <v>50322023032708201077802</v>
      </c>
      <c r="C1485" s="9" t="s">
        <v>100</v>
      </c>
      <c r="D1485" s="10" t="str">
        <f>"郭江霞"</f>
        <v>郭江霞</v>
      </c>
      <c r="E1485" s="9" t="str">
        <f t="shared" si="60"/>
        <v>女</v>
      </c>
      <c r="F1485" s="10"/>
    </row>
    <row r="1486" spans="1:6" ht="30" customHeight="1">
      <c r="A1486" s="9">
        <v>1484</v>
      </c>
      <c r="B1486" s="9" t="str">
        <f>"50322023032711115478125"</f>
        <v>50322023032711115478125</v>
      </c>
      <c r="C1486" s="9" t="s">
        <v>100</v>
      </c>
      <c r="D1486" s="10" t="str">
        <f>"麦慧霞"</f>
        <v>麦慧霞</v>
      </c>
      <c r="E1486" s="9" t="str">
        <f t="shared" si="60"/>
        <v>女</v>
      </c>
      <c r="F1486" s="10"/>
    </row>
    <row r="1487" spans="1:6" ht="30" customHeight="1">
      <c r="A1487" s="9">
        <v>1485</v>
      </c>
      <c r="B1487" s="9" t="str">
        <f>"50322023032712332078236"</f>
        <v>50322023032712332078236</v>
      </c>
      <c r="C1487" s="9" t="s">
        <v>100</v>
      </c>
      <c r="D1487" s="10" t="str">
        <f>"纪瑶"</f>
        <v>纪瑶</v>
      </c>
      <c r="E1487" s="9" t="str">
        <f t="shared" si="60"/>
        <v>女</v>
      </c>
      <c r="F1487" s="10"/>
    </row>
    <row r="1488" spans="1:6" ht="30" customHeight="1">
      <c r="A1488" s="9">
        <v>1486</v>
      </c>
      <c r="B1488" s="9" t="str">
        <f>"50322023032713514178327"</f>
        <v>50322023032713514178327</v>
      </c>
      <c r="C1488" s="9" t="s">
        <v>100</v>
      </c>
      <c r="D1488" s="10" t="str">
        <f>"吴云霞"</f>
        <v>吴云霞</v>
      </c>
      <c r="E1488" s="9" t="str">
        <f t="shared" si="60"/>
        <v>女</v>
      </c>
      <c r="F1488" s="10"/>
    </row>
    <row r="1489" spans="1:6" ht="30" customHeight="1">
      <c r="A1489" s="9">
        <v>1487</v>
      </c>
      <c r="B1489" s="9" t="str">
        <f>"50322023032715502678481"</f>
        <v>50322023032715502678481</v>
      </c>
      <c r="C1489" s="9" t="s">
        <v>100</v>
      </c>
      <c r="D1489" s="10" t="str">
        <f>"苏芳慧"</f>
        <v>苏芳慧</v>
      </c>
      <c r="E1489" s="9" t="str">
        <f t="shared" si="60"/>
        <v>女</v>
      </c>
      <c r="F1489" s="10"/>
    </row>
    <row r="1490" spans="1:6" ht="30" customHeight="1">
      <c r="A1490" s="9">
        <v>1488</v>
      </c>
      <c r="B1490" s="9" t="str">
        <f>"50322023032722055578928"</f>
        <v>50322023032722055578928</v>
      </c>
      <c r="C1490" s="9" t="s">
        <v>100</v>
      </c>
      <c r="D1490" s="10" t="str">
        <f>"张海帅"</f>
        <v>张海帅</v>
      </c>
      <c r="E1490" s="9" t="str">
        <f>"男"</f>
        <v>男</v>
      </c>
      <c r="F1490" s="10"/>
    </row>
    <row r="1491" spans="1:6" ht="30" customHeight="1">
      <c r="A1491" s="9">
        <v>1489</v>
      </c>
      <c r="B1491" s="9" t="str">
        <f>"50322023032722151978940"</f>
        <v>50322023032722151978940</v>
      </c>
      <c r="C1491" s="9" t="s">
        <v>100</v>
      </c>
      <c r="D1491" s="10" t="str">
        <f>"陈金雪"</f>
        <v>陈金雪</v>
      </c>
      <c r="E1491" s="9" t="str">
        <f aca="true" t="shared" si="61" ref="E1491:E1499">"女"</f>
        <v>女</v>
      </c>
      <c r="F1491" s="10"/>
    </row>
    <row r="1492" spans="1:6" ht="30" customHeight="1">
      <c r="A1492" s="9">
        <v>1490</v>
      </c>
      <c r="B1492" s="9" t="str">
        <f>"50322023032723195678996"</f>
        <v>50322023032723195678996</v>
      </c>
      <c r="C1492" s="9" t="s">
        <v>100</v>
      </c>
      <c r="D1492" s="10" t="str">
        <f>"冯丽萍"</f>
        <v>冯丽萍</v>
      </c>
      <c r="E1492" s="9" t="str">
        <f t="shared" si="61"/>
        <v>女</v>
      </c>
      <c r="F1492" s="10"/>
    </row>
    <row r="1493" spans="1:6" ht="30" customHeight="1">
      <c r="A1493" s="9">
        <v>1491</v>
      </c>
      <c r="B1493" s="9" t="str">
        <f>"50322023032820252180023"</f>
        <v>50322023032820252180023</v>
      </c>
      <c r="C1493" s="9" t="s">
        <v>100</v>
      </c>
      <c r="D1493" s="10" t="str">
        <f>"蔡江贤"</f>
        <v>蔡江贤</v>
      </c>
      <c r="E1493" s="9" t="str">
        <f t="shared" si="61"/>
        <v>女</v>
      </c>
      <c r="F1493" s="10"/>
    </row>
    <row r="1494" spans="1:6" ht="30" customHeight="1">
      <c r="A1494" s="9">
        <v>1492</v>
      </c>
      <c r="B1494" s="9" t="str">
        <f>"50322023032821335880117"</f>
        <v>50322023032821335880117</v>
      </c>
      <c r="C1494" s="9" t="s">
        <v>100</v>
      </c>
      <c r="D1494" s="10" t="str">
        <f>"许美姗"</f>
        <v>许美姗</v>
      </c>
      <c r="E1494" s="9" t="str">
        <f t="shared" si="61"/>
        <v>女</v>
      </c>
      <c r="F1494" s="10"/>
    </row>
    <row r="1495" spans="1:6" ht="30" customHeight="1">
      <c r="A1495" s="9">
        <v>1493</v>
      </c>
      <c r="B1495" s="9" t="str">
        <f>"50322023032900532680332"</f>
        <v>50322023032900532680332</v>
      </c>
      <c r="C1495" s="9" t="s">
        <v>100</v>
      </c>
      <c r="D1495" s="10" t="str">
        <f>"陈宝桦"</f>
        <v>陈宝桦</v>
      </c>
      <c r="E1495" s="9" t="str">
        <f t="shared" si="61"/>
        <v>女</v>
      </c>
      <c r="F1495" s="10"/>
    </row>
    <row r="1496" spans="1:6" ht="30" customHeight="1">
      <c r="A1496" s="9">
        <v>1494</v>
      </c>
      <c r="B1496" s="9" t="str">
        <f>"50322023032908370080384"</f>
        <v>50322023032908370080384</v>
      </c>
      <c r="C1496" s="9" t="s">
        <v>100</v>
      </c>
      <c r="D1496" s="10" t="str">
        <f>"王青"</f>
        <v>王青</v>
      </c>
      <c r="E1496" s="9" t="str">
        <f t="shared" si="61"/>
        <v>女</v>
      </c>
      <c r="F1496" s="10"/>
    </row>
    <row r="1497" spans="1:6" ht="30" customHeight="1">
      <c r="A1497" s="9">
        <v>1495</v>
      </c>
      <c r="B1497" s="9" t="str">
        <f>"50322023032909502480868"</f>
        <v>50322023032909502480868</v>
      </c>
      <c r="C1497" s="9" t="s">
        <v>100</v>
      </c>
      <c r="D1497" s="10" t="str">
        <f>"章洁"</f>
        <v>章洁</v>
      </c>
      <c r="E1497" s="9" t="str">
        <f t="shared" si="61"/>
        <v>女</v>
      </c>
      <c r="F1497" s="10"/>
    </row>
    <row r="1498" spans="1:6" ht="30" customHeight="1">
      <c r="A1498" s="9">
        <v>1496</v>
      </c>
      <c r="B1498" s="9" t="str">
        <f>"50322023032910341281131"</f>
        <v>50322023032910341281131</v>
      </c>
      <c r="C1498" s="9" t="s">
        <v>100</v>
      </c>
      <c r="D1498" s="10" t="str">
        <f>"陈秀女"</f>
        <v>陈秀女</v>
      </c>
      <c r="E1498" s="9" t="str">
        <f t="shared" si="61"/>
        <v>女</v>
      </c>
      <c r="F1498" s="10"/>
    </row>
    <row r="1499" spans="1:6" ht="30" customHeight="1">
      <c r="A1499" s="9">
        <v>1497</v>
      </c>
      <c r="B1499" s="9" t="str">
        <f>"50322023032910545781257"</f>
        <v>50322023032910545781257</v>
      </c>
      <c r="C1499" s="9" t="s">
        <v>100</v>
      </c>
      <c r="D1499" s="10" t="str">
        <f>"李小婷"</f>
        <v>李小婷</v>
      </c>
      <c r="E1499" s="9" t="str">
        <f t="shared" si="61"/>
        <v>女</v>
      </c>
      <c r="F1499" s="10"/>
    </row>
    <row r="1500" spans="1:6" ht="30" customHeight="1">
      <c r="A1500" s="9">
        <v>1498</v>
      </c>
      <c r="B1500" s="9" t="str">
        <f>"50322023032912040281587"</f>
        <v>50322023032912040281587</v>
      </c>
      <c r="C1500" s="9" t="s">
        <v>100</v>
      </c>
      <c r="D1500" s="10" t="str">
        <f>"孙誉"</f>
        <v>孙誉</v>
      </c>
      <c r="E1500" s="9" t="str">
        <f>"男"</f>
        <v>男</v>
      </c>
      <c r="F1500" s="10"/>
    </row>
    <row r="1501" spans="1:6" ht="30" customHeight="1">
      <c r="A1501" s="9">
        <v>1499</v>
      </c>
      <c r="B1501" s="9" t="str">
        <f>"50322023032913383581926"</f>
        <v>50322023032913383581926</v>
      </c>
      <c r="C1501" s="9" t="s">
        <v>100</v>
      </c>
      <c r="D1501" s="10" t="str">
        <f>"陆凌英"</f>
        <v>陆凌英</v>
      </c>
      <c r="E1501" s="9" t="str">
        <f>"女"</f>
        <v>女</v>
      </c>
      <c r="F1501" s="10"/>
    </row>
    <row r="1502" spans="1:6" ht="30" customHeight="1">
      <c r="A1502" s="9">
        <v>1500</v>
      </c>
      <c r="B1502" s="9" t="str">
        <f>"50322023032916303782574"</f>
        <v>50322023032916303782574</v>
      </c>
      <c r="C1502" s="9" t="s">
        <v>100</v>
      </c>
      <c r="D1502" s="10" t="str">
        <f>"王芸"</f>
        <v>王芸</v>
      </c>
      <c r="E1502" s="9" t="str">
        <f>"女"</f>
        <v>女</v>
      </c>
      <c r="F1502" s="10"/>
    </row>
    <row r="1503" spans="1:6" ht="30" customHeight="1">
      <c r="A1503" s="9">
        <v>1501</v>
      </c>
      <c r="B1503" s="9" t="str">
        <f>"50322023032916304982577"</f>
        <v>50322023032916304982577</v>
      </c>
      <c r="C1503" s="9" t="s">
        <v>100</v>
      </c>
      <c r="D1503" s="10" t="str">
        <f>"尹再源"</f>
        <v>尹再源</v>
      </c>
      <c r="E1503" s="9" t="str">
        <f>"男"</f>
        <v>男</v>
      </c>
      <c r="F1503" s="10"/>
    </row>
    <row r="1504" spans="1:6" ht="30" customHeight="1">
      <c r="A1504" s="9">
        <v>1502</v>
      </c>
      <c r="B1504" s="9" t="str">
        <f>"50322023032916351282598"</f>
        <v>50322023032916351282598</v>
      </c>
      <c r="C1504" s="9" t="s">
        <v>100</v>
      </c>
      <c r="D1504" s="10" t="str">
        <f>"朱小颖"</f>
        <v>朱小颖</v>
      </c>
      <c r="E1504" s="9" t="str">
        <f>"女"</f>
        <v>女</v>
      </c>
      <c r="F1504" s="10"/>
    </row>
    <row r="1505" spans="1:6" ht="30" customHeight="1">
      <c r="A1505" s="9">
        <v>1503</v>
      </c>
      <c r="B1505" s="9" t="str">
        <f>"50322023032917384283876"</f>
        <v>50322023032917384283876</v>
      </c>
      <c r="C1505" s="9" t="s">
        <v>100</v>
      </c>
      <c r="D1505" s="10" t="str">
        <f>"鲁悦"</f>
        <v>鲁悦</v>
      </c>
      <c r="E1505" s="9" t="str">
        <f>"女"</f>
        <v>女</v>
      </c>
      <c r="F1505" s="10"/>
    </row>
    <row r="1506" spans="1:6" ht="30" customHeight="1">
      <c r="A1506" s="9">
        <v>1504</v>
      </c>
      <c r="B1506" s="9" t="str">
        <f>"50322023032918371184234"</f>
        <v>50322023032918371184234</v>
      </c>
      <c r="C1506" s="9" t="s">
        <v>100</v>
      </c>
      <c r="D1506" s="10" t="str">
        <f>"李琼虹"</f>
        <v>李琼虹</v>
      </c>
      <c r="E1506" s="9" t="str">
        <f>"女"</f>
        <v>女</v>
      </c>
      <c r="F1506" s="10"/>
    </row>
    <row r="1507" spans="1:6" ht="30" customHeight="1">
      <c r="A1507" s="9">
        <v>1505</v>
      </c>
      <c r="B1507" s="9" t="str">
        <f>"50322023033000230785078"</f>
        <v>50322023033000230785078</v>
      </c>
      <c r="C1507" s="9" t="s">
        <v>100</v>
      </c>
      <c r="D1507" s="10" t="str">
        <f>"伍理权"</f>
        <v>伍理权</v>
      </c>
      <c r="E1507" s="9" t="str">
        <f>"男"</f>
        <v>男</v>
      </c>
      <c r="F1507" s="10"/>
    </row>
    <row r="1508" spans="1:6" ht="30" customHeight="1">
      <c r="A1508" s="9">
        <v>1506</v>
      </c>
      <c r="B1508" s="9" t="str">
        <f>"50322023033010041385588"</f>
        <v>50322023033010041385588</v>
      </c>
      <c r="C1508" s="9" t="s">
        <v>100</v>
      </c>
      <c r="D1508" s="10" t="str">
        <f>"陆青雯 "</f>
        <v>陆青雯 </v>
      </c>
      <c r="E1508" s="9" t="str">
        <f>"女"</f>
        <v>女</v>
      </c>
      <c r="F1508" s="10"/>
    </row>
    <row r="1509" spans="1:6" ht="30" customHeight="1">
      <c r="A1509" s="9">
        <v>1507</v>
      </c>
      <c r="B1509" s="9" t="str">
        <f>"50322023033010235585671"</f>
        <v>50322023033010235585671</v>
      </c>
      <c r="C1509" s="9" t="s">
        <v>100</v>
      </c>
      <c r="D1509" s="10" t="str">
        <f>"符爱孟"</f>
        <v>符爱孟</v>
      </c>
      <c r="E1509" s="9" t="str">
        <f>"女"</f>
        <v>女</v>
      </c>
      <c r="F1509" s="10"/>
    </row>
    <row r="1510" spans="1:6" ht="30" customHeight="1">
      <c r="A1510" s="9">
        <v>1508</v>
      </c>
      <c r="B1510" s="9" t="str">
        <f>"50322023033011114285850"</f>
        <v>50322023033011114285850</v>
      </c>
      <c r="C1510" s="9" t="s">
        <v>100</v>
      </c>
      <c r="D1510" s="10" t="str">
        <f>"黄妤倩"</f>
        <v>黄妤倩</v>
      </c>
      <c r="E1510" s="9" t="str">
        <f>"女"</f>
        <v>女</v>
      </c>
      <c r="F1510" s="10"/>
    </row>
    <row r="1511" spans="1:6" ht="30" customHeight="1">
      <c r="A1511" s="9">
        <v>1509</v>
      </c>
      <c r="B1511" s="9" t="str">
        <f>"50322023033011255685908"</f>
        <v>50322023033011255685908</v>
      </c>
      <c r="C1511" s="9" t="s">
        <v>100</v>
      </c>
      <c r="D1511" s="10" t="str">
        <f>"陈春英"</f>
        <v>陈春英</v>
      </c>
      <c r="E1511" s="9" t="str">
        <f>"女"</f>
        <v>女</v>
      </c>
      <c r="F1511" s="10"/>
    </row>
    <row r="1512" spans="1:6" ht="30" customHeight="1">
      <c r="A1512" s="9">
        <v>1510</v>
      </c>
      <c r="B1512" s="9" t="str">
        <f>"50322023032115475466405"</f>
        <v>50322023032115475466405</v>
      </c>
      <c r="C1512" s="9" t="s">
        <v>102</v>
      </c>
      <c r="D1512" s="10" t="str">
        <f>"罗新生"</f>
        <v>罗新生</v>
      </c>
      <c r="E1512" s="9" t="str">
        <f>"男"</f>
        <v>男</v>
      </c>
      <c r="F1512" s="10"/>
    </row>
    <row r="1513" spans="1:6" ht="30" customHeight="1">
      <c r="A1513" s="9">
        <v>1511</v>
      </c>
      <c r="B1513" s="9" t="str">
        <f>"50322023032214541871862"</f>
        <v>50322023032214541871862</v>
      </c>
      <c r="C1513" s="9" t="s">
        <v>102</v>
      </c>
      <c r="D1513" s="10" t="str">
        <f>"卓慧涟"</f>
        <v>卓慧涟</v>
      </c>
      <c r="E1513" s="9" t="str">
        <f>"女"</f>
        <v>女</v>
      </c>
      <c r="F1513" s="10"/>
    </row>
    <row r="1514" spans="1:6" ht="30" customHeight="1">
      <c r="A1514" s="9">
        <v>1512</v>
      </c>
      <c r="B1514" s="9" t="str">
        <f>"50322023032320554975120"</f>
        <v>50322023032320554975120</v>
      </c>
      <c r="C1514" s="9" t="s">
        <v>102</v>
      </c>
      <c r="D1514" s="10" t="str">
        <f>"王瑞丽"</f>
        <v>王瑞丽</v>
      </c>
      <c r="E1514" s="9" t="str">
        <f>"女"</f>
        <v>女</v>
      </c>
      <c r="F1514" s="10"/>
    </row>
    <row r="1515" spans="1:6" ht="30" customHeight="1">
      <c r="A1515" s="9">
        <v>1513</v>
      </c>
      <c r="B1515" s="9" t="str">
        <f>"50322023032515052176897"</f>
        <v>50322023032515052176897</v>
      </c>
      <c r="C1515" s="9" t="s">
        <v>102</v>
      </c>
      <c r="D1515" s="10" t="str">
        <f>"张超"</f>
        <v>张超</v>
      </c>
      <c r="E1515" s="9" t="str">
        <f>"女"</f>
        <v>女</v>
      </c>
      <c r="F1515" s="10"/>
    </row>
    <row r="1516" spans="1:6" ht="30" customHeight="1">
      <c r="A1516" s="9">
        <v>1514</v>
      </c>
      <c r="B1516" s="9" t="str">
        <f>"50322023032708015777798"</f>
        <v>50322023032708015777798</v>
      </c>
      <c r="C1516" s="9" t="s">
        <v>102</v>
      </c>
      <c r="D1516" s="10" t="str">
        <f>"温芳艳"</f>
        <v>温芳艳</v>
      </c>
      <c r="E1516" s="9" t="str">
        <f>"女"</f>
        <v>女</v>
      </c>
      <c r="F1516" s="10"/>
    </row>
    <row r="1517" spans="1:6" ht="30" customHeight="1">
      <c r="A1517" s="9">
        <v>1515</v>
      </c>
      <c r="B1517" s="9" t="str">
        <f>"50322023032716591678578"</f>
        <v>50322023032716591678578</v>
      </c>
      <c r="C1517" s="9" t="s">
        <v>102</v>
      </c>
      <c r="D1517" s="10" t="str">
        <f>"黄淑惠"</f>
        <v>黄淑惠</v>
      </c>
      <c r="E1517" s="9" t="str">
        <f>"女"</f>
        <v>女</v>
      </c>
      <c r="F1517" s="10"/>
    </row>
    <row r="1518" spans="1:6" ht="30" customHeight="1">
      <c r="A1518" s="9">
        <v>1516</v>
      </c>
      <c r="B1518" s="9" t="str">
        <f>"50322023032919552084461"</f>
        <v>50322023032919552084461</v>
      </c>
      <c r="C1518" s="9" t="s">
        <v>102</v>
      </c>
      <c r="D1518" s="10" t="str">
        <f>"廖胜利"</f>
        <v>廖胜利</v>
      </c>
      <c r="E1518" s="9" t="str">
        <f>"男"</f>
        <v>男</v>
      </c>
      <c r="F1518" s="10"/>
    </row>
    <row r="1519" spans="1:6" ht="30" customHeight="1">
      <c r="A1519" s="9">
        <v>1517</v>
      </c>
      <c r="B1519" s="9" t="str">
        <f>"50322023033010571285798"</f>
        <v>50322023033010571285798</v>
      </c>
      <c r="C1519" s="9" t="s">
        <v>102</v>
      </c>
      <c r="D1519" s="10" t="str">
        <f>"郑武"</f>
        <v>郑武</v>
      </c>
      <c r="E1519" s="9" t="str">
        <f>"男"</f>
        <v>男</v>
      </c>
      <c r="F1519" s="10"/>
    </row>
    <row r="1520" spans="1:6" ht="30" customHeight="1">
      <c r="A1520" s="9">
        <v>1518</v>
      </c>
      <c r="B1520" s="9" t="str">
        <f>"50322023032315560774683"</f>
        <v>50322023032315560774683</v>
      </c>
      <c r="C1520" s="9" t="s">
        <v>103</v>
      </c>
      <c r="D1520" s="10" t="str">
        <f>"孙美华"</f>
        <v>孙美华</v>
      </c>
      <c r="E1520" s="9" t="str">
        <f aca="true" t="shared" si="62" ref="E1520:E1529">"女"</f>
        <v>女</v>
      </c>
      <c r="F1520" s="10"/>
    </row>
    <row r="1521" spans="1:6" ht="30" customHeight="1">
      <c r="A1521" s="9">
        <v>1519</v>
      </c>
      <c r="B1521" s="9" t="str">
        <f>"50322023032318414274960"</f>
        <v>50322023032318414274960</v>
      </c>
      <c r="C1521" s="9" t="s">
        <v>103</v>
      </c>
      <c r="D1521" s="10" t="str">
        <f>"艾淑琴"</f>
        <v>艾淑琴</v>
      </c>
      <c r="E1521" s="9" t="str">
        <f t="shared" si="62"/>
        <v>女</v>
      </c>
      <c r="F1521" s="10"/>
    </row>
    <row r="1522" spans="1:6" ht="30" customHeight="1">
      <c r="A1522" s="9">
        <v>1520</v>
      </c>
      <c r="B1522" s="9" t="str">
        <f>"50322023032713584078336"</f>
        <v>50322023032713584078336</v>
      </c>
      <c r="C1522" s="9" t="s">
        <v>103</v>
      </c>
      <c r="D1522" s="10" t="str">
        <f>"黄珊珊"</f>
        <v>黄珊珊</v>
      </c>
      <c r="E1522" s="9" t="str">
        <f t="shared" si="62"/>
        <v>女</v>
      </c>
      <c r="F1522" s="10"/>
    </row>
    <row r="1523" spans="1:6" ht="30" customHeight="1">
      <c r="A1523" s="9">
        <v>1521</v>
      </c>
      <c r="B1523" s="9" t="str">
        <f>"50322023032716242578530"</f>
        <v>50322023032716242578530</v>
      </c>
      <c r="C1523" s="9" t="s">
        <v>103</v>
      </c>
      <c r="D1523" s="10" t="str">
        <f>"张行晓颖"</f>
        <v>张行晓颖</v>
      </c>
      <c r="E1523" s="9" t="str">
        <f t="shared" si="62"/>
        <v>女</v>
      </c>
      <c r="F1523" s="10"/>
    </row>
    <row r="1524" spans="1:6" ht="30" customHeight="1">
      <c r="A1524" s="9">
        <v>1522</v>
      </c>
      <c r="B1524" s="9" t="str">
        <f>"50322023032819073079902"</f>
        <v>50322023032819073079902</v>
      </c>
      <c r="C1524" s="9" t="s">
        <v>103</v>
      </c>
      <c r="D1524" s="10" t="str">
        <f>"熊秋红"</f>
        <v>熊秋红</v>
      </c>
      <c r="E1524" s="9" t="str">
        <f t="shared" si="62"/>
        <v>女</v>
      </c>
      <c r="F1524" s="10"/>
    </row>
    <row r="1525" spans="1:6" ht="30" customHeight="1">
      <c r="A1525" s="9">
        <v>1523</v>
      </c>
      <c r="B1525" s="9" t="str">
        <f>"50322023032819321379932"</f>
        <v>50322023032819321379932</v>
      </c>
      <c r="C1525" s="9" t="s">
        <v>103</v>
      </c>
      <c r="D1525" s="10" t="str">
        <f>"刘巾瑞"</f>
        <v>刘巾瑞</v>
      </c>
      <c r="E1525" s="9" t="str">
        <f t="shared" si="62"/>
        <v>女</v>
      </c>
      <c r="F1525" s="10"/>
    </row>
    <row r="1526" spans="1:6" ht="30" customHeight="1">
      <c r="A1526" s="9">
        <v>1524</v>
      </c>
      <c r="B1526" s="9" t="str">
        <f>"50322023032822225580203"</f>
        <v>50322023032822225580203</v>
      </c>
      <c r="C1526" s="9" t="s">
        <v>103</v>
      </c>
      <c r="D1526" s="10" t="str">
        <f>"姜燕"</f>
        <v>姜燕</v>
      </c>
      <c r="E1526" s="9" t="str">
        <f t="shared" si="62"/>
        <v>女</v>
      </c>
      <c r="F1526" s="10"/>
    </row>
    <row r="1527" spans="1:6" ht="30" customHeight="1">
      <c r="A1527" s="9">
        <v>1525</v>
      </c>
      <c r="B1527" s="9" t="str">
        <f>"50322023032822294980218"</f>
        <v>50322023032822294980218</v>
      </c>
      <c r="C1527" s="9" t="s">
        <v>103</v>
      </c>
      <c r="D1527" s="10" t="str">
        <f>"蔡雯"</f>
        <v>蔡雯</v>
      </c>
      <c r="E1527" s="9" t="str">
        <f t="shared" si="62"/>
        <v>女</v>
      </c>
      <c r="F1527" s="10"/>
    </row>
    <row r="1528" spans="1:6" ht="30" customHeight="1">
      <c r="A1528" s="9">
        <v>1526</v>
      </c>
      <c r="B1528" s="9" t="str">
        <f>"50322023032822552680258"</f>
        <v>50322023032822552680258</v>
      </c>
      <c r="C1528" s="9" t="s">
        <v>103</v>
      </c>
      <c r="D1528" s="10" t="str">
        <f>"雷媛媛"</f>
        <v>雷媛媛</v>
      </c>
      <c r="E1528" s="9" t="str">
        <f t="shared" si="62"/>
        <v>女</v>
      </c>
      <c r="F1528" s="10"/>
    </row>
    <row r="1529" spans="1:6" ht="30" customHeight="1">
      <c r="A1529" s="9">
        <v>1527</v>
      </c>
      <c r="B1529" s="9" t="str">
        <f>"50322023032911023981299"</f>
        <v>50322023032911023981299</v>
      </c>
      <c r="C1529" s="9" t="s">
        <v>103</v>
      </c>
      <c r="D1529" s="10" t="str">
        <f>"王旭阳"</f>
        <v>王旭阳</v>
      </c>
      <c r="E1529" s="9" t="str">
        <f t="shared" si="62"/>
        <v>女</v>
      </c>
      <c r="F1529" s="10"/>
    </row>
    <row r="1530" spans="1:6" ht="30" customHeight="1">
      <c r="A1530" s="9">
        <v>1528</v>
      </c>
      <c r="B1530" s="9" t="str">
        <f>"50322023032916500882680"</f>
        <v>50322023032916500882680</v>
      </c>
      <c r="C1530" s="9" t="s">
        <v>103</v>
      </c>
      <c r="D1530" s="10" t="str">
        <f>"陈源泉"</f>
        <v>陈源泉</v>
      </c>
      <c r="E1530" s="9" t="str">
        <f>"男"</f>
        <v>男</v>
      </c>
      <c r="F1530" s="10"/>
    </row>
    <row r="1531" spans="1:6" ht="30" customHeight="1">
      <c r="A1531" s="9">
        <v>1529</v>
      </c>
      <c r="B1531" s="9" t="str">
        <f>"50322023032112531865314"</f>
        <v>50322023032112531865314</v>
      </c>
      <c r="C1531" s="9" t="s">
        <v>104</v>
      </c>
      <c r="D1531" s="10" t="str">
        <f>"张婧瑜"</f>
        <v>张婧瑜</v>
      </c>
      <c r="E1531" s="9" t="str">
        <f>"女"</f>
        <v>女</v>
      </c>
      <c r="F1531" s="10"/>
    </row>
    <row r="1532" spans="1:6" ht="30" customHeight="1">
      <c r="A1532" s="9">
        <v>1530</v>
      </c>
      <c r="B1532" s="9" t="str">
        <f>"50322023032509424976551"</f>
        <v>50322023032509424976551</v>
      </c>
      <c r="C1532" s="9" t="s">
        <v>104</v>
      </c>
      <c r="D1532" s="10" t="str">
        <f>"王雨"</f>
        <v>王雨</v>
      </c>
      <c r="E1532" s="9" t="str">
        <f>"女"</f>
        <v>女</v>
      </c>
      <c r="F1532" s="10"/>
    </row>
    <row r="1533" spans="1:6" ht="30" customHeight="1">
      <c r="A1533" s="9">
        <v>1531</v>
      </c>
      <c r="B1533" s="9" t="str">
        <f>"50322023032521514877163"</f>
        <v>50322023032521514877163</v>
      </c>
      <c r="C1533" s="9" t="s">
        <v>104</v>
      </c>
      <c r="D1533" s="10" t="str">
        <f>"邓慧文"</f>
        <v>邓慧文</v>
      </c>
      <c r="E1533" s="9" t="str">
        <f>"女"</f>
        <v>女</v>
      </c>
      <c r="F1533" s="10"/>
    </row>
    <row r="1534" spans="1:6" ht="30" customHeight="1">
      <c r="A1534" s="9">
        <v>1532</v>
      </c>
      <c r="B1534" s="9" t="str">
        <f>"50322023032612315077364"</f>
        <v>50322023032612315077364</v>
      </c>
      <c r="C1534" s="9" t="s">
        <v>104</v>
      </c>
      <c r="D1534" s="11" t="str">
        <f>"赵娉婷"</f>
        <v>赵娉婷</v>
      </c>
      <c r="E1534" s="9" t="str">
        <f>"女"</f>
        <v>女</v>
      </c>
      <c r="F1534" s="10"/>
    </row>
    <row r="1535" spans="1:6" ht="30" customHeight="1">
      <c r="A1535" s="9">
        <v>1533</v>
      </c>
      <c r="B1535" s="9" t="str">
        <f>"50322023032920330884574"</f>
        <v>50322023032920330884574</v>
      </c>
      <c r="C1535" s="9" t="s">
        <v>104</v>
      </c>
      <c r="D1535" s="10" t="str">
        <f>"马瑞媛"</f>
        <v>马瑞媛</v>
      </c>
      <c r="E1535" s="9" t="str">
        <f>"女"</f>
        <v>女</v>
      </c>
      <c r="F1535" s="10"/>
    </row>
    <row r="1536" spans="1:6" ht="30" customHeight="1">
      <c r="A1536" s="9">
        <v>1534</v>
      </c>
      <c r="B1536" s="9" t="str">
        <f>"50322023032108405763087"</f>
        <v>50322023032108405763087</v>
      </c>
      <c r="C1536" s="9" t="s">
        <v>105</v>
      </c>
      <c r="D1536" s="10" t="str">
        <f>"邓云鹏"</f>
        <v>邓云鹏</v>
      </c>
      <c r="E1536" s="9" t="str">
        <f>"男"</f>
        <v>男</v>
      </c>
      <c r="F1536" s="10"/>
    </row>
    <row r="1537" spans="1:6" ht="30" customHeight="1">
      <c r="A1537" s="9">
        <v>1535</v>
      </c>
      <c r="B1537" s="9" t="str">
        <f>"50322023032110330564253"</f>
        <v>50322023032110330564253</v>
      </c>
      <c r="C1537" s="9" t="s">
        <v>105</v>
      </c>
      <c r="D1537" s="10" t="str">
        <f>"苏丽晓"</f>
        <v>苏丽晓</v>
      </c>
      <c r="E1537" s="9" t="str">
        <f aca="true" t="shared" si="63" ref="E1537:E1548">"女"</f>
        <v>女</v>
      </c>
      <c r="F1537" s="10"/>
    </row>
    <row r="1538" spans="1:6" ht="30" customHeight="1">
      <c r="A1538" s="9">
        <v>1536</v>
      </c>
      <c r="B1538" s="9" t="str">
        <f>"50322023032114273765903"</f>
        <v>50322023032114273765903</v>
      </c>
      <c r="C1538" s="9" t="s">
        <v>105</v>
      </c>
      <c r="D1538" s="10" t="str">
        <f>"温小宁"</f>
        <v>温小宁</v>
      </c>
      <c r="E1538" s="9" t="str">
        <f t="shared" si="63"/>
        <v>女</v>
      </c>
      <c r="F1538" s="10"/>
    </row>
    <row r="1539" spans="1:6" ht="30" customHeight="1">
      <c r="A1539" s="9">
        <v>1537</v>
      </c>
      <c r="B1539" s="9" t="str">
        <f>"50322023032214092771532"</f>
        <v>50322023032214092771532</v>
      </c>
      <c r="C1539" s="9" t="s">
        <v>105</v>
      </c>
      <c r="D1539" s="10" t="str">
        <f>"陈晓洁"</f>
        <v>陈晓洁</v>
      </c>
      <c r="E1539" s="9" t="str">
        <f t="shared" si="63"/>
        <v>女</v>
      </c>
      <c r="F1539" s="10"/>
    </row>
    <row r="1540" spans="1:6" ht="30" customHeight="1">
      <c r="A1540" s="9">
        <v>1538</v>
      </c>
      <c r="B1540" s="9" t="str">
        <f>"50322023032313261674436"</f>
        <v>50322023032313261674436</v>
      </c>
      <c r="C1540" s="9" t="s">
        <v>105</v>
      </c>
      <c r="D1540" s="10" t="str">
        <f>"麦琼媛"</f>
        <v>麦琼媛</v>
      </c>
      <c r="E1540" s="9" t="str">
        <f t="shared" si="63"/>
        <v>女</v>
      </c>
      <c r="F1540" s="10"/>
    </row>
    <row r="1541" spans="1:6" ht="30" customHeight="1">
      <c r="A1541" s="9">
        <v>1539</v>
      </c>
      <c r="B1541" s="9" t="str">
        <f>"50322023032420190676299"</f>
        <v>50322023032420190676299</v>
      </c>
      <c r="C1541" s="9" t="s">
        <v>105</v>
      </c>
      <c r="D1541" s="10" t="str">
        <f>"陈洋"</f>
        <v>陈洋</v>
      </c>
      <c r="E1541" s="9" t="str">
        <f t="shared" si="63"/>
        <v>女</v>
      </c>
      <c r="F1541" s="10"/>
    </row>
    <row r="1542" spans="1:6" ht="30" customHeight="1">
      <c r="A1542" s="9">
        <v>1540</v>
      </c>
      <c r="B1542" s="9" t="str">
        <f>"50322023032510241776603"</f>
        <v>50322023032510241776603</v>
      </c>
      <c r="C1542" s="9" t="s">
        <v>105</v>
      </c>
      <c r="D1542" s="10" t="str">
        <f>"乔淑晶"</f>
        <v>乔淑晶</v>
      </c>
      <c r="E1542" s="9" t="str">
        <f t="shared" si="63"/>
        <v>女</v>
      </c>
      <c r="F1542" s="10"/>
    </row>
    <row r="1543" spans="1:6" ht="30" customHeight="1">
      <c r="A1543" s="9">
        <v>1541</v>
      </c>
      <c r="B1543" s="9" t="str">
        <f>"50322023032600035077227"</f>
        <v>50322023032600035077227</v>
      </c>
      <c r="C1543" s="9" t="s">
        <v>105</v>
      </c>
      <c r="D1543" s="10" t="str">
        <f>"李助桂"</f>
        <v>李助桂</v>
      </c>
      <c r="E1543" s="9" t="str">
        <f t="shared" si="63"/>
        <v>女</v>
      </c>
      <c r="F1543" s="10"/>
    </row>
    <row r="1544" spans="1:6" ht="30" customHeight="1">
      <c r="A1544" s="9">
        <v>1542</v>
      </c>
      <c r="B1544" s="9" t="str">
        <f>"50322023032709434377954"</f>
        <v>50322023032709434377954</v>
      </c>
      <c r="C1544" s="9" t="s">
        <v>105</v>
      </c>
      <c r="D1544" s="10" t="str">
        <f>"张美虹"</f>
        <v>张美虹</v>
      </c>
      <c r="E1544" s="9" t="str">
        <f t="shared" si="63"/>
        <v>女</v>
      </c>
      <c r="F1544" s="10"/>
    </row>
    <row r="1545" spans="1:6" ht="30" customHeight="1">
      <c r="A1545" s="9">
        <v>1543</v>
      </c>
      <c r="B1545" s="9" t="str">
        <f>"50322023032723591879024"</f>
        <v>50322023032723591879024</v>
      </c>
      <c r="C1545" s="9" t="s">
        <v>105</v>
      </c>
      <c r="D1545" s="10" t="str">
        <f>"朱行佳"</f>
        <v>朱行佳</v>
      </c>
      <c r="E1545" s="9" t="str">
        <f t="shared" si="63"/>
        <v>女</v>
      </c>
      <c r="F1545" s="10"/>
    </row>
    <row r="1546" spans="1:6" ht="30" customHeight="1">
      <c r="A1546" s="9">
        <v>1544</v>
      </c>
      <c r="B1546" s="9" t="str">
        <f>"50322023032821081380087"</f>
        <v>50322023032821081380087</v>
      </c>
      <c r="C1546" s="9" t="s">
        <v>105</v>
      </c>
      <c r="D1546" s="10" t="str">
        <f>"梅海英"</f>
        <v>梅海英</v>
      </c>
      <c r="E1546" s="9" t="str">
        <f t="shared" si="63"/>
        <v>女</v>
      </c>
      <c r="F1546" s="10"/>
    </row>
    <row r="1547" spans="1:6" ht="30" customHeight="1">
      <c r="A1547" s="9">
        <v>1545</v>
      </c>
      <c r="B1547" s="9" t="str">
        <f>"50322023032915185482276"</f>
        <v>50322023032915185482276</v>
      </c>
      <c r="C1547" s="9" t="s">
        <v>105</v>
      </c>
      <c r="D1547" s="10" t="str">
        <f>"朱敏"</f>
        <v>朱敏</v>
      </c>
      <c r="E1547" s="9" t="str">
        <f t="shared" si="63"/>
        <v>女</v>
      </c>
      <c r="F1547" s="10"/>
    </row>
    <row r="1548" spans="1:6" ht="30" customHeight="1">
      <c r="A1548" s="9">
        <v>1546</v>
      </c>
      <c r="B1548" s="9" t="str">
        <f>"50322023032109020463210"</f>
        <v>50322023032109020463210</v>
      </c>
      <c r="C1548" s="9" t="s">
        <v>106</v>
      </c>
      <c r="D1548" s="10" t="str">
        <f>"黄微"</f>
        <v>黄微</v>
      </c>
      <c r="E1548" s="9" t="str">
        <f t="shared" si="63"/>
        <v>女</v>
      </c>
      <c r="F1548" s="10"/>
    </row>
    <row r="1549" spans="1:6" ht="30" customHeight="1">
      <c r="A1549" s="9">
        <v>1547</v>
      </c>
      <c r="B1549" s="9" t="str">
        <f>"50322023032112231965139"</f>
        <v>50322023032112231965139</v>
      </c>
      <c r="C1549" s="9" t="s">
        <v>106</v>
      </c>
      <c r="D1549" s="10" t="str">
        <f>"任洪博"</f>
        <v>任洪博</v>
      </c>
      <c r="E1549" s="9" t="str">
        <f>"男"</f>
        <v>男</v>
      </c>
      <c r="F1549" s="10"/>
    </row>
    <row r="1550" spans="1:6" ht="30" customHeight="1">
      <c r="A1550" s="9">
        <v>1548</v>
      </c>
      <c r="B1550" s="9" t="str">
        <f>"50322023032117315767079"</f>
        <v>50322023032117315767079</v>
      </c>
      <c r="C1550" s="9" t="s">
        <v>106</v>
      </c>
      <c r="D1550" s="10" t="str">
        <f>"吴雨声"</f>
        <v>吴雨声</v>
      </c>
      <c r="E1550" s="9" t="str">
        <f>"男"</f>
        <v>男</v>
      </c>
      <c r="F1550" s="10"/>
    </row>
    <row r="1551" spans="1:6" ht="30" customHeight="1">
      <c r="A1551" s="9">
        <v>1549</v>
      </c>
      <c r="B1551" s="9" t="str">
        <f>"50322023032118173167275"</f>
        <v>50322023032118173167275</v>
      </c>
      <c r="C1551" s="9" t="s">
        <v>106</v>
      </c>
      <c r="D1551" s="10" t="str">
        <f>"陈晓虹"</f>
        <v>陈晓虹</v>
      </c>
      <c r="E1551" s="9" t="str">
        <f aca="true" t="shared" si="64" ref="E1551:E1568">"女"</f>
        <v>女</v>
      </c>
      <c r="F1551" s="10"/>
    </row>
    <row r="1552" spans="1:6" ht="30" customHeight="1">
      <c r="A1552" s="9">
        <v>1550</v>
      </c>
      <c r="B1552" s="9" t="str">
        <f>"50322023032211194970415"</f>
        <v>50322023032211194970415</v>
      </c>
      <c r="C1552" s="9" t="s">
        <v>106</v>
      </c>
      <c r="D1552" s="10" t="str">
        <f>"蔡亲梅"</f>
        <v>蔡亲梅</v>
      </c>
      <c r="E1552" s="9" t="str">
        <f t="shared" si="64"/>
        <v>女</v>
      </c>
      <c r="F1552" s="10"/>
    </row>
    <row r="1553" spans="1:6" ht="30" customHeight="1">
      <c r="A1553" s="9">
        <v>1551</v>
      </c>
      <c r="B1553" s="9" t="str">
        <f>"50322023032215275172162"</f>
        <v>50322023032215275172162</v>
      </c>
      <c r="C1553" s="9" t="s">
        <v>106</v>
      </c>
      <c r="D1553" s="10" t="str">
        <f>"程美凤"</f>
        <v>程美凤</v>
      </c>
      <c r="E1553" s="9" t="str">
        <f t="shared" si="64"/>
        <v>女</v>
      </c>
      <c r="F1553" s="10"/>
    </row>
    <row r="1554" spans="1:6" ht="30" customHeight="1">
      <c r="A1554" s="9">
        <v>1552</v>
      </c>
      <c r="B1554" s="9" t="str">
        <f>"50322023032215344172221"</f>
        <v>50322023032215344172221</v>
      </c>
      <c r="C1554" s="9" t="s">
        <v>106</v>
      </c>
      <c r="D1554" s="10" t="str">
        <f>"何桂玉"</f>
        <v>何桂玉</v>
      </c>
      <c r="E1554" s="9" t="str">
        <f t="shared" si="64"/>
        <v>女</v>
      </c>
      <c r="F1554" s="10"/>
    </row>
    <row r="1555" spans="1:6" ht="30" customHeight="1">
      <c r="A1555" s="9">
        <v>1553</v>
      </c>
      <c r="B1555" s="9" t="str">
        <f>"50322023032311202774207"</f>
        <v>50322023032311202774207</v>
      </c>
      <c r="C1555" s="9" t="s">
        <v>106</v>
      </c>
      <c r="D1555" s="10" t="str">
        <f>"扈雅宁"</f>
        <v>扈雅宁</v>
      </c>
      <c r="E1555" s="9" t="str">
        <f t="shared" si="64"/>
        <v>女</v>
      </c>
      <c r="F1555" s="10"/>
    </row>
    <row r="1556" spans="1:6" ht="30" customHeight="1">
      <c r="A1556" s="9">
        <v>1554</v>
      </c>
      <c r="B1556" s="9" t="str">
        <f>"50322023032414530675944"</f>
        <v>50322023032414530675944</v>
      </c>
      <c r="C1556" s="9" t="s">
        <v>106</v>
      </c>
      <c r="D1556" s="10" t="str">
        <f>"刘桂美"</f>
        <v>刘桂美</v>
      </c>
      <c r="E1556" s="9" t="str">
        <f t="shared" si="64"/>
        <v>女</v>
      </c>
      <c r="F1556" s="10"/>
    </row>
    <row r="1557" spans="1:6" ht="30" customHeight="1">
      <c r="A1557" s="9">
        <v>1555</v>
      </c>
      <c r="B1557" s="9" t="str">
        <f>"50322023032520390277121"</f>
        <v>50322023032520390277121</v>
      </c>
      <c r="C1557" s="9" t="s">
        <v>106</v>
      </c>
      <c r="D1557" s="10" t="str">
        <f>"何振柳"</f>
        <v>何振柳</v>
      </c>
      <c r="E1557" s="9" t="str">
        <f t="shared" si="64"/>
        <v>女</v>
      </c>
      <c r="F1557" s="10"/>
    </row>
    <row r="1558" spans="1:6" ht="30" customHeight="1">
      <c r="A1558" s="9">
        <v>1556</v>
      </c>
      <c r="B1558" s="9" t="str">
        <f>"50322023032610441477302"</f>
        <v>50322023032610441477302</v>
      </c>
      <c r="C1558" s="9" t="s">
        <v>106</v>
      </c>
      <c r="D1558" s="10" t="str">
        <f>"李如桂"</f>
        <v>李如桂</v>
      </c>
      <c r="E1558" s="9" t="str">
        <f t="shared" si="64"/>
        <v>女</v>
      </c>
      <c r="F1558" s="10"/>
    </row>
    <row r="1559" spans="1:6" ht="30" customHeight="1">
      <c r="A1559" s="9">
        <v>1557</v>
      </c>
      <c r="B1559" s="9" t="str">
        <f>"50322023032614054477409"</f>
        <v>50322023032614054477409</v>
      </c>
      <c r="C1559" s="9" t="s">
        <v>106</v>
      </c>
      <c r="D1559" s="10" t="str">
        <f>"王馨煜"</f>
        <v>王馨煜</v>
      </c>
      <c r="E1559" s="9" t="str">
        <f t="shared" si="64"/>
        <v>女</v>
      </c>
      <c r="F1559" s="10"/>
    </row>
    <row r="1560" spans="1:6" ht="30" customHeight="1">
      <c r="A1560" s="9">
        <v>1558</v>
      </c>
      <c r="B1560" s="9" t="str">
        <f>"50322023032620380877628"</f>
        <v>50322023032620380877628</v>
      </c>
      <c r="C1560" s="9" t="s">
        <v>106</v>
      </c>
      <c r="D1560" s="10" t="str">
        <f>"翁月乙"</f>
        <v>翁月乙</v>
      </c>
      <c r="E1560" s="9" t="str">
        <f t="shared" si="64"/>
        <v>女</v>
      </c>
      <c r="F1560" s="10"/>
    </row>
    <row r="1561" spans="1:6" ht="30" customHeight="1">
      <c r="A1561" s="9">
        <v>1559</v>
      </c>
      <c r="B1561" s="9" t="str">
        <f>"50322023032621132077653"</f>
        <v>50322023032621132077653</v>
      </c>
      <c r="C1561" s="9" t="s">
        <v>106</v>
      </c>
      <c r="D1561" s="10" t="str">
        <f>"韦让灵"</f>
        <v>韦让灵</v>
      </c>
      <c r="E1561" s="9" t="str">
        <f t="shared" si="64"/>
        <v>女</v>
      </c>
      <c r="F1561" s="10"/>
    </row>
    <row r="1562" spans="1:6" ht="30" customHeight="1">
      <c r="A1562" s="9">
        <v>1560</v>
      </c>
      <c r="B1562" s="9" t="str">
        <f>"50322023032716012378498"</f>
        <v>50322023032716012378498</v>
      </c>
      <c r="C1562" s="9" t="s">
        <v>106</v>
      </c>
      <c r="D1562" s="10" t="str">
        <f>"徐虹翡"</f>
        <v>徐虹翡</v>
      </c>
      <c r="E1562" s="9" t="str">
        <f t="shared" si="64"/>
        <v>女</v>
      </c>
      <c r="F1562" s="10"/>
    </row>
    <row r="1563" spans="1:6" ht="30" customHeight="1">
      <c r="A1563" s="9">
        <v>1561</v>
      </c>
      <c r="B1563" s="9" t="str">
        <f>"50322023032723484279016"</f>
        <v>50322023032723484279016</v>
      </c>
      <c r="C1563" s="9" t="s">
        <v>106</v>
      </c>
      <c r="D1563" s="10" t="str">
        <f>"陶婷婷"</f>
        <v>陶婷婷</v>
      </c>
      <c r="E1563" s="9" t="str">
        <f t="shared" si="64"/>
        <v>女</v>
      </c>
      <c r="F1563" s="10"/>
    </row>
    <row r="1564" spans="1:6" ht="30" customHeight="1">
      <c r="A1564" s="9">
        <v>1562</v>
      </c>
      <c r="B1564" s="9" t="str">
        <f>"50322023032808551279097"</f>
        <v>50322023032808551279097</v>
      </c>
      <c r="C1564" s="9" t="s">
        <v>106</v>
      </c>
      <c r="D1564" s="10" t="str">
        <f>"蒙娇"</f>
        <v>蒙娇</v>
      </c>
      <c r="E1564" s="9" t="str">
        <f t="shared" si="64"/>
        <v>女</v>
      </c>
      <c r="F1564" s="10"/>
    </row>
    <row r="1565" spans="1:6" ht="30" customHeight="1">
      <c r="A1565" s="9">
        <v>1563</v>
      </c>
      <c r="B1565" s="9" t="str">
        <f>"50322023032912420981724"</f>
        <v>50322023032912420981724</v>
      </c>
      <c r="C1565" s="9" t="s">
        <v>106</v>
      </c>
      <c r="D1565" s="10" t="str">
        <f>"陆洁"</f>
        <v>陆洁</v>
      </c>
      <c r="E1565" s="9" t="str">
        <f t="shared" si="64"/>
        <v>女</v>
      </c>
      <c r="F1565" s="10"/>
    </row>
    <row r="1566" spans="1:6" ht="30" customHeight="1">
      <c r="A1566" s="9">
        <v>1564</v>
      </c>
      <c r="B1566" s="9" t="str">
        <f>"50322023032913140781848"</f>
        <v>50322023032913140781848</v>
      </c>
      <c r="C1566" s="9" t="s">
        <v>106</v>
      </c>
      <c r="D1566" s="10" t="str">
        <f>"陈琼瓜"</f>
        <v>陈琼瓜</v>
      </c>
      <c r="E1566" s="9" t="str">
        <f t="shared" si="64"/>
        <v>女</v>
      </c>
      <c r="F1566" s="10"/>
    </row>
    <row r="1567" spans="1:6" ht="30" customHeight="1">
      <c r="A1567" s="9">
        <v>1565</v>
      </c>
      <c r="B1567" s="9" t="str">
        <f>"50322023032915420682352"</f>
        <v>50322023032915420682352</v>
      </c>
      <c r="C1567" s="9" t="s">
        <v>106</v>
      </c>
      <c r="D1567" s="10" t="str">
        <f>"邱婵"</f>
        <v>邱婵</v>
      </c>
      <c r="E1567" s="9" t="str">
        <f t="shared" si="64"/>
        <v>女</v>
      </c>
      <c r="F1567" s="10"/>
    </row>
    <row r="1568" spans="1:6" ht="30" customHeight="1">
      <c r="A1568" s="9">
        <v>1566</v>
      </c>
      <c r="B1568" s="9" t="str">
        <f>"50322023032917190883711"</f>
        <v>50322023032917190883711</v>
      </c>
      <c r="C1568" s="9" t="s">
        <v>106</v>
      </c>
      <c r="D1568" s="10" t="str">
        <f>"温佳惠"</f>
        <v>温佳惠</v>
      </c>
      <c r="E1568" s="9" t="str">
        <f t="shared" si="64"/>
        <v>女</v>
      </c>
      <c r="F1568" s="10"/>
    </row>
    <row r="1569" spans="1:6" ht="30" customHeight="1">
      <c r="A1569" s="9">
        <v>1567</v>
      </c>
      <c r="B1569" s="9" t="str">
        <f>"50322023032122505168887"</f>
        <v>50322023032122505168887</v>
      </c>
      <c r="C1569" s="9" t="s">
        <v>107</v>
      </c>
      <c r="D1569" s="10" t="str">
        <f>"巩兴伟"</f>
        <v>巩兴伟</v>
      </c>
      <c r="E1569" s="9" t="str">
        <f>"男"</f>
        <v>男</v>
      </c>
      <c r="F1569" s="10"/>
    </row>
    <row r="1570" spans="1:6" ht="30" customHeight="1">
      <c r="A1570" s="9">
        <v>1568</v>
      </c>
      <c r="B1570" s="9" t="str">
        <f>"50322023032919585584473"</f>
        <v>50322023032919585584473</v>
      </c>
      <c r="C1570" s="9" t="s">
        <v>107</v>
      </c>
      <c r="D1570" s="10" t="str">
        <f>"王秀丽"</f>
        <v>王秀丽</v>
      </c>
      <c r="E1570" s="9" t="str">
        <f>"女"</f>
        <v>女</v>
      </c>
      <c r="F1570" s="10"/>
    </row>
    <row r="1571" spans="1:6" ht="30" customHeight="1">
      <c r="A1571" s="9">
        <v>1569</v>
      </c>
      <c r="B1571" s="9" t="str">
        <f>"50322023033010220685661"</f>
        <v>50322023033010220685661</v>
      </c>
      <c r="C1571" s="9" t="s">
        <v>107</v>
      </c>
      <c r="D1571" s="10" t="str">
        <f>"林鑫"</f>
        <v>林鑫</v>
      </c>
      <c r="E1571" s="9" t="str">
        <f>"女"</f>
        <v>女</v>
      </c>
      <c r="F1571" s="10"/>
    </row>
    <row r="1572" spans="1:6" ht="30" customHeight="1">
      <c r="A1572" s="9">
        <v>1570</v>
      </c>
      <c r="B1572" s="9" t="str">
        <f>"50322023032108110162978"</f>
        <v>50322023032108110162978</v>
      </c>
      <c r="C1572" s="9" t="s">
        <v>108</v>
      </c>
      <c r="D1572" s="10" t="str">
        <f>"曾莹"</f>
        <v>曾莹</v>
      </c>
      <c r="E1572" s="9" t="str">
        <f>"女"</f>
        <v>女</v>
      </c>
      <c r="F1572" s="10"/>
    </row>
    <row r="1573" spans="1:6" ht="30" customHeight="1">
      <c r="A1573" s="9">
        <v>1571</v>
      </c>
      <c r="B1573" s="9" t="str">
        <f>"50322023032108385663079"</f>
        <v>50322023032108385663079</v>
      </c>
      <c r="C1573" s="9" t="s">
        <v>108</v>
      </c>
      <c r="D1573" s="10" t="str">
        <f>"俞娟娟"</f>
        <v>俞娟娟</v>
      </c>
      <c r="E1573" s="9" t="str">
        <f>"女"</f>
        <v>女</v>
      </c>
      <c r="F1573" s="10"/>
    </row>
    <row r="1574" spans="1:6" ht="30" customHeight="1">
      <c r="A1574" s="9">
        <v>1572</v>
      </c>
      <c r="B1574" s="9" t="str">
        <f>"50322023032122161368674"</f>
        <v>50322023032122161368674</v>
      </c>
      <c r="C1574" s="9" t="s">
        <v>108</v>
      </c>
      <c r="D1574" s="10" t="str">
        <f>"连晓敏"</f>
        <v>连晓敏</v>
      </c>
      <c r="E1574" s="9" t="str">
        <f>"女"</f>
        <v>女</v>
      </c>
      <c r="F1574" s="10"/>
    </row>
    <row r="1575" spans="1:6" ht="30" customHeight="1">
      <c r="A1575" s="9">
        <v>1573</v>
      </c>
      <c r="B1575" s="9" t="str">
        <f>"50322023032317431474890"</f>
        <v>50322023032317431474890</v>
      </c>
      <c r="C1575" s="9" t="s">
        <v>108</v>
      </c>
      <c r="D1575" s="10" t="str">
        <f>"汪义漠"</f>
        <v>汪义漠</v>
      </c>
      <c r="E1575" s="9" t="str">
        <f>"男"</f>
        <v>男</v>
      </c>
      <c r="F1575" s="10"/>
    </row>
    <row r="1576" spans="1:6" ht="30" customHeight="1">
      <c r="A1576" s="9">
        <v>1574</v>
      </c>
      <c r="B1576" s="9" t="str">
        <f>"50322023032420251776309"</f>
        <v>50322023032420251776309</v>
      </c>
      <c r="C1576" s="9" t="s">
        <v>108</v>
      </c>
      <c r="D1576" s="10" t="str">
        <f>"江远平"</f>
        <v>江远平</v>
      </c>
      <c r="E1576" s="9" t="str">
        <f>"女"</f>
        <v>女</v>
      </c>
      <c r="F1576" s="10"/>
    </row>
    <row r="1577" spans="1:6" ht="30" customHeight="1">
      <c r="A1577" s="9">
        <v>1575</v>
      </c>
      <c r="B1577" s="9" t="str">
        <f>"50322023032510140276589"</f>
        <v>50322023032510140276589</v>
      </c>
      <c r="C1577" s="9" t="s">
        <v>108</v>
      </c>
      <c r="D1577" s="10" t="str">
        <f>"李慧萍"</f>
        <v>李慧萍</v>
      </c>
      <c r="E1577" s="9" t="str">
        <f>"女"</f>
        <v>女</v>
      </c>
      <c r="F1577" s="10"/>
    </row>
    <row r="1578" spans="1:6" ht="30" customHeight="1">
      <c r="A1578" s="9">
        <v>1576</v>
      </c>
      <c r="B1578" s="9" t="str">
        <f>"50322023032516422676993"</f>
        <v>50322023032516422676993</v>
      </c>
      <c r="C1578" s="9" t="s">
        <v>108</v>
      </c>
      <c r="D1578" s="10" t="str">
        <f>"李秋燕"</f>
        <v>李秋燕</v>
      </c>
      <c r="E1578" s="9" t="str">
        <f>"女"</f>
        <v>女</v>
      </c>
      <c r="F1578" s="10"/>
    </row>
    <row r="1579" spans="1:6" ht="30" customHeight="1">
      <c r="A1579" s="9">
        <v>1577</v>
      </c>
      <c r="B1579" s="9" t="str">
        <f>"50322023032819543979969"</f>
        <v>50322023032819543979969</v>
      </c>
      <c r="C1579" s="9" t="s">
        <v>108</v>
      </c>
      <c r="D1579" s="10" t="str">
        <f>"陈如微"</f>
        <v>陈如微</v>
      </c>
      <c r="E1579" s="9" t="str">
        <f>"女"</f>
        <v>女</v>
      </c>
      <c r="F1579" s="10"/>
    </row>
    <row r="1580" spans="1:6" ht="30" customHeight="1">
      <c r="A1580" s="9">
        <v>1578</v>
      </c>
      <c r="B1580" s="9" t="str">
        <f>"50322023032910514181241"</f>
        <v>50322023032910514181241</v>
      </c>
      <c r="C1580" s="9" t="s">
        <v>108</v>
      </c>
      <c r="D1580" s="10" t="str">
        <f>"苏小妹"</f>
        <v>苏小妹</v>
      </c>
      <c r="E1580" s="9" t="str">
        <f>"女"</f>
        <v>女</v>
      </c>
      <c r="F1580" s="10"/>
    </row>
    <row r="1581" spans="1:6" ht="30" customHeight="1">
      <c r="A1581" s="9">
        <v>1579</v>
      </c>
      <c r="B1581" s="9" t="str">
        <f>"50322023032915413382349"</f>
        <v>50322023032915413382349</v>
      </c>
      <c r="C1581" s="9" t="s">
        <v>108</v>
      </c>
      <c r="D1581" s="10" t="str">
        <f>"黄海州"</f>
        <v>黄海州</v>
      </c>
      <c r="E1581" s="9" t="str">
        <f>"男"</f>
        <v>男</v>
      </c>
      <c r="F1581" s="10"/>
    </row>
    <row r="1582" spans="1:6" ht="30" customHeight="1">
      <c r="A1582" s="9">
        <v>1580</v>
      </c>
      <c r="B1582" s="9" t="str">
        <f>"50322023032915550982412"</f>
        <v>50322023032915550982412</v>
      </c>
      <c r="C1582" s="9" t="s">
        <v>108</v>
      </c>
      <c r="D1582" s="10" t="str">
        <f>"陈梅莉"</f>
        <v>陈梅莉</v>
      </c>
      <c r="E1582" s="9" t="str">
        <f>"女"</f>
        <v>女</v>
      </c>
      <c r="F1582" s="10"/>
    </row>
    <row r="1583" spans="1:6" ht="30" customHeight="1">
      <c r="A1583" s="9">
        <v>1581</v>
      </c>
      <c r="B1583" s="9" t="str">
        <f>"50322023033000413885091"</f>
        <v>50322023033000413885091</v>
      </c>
      <c r="C1583" s="9" t="s">
        <v>108</v>
      </c>
      <c r="D1583" s="10" t="str">
        <f>"陈元冲"</f>
        <v>陈元冲</v>
      </c>
      <c r="E1583" s="9" t="str">
        <f>"男"</f>
        <v>男</v>
      </c>
      <c r="F1583" s="10"/>
    </row>
    <row r="1584" spans="1:6" ht="30" customHeight="1">
      <c r="A1584" s="9">
        <v>1582</v>
      </c>
      <c r="B1584" s="9" t="str">
        <f>"50322023032215583772432"</f>
        <v>50322023032215583772432</v>
      </c>
      <c r="C1584" s="9" t="s">
        <v>109</v>
      </c>
      <c r="D1584" s="10" t="str">
        <f>"陈敏章"</f>
        <v>陈敏章</v>
      </c>
      <c r="E1584" s="9" t="str">
        <f>"女"</f>
        <v>女</v>
      </c>
      <c r="F1584" s="10"/>
    </row>
    <row r="1585" spans="1:6" ht="30" customHeight="1">
      <c r="A1585" s="9">
        <v>1583</v>
      </c>
      <c r="B1585" s="9" t="str">
        <f>"50322023032216333072771"</f>
        <v>50322023032216333072771</v>
      </c>
      <c r="C1585" s="9" t="s">
        <v>109</v>
      </c>
      <c r="D1585" s="10" t="str">
        <f>"马婷"</f>
        <v>马婷</v>
      </c>
      <c r="E1585" s="9" t="str">
        <f>"女"</f>
        <v>女</v>
      </c>
      <c r="F1585" s="10"/>
    </row>
    <row r="1586" spans="1:6" ht="30" customHeight="1">
      <c r="A1586" s="9">
        <v>1584</v>
      </c>
      <c r="B1586" s="9" t="str">
        <f>"50322023032401454575376"</f>
        <v>50322023032401454575376</v>
      </c>
      <c r="C1586" s="9" t="s">
        <v>109</v>
      </c>
      <c r="D1586" s="10" t="str">
        <f>"林道发"</f>
        <v>林道发</v>
      </c>
      <c r="E1586" s="9" t="str">
        <f aca="true" t="shared" si="65" ref="E1586:E1591">"男"</f>
        <v>男</v>
      </c>
      <c r="F1586" s="10"/>
    </row>
    <row r="1587" spans="1:6" ht="30" customHeight="1">
      <c r="A1587" s="9">
        <v>1585</v>
      </c>
      <c r="B1587" s="9" t="str">
        <f>"50322023032621501677681"</f>
        <v>50322023032621501677681</v>
      </c>
      <c r="C1587" s="9" t="s">
        <v>109</v>
      </c>
      <c r="D1587" s="10" t="str">
        <f>"陈杰世"</f>
        <v>陈杰世</v>
      </c>
      <c r="E1587" s="9" t="str">
        <f t="shared" si="65"/>
        <v>男</v>
      </c>
      <c r="F1587" s="10"/>
    </row>
    <row r="1588" spans="1:6" ht="30" customHeight="1">
      <c r="A1588" s="9">
        <v>1586</v>
      </c>
      <c r="B1588" s="9" t="str">
        <f>"50322023032721142278859"</f>
        <v>50322023032721142278859</v>
      </c>
      <c r="C1588" s="9" t="s">
        <v>109</v>
      </c>
      <c r="D1588" s="10" t="str">
        <f>"毛亚忠"</f>
        <v>毛亚忠</v>
      </c>
      <c r="E1588" s="9" t="str">
        <f t="shared" si="65"/>
        <v>男</v>
      </c>
      <c r="F1588" s="10"/>
    </row>
    <row r="1589" spans="1:6" ht="30" customHeight="1">
      <c r="A1589" s="9">
        <v>1587</v>
      </c>
      <c r="B1589" s="9" t="str">
        <f>"50322023032723231178999"</f>
        <v>50322023032723231178999</v>
      </c>
      <c r="C1589" s="9" t="s">
        <v>109</v>
      </c>
      <c r="D1589" s="10" t="str">
        <f>"王康先"</f>
        <v>王康先</v>
      </c>
      <c r="E1589" s="9" t="str">
        <f t="shared" si="65"/>
        <v>男</v>
      </c>
      <c r="F1589" s="10"/>
    </row>
    <row r="1590" spans="1:6" ht="30" customHeight="1">
      <c r="A1590" s="9">
        <v>1588</v>
      </c>
      <c r="B1590" s="9" t="str">
        <f>"50322023032822253180207"</f>
        <v>50322023032822253180207</v>
      </c>
      <c r="C1590" s="9" t="s">
        <v>109</v>
      </c>
      <c r="D1590" s="10" t="str">
        <f>"赵启翔"</f>
        <v>赵启翔</v>
      </c>
      <c r="E1590" s="9" t="str">
        <f t="shared" si="65"/>
        <v>男</v>
      </c>
      <c r="F1590" s="10"/>
    </row>
    <row r="1591" spans="1:6" ht="30" customHeight="1">
      <c r="A1591" s="9">
        <v>1589</v>
      </c>
      <c r="B1591" s="9" t="str">
        <f>"50322023032912344481699"</f>
        <v>50322023032912344481699</v>
      </c>
      <c r="C1591" s="9" t="s">
        <v>109</v>
      </c>
      <c r="D1591" s="10" t="str">
        <f>"冯琳"</f>
        <v>冯琳</v>
      </c>
      <c r="E1591" s="9" t="str">
        <f t="shared" si="65"/>
        <v>男</v>
      </c>
      <c r="F1591" s="11" t="s">
        <v>110</v>
      </c>
    </row>
    <row r="1592" spans="1:6" ht="30" customHeight="1">
      <c r="A1592" s="9">
        <v>1590</v>
      </c>
      <c r="B1592" s="9" t="str">
        <f>"50322023032111410664884"</f>
        <v>50322023032111410664884</v>
      </c>
      <c r="C1592" s="9" t="s">
        <v>111</v>
      </c>
      <c r="D1592" s="10" t="str">
        <f>"羊阿燕"</f>
        <v>羊阿燕</v>
      </c>
      <c r="E1592" s="9" t="str">
        <f>"女"</f>
        <v>女</v>
      </c>
      <c r="F1592" s="10"/>
    </row>
    <row r="1593" spans="1:6" ht="30" customHeight="1">
      <c r="A1593" s="9">
        <v>1591</v>
      </c>
      <c r="B1593" s="9" t="str">
        <f>"50322023032117073166949"</f>
        <v>50322023032117073166949</v>
      </c>
      <c r="C1593" s="9" t="s">
        <v>111</v>
      </c>
      <c r="D1593" s="10" t="str">
        <f>"王昌海"</f>
        <v>王昌海</v>
      </c>
      <c r="E1593" s="9" t="str">
        <f>"男"</f>
        <v>男</v>
      </c>
      <c r="F1593" s="10"/>
    </row>
    <row r="1594" spans="1:6" ht="30" customHeight="1">
      <c r="A1594" s="9">
        <v>1592</v>
      </c>
      <c r="B1594" s="9" t="str">
        <f>"50322023032309083373876"</f>
        <v>50322023032309083373876</v>
      </c>
      <c r="C1594" s="9" t="s">
        <v>111</v>
      </c>
      <c r="D1594" s="10" t="str">
        <f>"陈贤逸"</f>
        <v>陈贤逸</v>
      </c>
      <c r="E1594" s="9" t="str">
        <f>"男"</f>
        <v>男</v>
      </c>
      <c r="F1594" s="10"/>
    </row>
    <row r="1595" spans="1:6" ht="30" customHeight="1">
      <c r="A1595" s="9">
        <v>1593</v>
      </c>
      <c r="B1595" s="9" t="str">
        <f>"50322023032513100976764"</f>
        <v>50322023032513100976764</v>
      </c>
      <c r="C1595" s="9" t="s">
        <v>111</v>
      </c>
      <c r="D1595" s="10" t="str">
        <f>"黄小泉"</f>
        <v>黄小泉</v>
      </c>
      <c r="E1595" s="9" t="str">
        <f>"女"</f>
        <v>女</v>
      </c>
      <c r="F1595" s="10"/>
    </row>
    <row r="1596" spans="1:6" ht="30" customHeight="1">
      <c r="A1596" s="9">
        <v>1594</v>
      </c>
      <c r="B1596" s="9" t="str">
        <f>"50322023032601364177242"</f>
        <v>50322023032601364177242</v>
      </c>
      <c r="C1596" s="9" t="s">
        <v>111</v>
      </c>
      <c r="D1596" s="10" t="str">
        <f>"周小红"</f>
        <v>周小红</v>
      </c>
      <c r="E1596" s="9" t="str">
        <f>"女"</f>
        <v>女</v>
      </c>
      <c r="F1596" s="10"/>
    </row>
    <row r="1597" spans="1:6" ht="30" customHeight="1">
      <c r="A1597" s="9">
        <v>1595</v>
      </c>
      <c r="B1597" s="9" t="str">
        <f>"50322023032617121277520"</f>
        <v>50322023032617121277520</v>
      </c>
      <c r="C1597" s="9" t="s">
        <v>111</v>
      </c>
      <c r="D1597" s="10" t="str">
        <f>"邱旭"</f>
        <v>邱旭</v>
      </c>
      <c r="E1597" s="9" t="str">
        <f>"男"</f>
        <v>男</v>
      </c>
      <c r="F1597" s="10"/>
    </row>
    <row r="1598" spans="1:6" ht="30" customHeight="1">
      <c r="A1598" s="9">
        <v>1596</v>
      </c>
      <c r="B1598" s="9" t="str">
        <f>"50322023032900502180331"</f>
        <v>50322023032900502180331</v>
      </c>
      <c r="C1598" s="9" t="s">
        <v>111</v>
      </c>
      <c r="D1598" s="10" t="str">
        <f>"刘骄乐"</f>
        <v>刘骄乐</v>
      </c>
      <c r="E1598" s="9" t="str">
        <f>"女"</f>
        <v>女</v>
      </c>
      <c r="F1598" s="10"/>
    </row>
    <row r="1599" spans="1:6" ht="30" customHeight="1">
      <c r="A1599" s="9">
        <v>1597</v>
      </c>
      <c r="B1599" s="9" t="str">
        <f>"50322023032916240582542"</f>
        <v>50322023032916240582542</v>
      </c>
      <c r="C1599" s="9" t="s">
        <v>111</v>
      </c>
      <c r="D1599" s="10" t="str">
        <f>"陈铃"</f>
        <v>陈铃</v>
      </c>
      <c r="E1599" s="9" t="str">
        <f>"女"</f>
        <v>女</v>
      </c>
      <c r="F1599" s="10"/>
    </row>
    <row r="1600" spans="1:6" ht="30" customHeight="1">
      <c r="A1600" s="9">
        <v>1598</v>
      </c>
      <c r="B1600" s="9" t="str">
        <f>"50322023032112283665175"</f>
        <v>50322023032112283665175</v>
      </c>
      <c r="C1600" s="9" t="s">
        <v>112</v>
      </c>
      <c r="D1600" s="10" t="str">
        <f>"宋莉"</f>
        <v>宋莉</v>
      </c>
      <c r="E1600" s="9" t="str">
        <f>"女"</f>
        <v>女</v>
      </c>
      <c r="F1600" s="10"/>
    </row>
    <row r="1601" spans="1:6" ht="30" customHeight="1">
      <c r="A1601" s="9">
        <v>1599</v>
      </c>
      <c r="B1601" s="9" t="str">
        <f>"50322023032112391565239"</f>
        <v>50322023032112391565239</v>
      </c>
      <c r="C1601" s="9" t="s">
        <v>112</v>
      </c>
      <c r="D1601" s="10" t="str">
        <f>"彭丽曼"</f>
        <v>彭丽曼</v>
      </c>
      <c r="E1601" s="9" t="str">
        <f>"女"</f>
        <v>女</v>
      </c>
      <c r="F1601" s="10"/>
    </row>
    <row r="1602" spans="1:6" ht="30" customHeight="1">
      <c r="A1602" s="9">
        <v>1600</v>
      </c>
      <c r="B1602" s="9" t="str">
        <f>"50322023032322131175230"</f>
        <v>50322023032322131175230</v>
      </c>
      <c r="C1602" s="9" t="s">
        <v>112</v>
      </c>
      <c r="D1602" s="10" t="str">
        <f>"赵天舒"</f>
        <v>赵天舒</v>
      </c>
      <c r="E1602" s="9" t="str">
        <f>"女"</f>
        <v>女</v>
      </c>
      <c r="F1602" s="10"/>
    </row>
    <row r="1603" spans="1:6" ht="30" customHeight="1">
      <c r="A1603" s="9">
        <v>1601</v>
      </c>
      <c r="B1603" s="9" t="str">
        <f>"50322023032410591575612"</f>
        <v>50322023032410591575612</v>
      </c>
      <c r="C1603" s="9" t="s">
        <v>112</v>
      </c>
      <c r="D1603" s="10" t="str">
        <f>"包哲启"</f>
        <v>包哲启</v>
      </c>
      <c r="E1603" s="9" t="str">
        <f>"男"</f>
        <v>男</v>
      </c>
      <c r="F1603" s="10"/>
    </row>
    <row r="1604" spans="1:6" ht="30" customHeight="1">
      <c r="A1604" s="9">
        <v>1602</v>
      </c>
      <c r="B1604" s="9" t="str">
        <f>"50322023032418434476221"</f>
        <v>50322023032418434476221</v>
      </c>
      <c r="C1604" s="9" t="s">
        <v>112</v>
      </c>
      <c r="D1604" s="10" t="str">
        <f>"高硕"</f>
        <v>高硕</v>
      </c>
      <c r="E1604" s="9" t="str">
        <f aca="true" t="shared" si="66" ref="E1604:E1616">"女"</f>
        <v>女</v>
      </c>
      <c r="F1604" s="10"/>
    </row>
    <row r="1605" spans="1:6" ht="30" customHeight="1">
      <c r="A1605" s="9">
        <v>1603</v>
      </c>
      <c r="B1605" s="9" t="str">
        <f>"50322023032513152276771"</f>
        <v>50322023032513152276771</v>
      </c>
      <c r="C1605" s="9" t="s">
        <v>112</v>
      </c>
      <c r="D1605" s="10" t="str">
        <f>"刘婷"</f>
        <v>刘婷</v>
      </c>
      <c r="E1605" s="9" t="str">
        <f t="shared" si="66"/>
        <v>女</v>
      </c>
      <c r="F1605" s="10"/>
    </row>
    <row r="1606" spans="1:6" ht="30" customHeight="1">
      <c r="A1606" s="9">
        <v>1604</v>
      </c>
      <c r="B1606" s="9" t="str">
        <f>"50322023032711322778159"</f>
        <v>50322023032711322778159</v>
      </c>
      <c r="C1606" s="9" t="s">
        <v>112</v>
      </c>
      <c r="D1606" s="10" t="str">
        <f>"房弋筱"</f>
        <v>房弋筱</v>
      </c>
      <c r="E1606" s="9" t="str">
        <f t="shared" si="66"/>
        <v>女</v>
      </c>
      <c r="F1606" s="10"/>
    </row>
    <row r="1607" spans="1:6" ht="30" customHeight="1">
      <c r="A1607" s="9">
        <v>1605</v>
      </c>
      <c r="B1607" s="9" t="str">
        <f>"50322023032713082978282"</f>
        <v>50322023032713082978282</v>
      </c>
      <c r="C1607" s="9" t="s">
        <v>112</v>
      </c>
      <c r="D1607" s="10" t="str">
        <f>"曲嘉兵"</f>
        <v>曲嘉兵</v>
      </c>
      <c r="E1607" s="9" t="str">
        <f t="shared" si="66"/>
        <v>女</v>
      </c>
      <c r="F1607" s="10"/>
    </row>
    <row r="1608" spans="1:6" ht="30" customHeight="1">
      <c r="A1608" s="9">
        <v>1606</v>
      </c>
      <c r="B1608" s="9" t="str">
        <f>"50322023032723065478981"</f>
        <v>50322023032723065478981</v>
      </c>
      <c r="C1608" s="9" t="s">
        <v>112</v>
      </c>
      <c r="D1608" s="10" t="str">
        <f>"许思怡"</f>
        <v>许思怡</v>
      </c>
      <c r="E1608" s="9" t="str">
        <f t="shared" si="66"/>
        <v>女</v>
      </c>
      <c r="F1608" s="10"/>
    </row>
    <row r="1609" spans="1:6" ht="30" customHeight="1">
      <c r="A1609" s="9">
        <v>1607</v>
      </c>
      <c r="B1609" s="9" t="str">
        <f>"50322023032815294179681"</f>
        <v>50322023032815294179681</v>
      </c>
      <c r="C1609" s="9" t="s">
        <v>112</v>
      </c>
      <c r="D1609" s="10" t="str">
        <f>"周彤"</f>
        <v>周彤</v>
      </c>
      <c r="E1609" s="9" t="str">
        <f t="shared" si="66"/>
        <v>女</v>
      </c>
      <c r="F1609" s="10"/>
    </row>
    <row r="1610" spans="1:6" ht="30" customHeight="1">
      <c r="A1610" s="9">
        <v>1608</v>
      </c>
      <c r="B1610" s="9" t="str">
        <f>"50322023032820011079975"</f>
        <v>50322023032820011079975</v>
      </c>
      <c r="C1610" s="9" t="s">
        <v>112</v>
      </c>
      <c r="D1610" s="10" t="str">
        <f>"于淼"</f>
        <v>于淼</v>
      </c>
      <c r="E1610" s="9" t="str">
        <f t="shared" si="66"/>
        <v>女</v>
      </c>
      <c r="F1610" s="10"/>
    </row>
    <row r="1611" spans="1:6" ht="30" customHeight="1">
      <c r="A1611" s="9">
        <v>1609</v>
      </c>
      <c r="B1611" s="9" t="str">
        <f>"50322023032921464684784"</f>
        <v>50322023032921464684784</v>
      </c>
      <c r="C1611" s="9" t="s">
        <v>112</v>
      </c>
      <c r="D1611" s="10" t="str">
        <f>"谢恩思"</f>
        <v>谢恩思</v>
      </c>
      <c r="E1611" s="9" t="str">
        <f t="shared" si="66"/>
        <v>女</v>
      </c>
      <c r="F1611" s="10"/>
    </row>
    <row r="1612" spans="1:6" ht="30" customHeight="1">
      <c r="A1612" s="9">
        <v>1610</v>
      </c>
      <c r="B1612" s="9" t="str">
        <f>"50322023032108085462967"</f>
        <v>50322023032108085462967</v>
      </c>
      <c r="C1612" s="9" t="s">
        <v>113</v>
      </c>
      <c r="D1612" s="10" t="str">
        <f>"姚霁珂"</f>
        <v>姚霁珂</v>
      </c>
      <c r="E1612" s="9" t="str">
        <f t="shared" si="66"/>
        <v>女</v>
      </c>
      <c r="F1612" s="10"/>
    </row>
    <row r="1613" spans="1:6" ht="30" customHeight="1">
      <c r="A1613" s="9">
        <v>1611</v>
      </c>
      <c r="B1613" s="9" t="str">
        <f>"50322023032110044963999"</f>
        <v>50322023032110044963999</v>
      </c>
      <c r="C1613" s="9" t="s">
        <v>113</v>
      </c>
      <c r="D1613" s="10" t="str">
        <f>"王海丽"</f>
        <v>王海丽</v>
      </c>
      <c r="E1613" s="9" t="str">
        <f t="shared" si="66"/>
        <v>女</v>
      </c>
      <c r="F1613" s="10"/>
    </row>
    <row r="1614" spans="1:6" ht="30" customHeight="1">
      <c r="A1614" s="9">
        <v>1612</v>
      </c>
      <c r="B1614" s="9" t="str">
        <f>"50322023032208463869451"</f>
        <v>50322023032208463869451</v>
      </c>
      <c r="C1614" s="9" t="s">
        <v>113</v>
      </c>
      <c r="D1614" s="10" t="str">
        <f>"丁洁"</f>
        <v>丁洁</v>
      </c>
      <c r="E1614" s="9" t="str">
        <f t="shared" si="66"/>
        <v>女</v>
      </c>
      <c r="F1614" s="10"/>
    </row>
    <row r="1615" spans="1:6" ht="30" customHeight="1">
      <c r="A1615" s="9">
        <v>1613</v>
      </c>
      <c r="B1615" s="9" t="str">
        <f>"50322023032215511672381"</f>
        <v>50322023032215511672381</v>
      </c>
      <c r="C1615" s="9" t="s">
        <v>113</v>
      </c>
      <c r="D1615" s="10" t="str">
        <f>"文陈华"</f>
        <v>文陈华</v>
      </c>
      <c r="E1615" s="9" t="str">
        <f t="shared" si="66"/>
        <v>女</v>
      </c>
      <c r="F1615" s="10"/>
    </row>
    <row r="1616" spans="1:6" ht="30" customHeight="1">
      <c r="A1616" s="9">
        <v>1614</v>
      </c>
      <c r="B1616" s="9" t="str">
        <f>"50322023032319152274993"</f>
        <v>50322023032319152274993</v>
      </c>
      <c r="C1616" s="9" t="s">
        <v>113</v>
      </c>
      <c r="D1616" s="10" t="str">
        <f>"林觉蓝"</f>
        <v>林觉蓝</v>
      </c>
      <c r="E1616" s="9" t="str">
        <f t="shared" si="66"/>
        <v>女</v>
      </c>
      <c r="F1616" s="10"/>
    </row>
    <row r="1617" spans="1:6" ht="30" customHeight="1">
      <c r="A1617" s="9">
        <v>1615</v>
      </c>
      <c r="B1617" s="9" t="str">
        <f>"50322023032320064075050"</f>
        <v>50322023032320064075050</v>
      </c>
      <c r="C1617" s="9" t="s">
        <v>113</v>
      </c>
      <c r="D1617" s="10" t="str">
        <f>"符小嶺"</f>
        <v>符小嶺</v>
      </c>
      <c r="E1617" s="9" t="str">
        <f>"男"</f>
        <v>男</v>
      </c>
      <c r="F1617" s="10"/>
    </row>
    <row r="1618" spans="1:6" ht="30" customHeight="1">
      <c r="A1618" s="9">
        <v>1616</v>
      </c>
      <c r="B1618" s="9" t="str">
        <f>"50322023032412142575721"</f>
        <v>50322023032412142575721</v>
      </c>
      <c r="C1618" s="9" t="s">
        <v>113</v>
      </c>
      <c r="D1618" s="10" t="str">
        <f>"李益娜"</f>
        <v>李益娜</v>
      </c>
      <c r="E1618" s="9" t="str">
        <f aca="true" t="shared" si="67" ref="E1618:E1633">"女"</f>
        <v>女</v>
      </c>
      <c r="F1618" s="10"/>
    </row>
    <row r="1619" spans="1:6" ht="30" customHeight="1">
      <c r="A1619" s="9">
        <v>1617</v>
      </c>
      <c r="B1619" s="9" t="str">
        <f>"50322023032715591178495"</f>
        <v>50322023032715591178495</v>
      </c>
      <c r="C1619" s="9" t="s">
        <v>113</v>
      </c>
      <c r="D1619" s="10" t="str">
        <f>"陈江"</f>
        <v>陈江</v>
      </c>
      <c r="E1619" s="9" t="str">
        <f t="shared" si="67"/>
        <v>女</v>
      </c>
      <c r="F1619" s="10"/>
    </row>
    <row r="1620" spans="1:6" ht="30" customHeight="1">
      <c r="A1620" s="9">
        <v>1618</v>
      </c>
      <c r="B1620" s="9" t="str">
        <f>"50322023032813074179509"</f>
        <v>50322023032813074179509</v>
      </c>
      <c r="C1620" s="9" t="s">
        <v>113</v>
      </c>
      <c r="D1620" s="10" t="str">
        <f>"董英怀"</f>
        <v>董英怀</v>
      </c>
      <c r="E1620" s="9" t="str">
        <f t="shared" si="67"/>
        <v>女</v>
      </c>
      <c r="F1620" s="10"/>
    </row>
    <row r="1621" spans="1:6" ht="30" customHeight="1">
      <c r="A1621" s="9">
        <v>1619</v>
      </c>
      <c r="B1621" s="9" t="str">
        <f>"50322023032913051281816"</f>
        <v>50322023032913051281816</v>
      </c>
      <c r="C1621" s="9" t="s">
        <v>113</v>
      </c>
      <c r="D1621" s="10" t="str">
        <f>"陈夏珠"</f>
        <v>陈夏珠</v>
      </c>
      <c r="E1621" s="9" t="str">
        <f t="shared" si="67"/>
        <v>女</v>
      </c>
      <c r="F1621" s="10"/>
    </row>
    <row r="1622" spans="1:6" ht="30" customHeight="1">
      <c r="A1622" s="9">
        <v>1620</v>
      </c>
      <c r="B1622" s="9" t="str">
        <f>"50322023032919275084376"</f>
        <v>50322023032919275084376</v>
      </c>
      <c r="C1622" s="9" t="s">
        <v>113</v>
      </c>
      <c r="D1622" s="10" t="str">
        <f>"钱泷丹"</f>
        <v>钱泷丹</v>
      </c>
      <c r="E1622" s="9" t="str">
        <f t="shared" si="67"/>
        <v>女</v>
      </c>
      <c r="F1622" s="10"/>
    </row>
    <row r="1623" spans="1:6" ht="30" customHeight="1">
      <c r="A1623" s="9">
        <v>1621</v>
      </c>
      <c r="B1623" s="9" t="str">
        <f>"50322023032109521963873"</f>
        <v>50322023032109521963873</v>
      </c>
      <c r="C1623" s="9" t="s">
        <v>114</v>
      </c>
      <c r="D1623" s="10" t="str">
        <f>"徐桃来"</f>
        <v>徐桃来</v>
      </c>
      <c r="E1623" s="9" t="str">
        <f t="shared" si="67"/>
        <v>女</v>
      </c>
      <c r="F1623" s="10"/>
    </row>
    <row r="1624" spans="1:6" ht="30" customHeight="1">
      <c r="A1624" s="9">
        <v>1622</v>
      </c>
      <c r="B1624" s="9" t="str">
        <f>"50322023032110093464056"</f>
        <v>50322023032110093464056</v>
      </c>
      <c r="C1624" s="9" t="s">
        <v>114</v>
      </c>
      <c r="D1624" s="10" t="str">
        <f>"李秀波"</f>
        <v>李秀波</v>
      </c>
      <c r="E1624" s="9" t="str">
        <f t="shared" si="67"/>
        <v>女</v>
      </c>
      <c r="F1624" s="10"/>
    </row>
    <row r="1625" spans="1:6" ht="30" customHeight="1">
      <c r="A1625" s="9">
        <v>1623</v>
      </c>
      <c r="B1625" s="9" t="str">
        <f>"50322023032119263167564"</f>
        <v>50322023032119263167564</v>
      </c>
      <c r="C1625" s="9" t="s">
        <v>114</v>
      </c>
      <c r="D1625" s="10" t="str">
        <f>"黄美柳"</f>
        <v>黄美柳</v>
      </c>
      <c r="E1625" s="9" t="str">
        <f t="shared" si="67"/>
        <v>女</v>
      </c>
      <c r="F1625" s="10"/>
    </row>
    <row r="1626" spans="1:6" ht="30" customHeight="1">
      <c r="A1626" s="9">
        <v>1624</v>
      </c>
      <c r="B1626" s="9" t="str">
        <f>"50322023032210590370261"</f>
        <v>50322023032210590370261</v>
      </c>
      <c r="C1626" s="9" t="s">
        <v>114</v>
      </c>
      <c r="D1626" s="10" t="str">
        <f>"王婆平"</f>
        <v>王婆平</v>
      </c>
      <c r="E1626" s="9" t="str">
        <f t="shared" si="67"/>
        <v>女</v>
      </c>
      <c r="F1626" s="10"/>
    </row>
    <row r="1627" spans="1:6" ht="30" customHeight="1">
      <c r="A1627" s="9">
        <v>1625</v>
      </c>
      <c r="B1627" s="9" t="str">
        <f>"50322023032413254775837"</f>
        <v>50322023032413254775837</v>
      </c>
      <c r="C1627" s="9" t="s">
        <v>114</v>
      </c>
      <c r="D1627" s="10" t="str">
        <f>"何丽燕"</f>
        <v>何丽燕</v>
      </c>
      <c r="E1627" s="9" t="str">
        <f t="shared" si="67"/>
        <v>女</v>
      </c>
      <c r="F1627" s="10"/>
    </row>
    <row r="1628" spans="1:6" ht="30" customHeight="1">
      <c r="A1628" s="9">
        <v>1626</v>
      </c>
      <c r="B1628" s="9" t="str">
        <f>"50322023032423231376458"</f>
        <v>50322023032423231376458</v>
      </c>
      <c r="C1628" s="9" t="s">
        <v>114</v>
      </c>
      <c r="D1628" s="10" t="str">
        <f>"邱明明"</f>
        <v>邱明明</v>
      </c>
      <c r="E1628" s="9" t="str">
        <f t="shared" si="67"/>
        <v>女</v>
      </c>
      <c r="F1628" s="10"/>
    </row>
    <row r="1629" spans="1:6" ht="30" customHeight="1">
      <c r="A1629" s="9">
        <v>1627</v>
      </c>
      <c r="B1629" s="9" t="str">
        <f>"50322023032423361676466"</f>
        <v>50322023032423361676466</v>
      </c>
      <c r="C1629" s="9" t="s">
        <v>114</v>
      </c>
      <c r="D1629" s="10" t="str">
        <f>"吴清儒"</f>
        <v>吴清儒</v>
      </c>
      <c r="E1629" s="9" t="str">
        <f t="shared" si="67"/>
        <v>女</v>
      </c>
      <c r="F1629" s="10"/>
    </row>
    <row r="1630" spans="1:6" ht="30" customHeight="1">
      <c r="A1630" s="9">
        <v>1628</v>
      </c>
      <c r="B1630" s="9" t="str">
        <f>"50322023032713161578297"</f>
        <v>50322023032713161578297</v>
      </c>
      <c r="C1630" s="9" t="s">
        <v>114</v>
      </c>
      <c r="D1630" s="10" t="str">
        <f>"郑海霞"</f>
        <v>郑海霞</v>
      </c>
      <c r="E1630" s="9" t="str">
        <f t="shared" si="67"/>
        <v>女</v>
      </c>
      <c r="F1630" s="10"/>
    </row>
    <row r="1631" spans="1:6" ht="30" customHeight="1">
      <c r="A1631" s="9">
        <v>1629</v>
      </c>
      <c r="B1631" s="9" t="str">
        <f>"50322023032916492882679"</f>
        <v>50322023032916492882679</v>
      </c>
      <c r="C1631" s="9" t="s">
        <v>114</v>
      </c>
      <c r="D1631" s="10" t="str">
        <f>"唐海琪"</f>
        <v>唐海琪</v>
      </c>
      <c r="E1631" s="9" t="str">
        <f t="shared" si="67"/>
        <v>女</v>
      </c>
      <c r="F1631" s="10"/>
    </row>
    <row r="1632" spans="1:6" ht="30" customHeight="1">
      <c r="A1632" s="9">
        <v>1630</v>
      </c>
      <c r="B1632" s="9" t="str">
        <f>"50322023032917041783197"</f>
        <v>50322023032917041783197</v>
      </c>
      <c r="C1632" s="9" t="s">
        <v>114</v>
      </c>
      <c r="D1632" s="10" t="str">
        <f>"邢文月"</f>
        <v>邢文月</v>
      </c>
      <c r="E1632" s="9" t="str">
        <f t="shared" si="67"/>
        <v>女</v>
      </c>
      <c r="F1632" s="10"/>
    </row>
    <row r="1633" spans="1:6" ht="30" customHeight="1">
      <c r="A1633" s="9">
        <v>1631</v>
      </c>
      <c r="B1633" s="9" t="str">
        <f>"50322023032918322784226"</f>
        <v>50322023032918322784226</v>
      </c>
      <c r="C1633" s="9" t="s">
        <v>114</v>
      </c>
      <c r="D1633" s="10" t="str">
        <f>"纪更颖"</f>
        <v>纪更颖</v>
      </c>
      <c r="E1633" s="9" t="str">
        <f t="shared" si="67"/>
        <v>女</v>
      </c>
      <c r="F1633" s="10"/>
    </row>
    <row r="1634" spans="1:6" ht="30" customHeight="1">
      <c r="A1634" s="9">
        <v>1632</v>
      </c>
      <c r="B1634" s="9" t="str">
        <f>"50322023032919505684447"</f>
        <v>50322023032919505684447</v>
      </c>
      <c r="C1634" s="9" t="s">
        <v>114</v>
      </c>
      <c r="D1634" s="10" t="str">
        <f>"陈长荟"</f>
        <v>陈长荟</v>
      </c>
      <c r="E1634" s="9" t="str">
        <f>"男"</f>
        <v>男</v>
      </c>
      <c r="F1634" s="10"/>
    </row>
    <row r="1635" spans="1:6" ht="30" customHeight="1">
      <c r="A1635" s="9">
        <v>1633</v>
      </c>
      <c r="B1635" s="9" t="str">
        <f>"50322023033010543085785"</f>
        <v>50322023033010543085785</v>
      </c>
      <c r="C1635" s="9" t="s">
        <v>114</v>
      </c>
      <c r="D1635" s="10" t="str">
        <f>"王雪桦"</f>
        <v>王雪桦</v>
      </c>
      <c r="E1635" s="9" t="str">
        <f aca="true" t="shared" si="68" ref="E1635:E1642">"女"</f>
        <v>女</v>
      </c>
      <c r="F1635" s="10"/>
    </row>
    <row r="1636" spans="1:6" ht="30" customHeight="1">
      <c r="A1636" s="9">
        <v>1634</v>
      </c>
      <c r="B1636" s="9" t="str">
        <f>"50322023032312522974387"</f>
        <v>50322023032312522974387</v>
      </c>
      <c r="C1636" s="9" t="s">
        <v>115</v>
      </c>
      <c r="D1636" s="10" t="str">
        <f>"于明彩"</f>
        <v>于明彩</v>
      </c>
      <c r="E1636" s="9" t="str">
        <f t="shared" si="68"/>
        <v>女</v>
      </c>
      <c r="F1636" s="10"/>
    </row>
    <row r="1637" spans="1:6" ht="30" customHeight="1">
      <c r="A1637" s="9">
        <v>1635</v>
      </c>
      <c r="B1637" s="9" t="str">
        <f>"50322023032401331175374"</f>
        <v>50322023032401331175374</v>
      </c>
      <c r="C1637" s="9" t="s">
        <v>115</v>
      </c>
      <c r="D1637" s="10" t="str">
        <f>"朱丽"</f>
        <v>朱丽</v>
      </c>
      <c r="E1637" s="9" t="str">
        <f t="shared" si="68"/>
        <v>女</v>
      </c>
      <c r="F1637" s="10"/>
    </row>
    <row r="1638" spans="1:6" ht="30" customHeight="1">
      <c r="A1638" s="9">
        <v>1636</v>
      </c>
      <c r="B1638" s="9" t="str">
        <f>"50322023032409373575499"</f>
        <v>50322023032409373575499</v>
      </c>
      <c r="C1638" s="9" t="s">
        <v>115</v>
      </c>
      <c r="D1638" s="10" t="str">
        <f>"万火玉"</f>
        <v>万火玉</v>
      </c>
      <c r="E1638" s="9" t="str">
        <f t="shared" si="68"/>
        <v>女</v>
      </c>
      <c r="F1638" s="10"/>
    </row>
    <row r="1639" spans="1:6" ht="30" customHeight="1">
      <c r="A1639" s="9">
        <v>1637</v>
      </c>
      <c r="B1639" s="9" t="str">
        <f>"50322023032410123575548"</f>
        <v>50322023032410123575548</v>
      </c>
      <c r="C1639" s="9" t="s">
        <v>115</v>
      </c>
      <c r="D1639" s="10" t="str">
        <f>"赵利琴"</f>
        <v>赵利琴</v>
      </c>
      <c r="E1639" s="9" t="str">
        <f t="shared" si="68"/>
        <v>女</v>
      </c>
      <c r="F1639" s="10"/>
    </row>
    <row r="1640" spans="1:6" ht="30" customHeight="1">
      <c r="A1640" s="9">
        <v>1638</v>
      </c>
      <c r="B1640" s="9" t="str">
        <f>"50322023032416562276127"</f>
        <v>50322023032416562276127</v>
      </c>
      <c r="C1640" s="9" t="s">
        <v>115</v>
      </c>
      <c r="D1640" s="10" t="str">
        <f>"徐阳"</f>
        <v>徐阳</v>
      </c>
      <c r="E1640" s="9" t="str">
        <f t="shared" si="68"/>
        <v>女</v>
      </c>
      <c r="F1640" s="10"/>
    </row>
    <row r="1641" spans="1:6" ht="30" customHeight="1">
      <c r="A1641" s="9">
        <v>1639</v>
      </c>
      <c r="B1641" s="9" t="str">
        <f>"50322023032821213580104"</f>
        <v>50322023032821213580104</v>
      </c>
      <c r="C1641" s="9" t="s">
        <v>115</v>
      </c>
      <c r="D1641" s="10" t="str">
        <f>"刘庾充"</f>
        <v>刘庾充</v>
      </c>
      <c r="E1641" s="9" t="str">
        <f t="shared" si="68"/>
        <v>女</v>
      </c>
      <c r="F1641" s="10"/>
    </row>
    <row r="1642" spans="1:6" ht="30" customHeight="1">
      <c r="A1642" s="9">
        <v>1640</v>
      </c>
      <c r="B1642" s="9" t="str">
        <f>"50322023032915561882418"</f>
        <v>50322023032915561882418</v>
      </c>
      <c r="C1642" s="9" t="s">
        <v>115</v>
      </c>
      <c r="D1642" s="10" t="str">
        <f>"公海英"</f>
        <v>公海英</v>
      </c>
      <c r="E1642" s="9" t="str">
        <f t="shared" si="68"/>
        <v>女</v>
      </c>
      <c r="F1642" s="10"/>
    </row>
    <row r="1643" spans="1:6" ht="30" customHeight="1">
      <c r="A1643" s="9">
        <v>1641</v>
      </c>
      <c r="B1643" s="9" t="str">
        <f>"50322023032916151682502"</f>
        <v>50322023032916151682502</v>
      </c>
      <c r="C1643" s="9" t="s">
        <v>115</v>
      </c>
      <c r="D1643" s="10" t="str">
        <f>"石磊"</f>
        <v>石磊</v>
      </c>
      <c r="E1643" s="9" t="str">
        <f>"男"</f>
        <v>男</v>
      </c>
      <c r="F1643" s="10"/>
    </row>
    <row r="1644" spans="1:6" ht="30" customHeight="1">
      <c r="A1644" s="9">
        <v>1642</v>
      </c>
      <c r="B1644" s="9" t="str">
        <f>"50322023032921124584681"</f>
        <v>50322023032921124584681</v>
      </c>
      <c r="C1644" s="9" t="s">
        <v>115</v>
      </c>
      <c r="D1644" s="10" t="str">
        <f>"肖婷婷"</f>
        <v>肖婷婷</v>
      </c>
      <c r="E1644" s="9" t="str">
        <f>"女"</f>
        <v>女</v>
      </c>
      <c r="F1644" s="10"/>
    </row>
    <row r="1645" spans="1:6" ht="30" customHeight="1">
      <c r="A1645" s="9">
        <v>1643</v>
      </c>
      <c r="B1645" s="9" t="str">
        <f>"50322023032108015562950"</f>
        <v>50322023032108015562950</v>
      </c>
      <c r="C1645" s="9" t="s">
        <v>116</v>
      </c>
      <c r="D1645" s="10" t="str">
        <f>"李志"</f>
        <v>李志</v>
      </c>
      <c r="E1645" s="9" t="str">
        <f>"男"</f>
        <v>男</v>
      </c>
      <c r="F1645" s="10"/>
    </row>
    <row r="1646" spans="1:6" ht="30" customHeight="1">
      <c r="A1646" s="9">
        <v>1644</v>
      </c>
      <c r="B1646" s="9" t="str">
        <f>"50322023032108055162959"</f>
        <v>50322023032108055162959</v>
      </c>
      <c r="C1646" s="9" t="s">
        <v>116</v>
      </c>
      <c r="D1646" s="10" t="str">
        <f>"洪振淳"</f>
        <v>洪振淳</v>
      </c>
      <c r="E1646" s="9" t="str">
        <f>"女"</f>
        <v>女</v>
      </c>
      <c r="F1646" s="10"/>
    </row>
    <row r="1647" spans="1:6" ht="30" customHeight="1">
      <c r="A1647" s="9">
        <v>1645</v>
      </c>
      <c r="B1647" s="9" t="str">
        <f>"50322023032120310367967"</f>
        <v>50322023032120310367967</v>
      </c>
      <c r="C1647" s="9" t="s">
        <v>116</v>
      </c>
      <c r="D1647" s="10" t="str">
        <f>"何梦娇"</f>
        <v>何梦娇</v>
      </c>
      <c r="E1647" s="9" t="str">
        <f>"女"</f>
        <v>女</v>
      </c>
      <c r="F1647" s="10"/>
    </row>
    <row r="1648" spans="1:6" ht="30" customHeight="1">
      <c r="A1648" s="9">
        <v>1646</v>
      </c>
      <c r="B1648" s="9" t="str">
        <f>"50322023032121552768549"</f>
        <v>50322023032121552768549</v>
      </c>
      <c r="C1648" s="9" t="s">
        <v>116</v>
      </c>
      <c r="D1648" s="10" t="str">
        <f>"羊盛锦"</f>
        <v>羊盛锦</v>
      </c>
      <c r="E1648" s="9" t="str">
        <f>"男"</f>
        <v>男</v>
      </c>
      <c r="F1648" s="10"/>
    </row>
    <row r="1649" spans="1:6" ht="30" customHeight="1">
      <c r="A1649" s="9">
        <v>1647</v>
      </c>
      <c r="B1649" s="9" t="str">
        <f>"50322023032209095869534"</f>
        <v>50322023032209095869534</v>
      </c>
      <c r="C1649" s="9" t="s">
        <v>116</v>
      </c>
      <c r="D1649" s="10" t="str">
        <f>"谢海帆"</f>
        <v>谢海帆</v>
      </c>
      <c r="E1649" s="9" t="str">
        <f>"女"</f>
        <v>女</v>
      </c>
      <c r="F1649" s="10"/>
    </row>
    <row r="1650" spans="1:6" ht="30" customHeight="1">
      <c r="A1650" s="9">
        <v>1648</v>
      </c>
      <c r="B1650" s="9" t="str">
        <f>"50322023032212155570786"</f>
        <v>50322023032212155570786</v>
      </c>
      <c r="C1650" s="9" t="s">
        <v>116</v>
      </c>
      <c r="D1650" s="10" t="str">
        <f>"赵井美"</f>
        <v>赵井美</v>
      </c>
      <c r="E1650" s="9" t="str">
        <f>"女"</f>
        <v>女</v>
      </c>
      <c r="F1650" s="10"/>
    </row>
    <row r="1651" spans="1:6" ht="30" customHeight="1">
      <c r="A1651" s="9">
        <v>1649</v>
      </c>
      <c r="B1651" s="9" t="str">
        <f>"50322023032410134275550"</f>
        <v>50322023032410134275550</v>
      </c>
      <c r="C1651" s="9" t="s">
        <v>116</v>
      </c>
      <c r="D1651" s="10" t="str">
        <f>"王丹娜"</f>
        <v>王丹娜</v>
      </c>
      <c r="E1651" s="9" t="str">
        <f>"女"</f>
        <v>女</v>
      </c>
      <c r="F1651" s="10"/>
    </row>
    <row r="1652" spans="1:6" ht="30" customHeight="1">
      <c r="A1652" s="9">
        <v>1650</v>
      </c>
      <c r="B1652" s="9" t="str">
        <f>"50322023032420221976305"</f>
        <v>50322023032420221976305</v>
      </c>
      <c r="C1652" s="9" t="s">
        <v>116</v>
      </c>
      <c r="D1652" s="10" t="str">
        <f>"刘龙玉"</f>
        <v>刘龙玉</v>
      </c>
      <c r="E1652" s="9" t="str">
        <f>"男"</f>
        <v>男</v>
      </c>
      <c r="F1652" s="10"/>
    </row>
    <row r="1653" spans="1:6" ht="30" customHeight="1">
      <c r="A1653" s="9">
        <v>1651</v>
      </c>
      <c r="B1653" s="9" t="str">
        <f>"50322023032509282976538"</f>
        <v>50322023032509282976538</v>
      </c>
      <c r="C1653" s="9" t="s">
        <v>116</v>
      </c>
      <c r="D1653" s="10" t="str">
        <f>"陆小云"</f>
        <v>陆小云</v>
      </c>
      <c r="E1653" s="9" t="str">
        <f aca="true" t="shared" si="69" ref="E1653:E1659">"女"</f>
        <v>女</v>
      </c>
      <c r="F1653" s="10"/>
    </row>
    <row r="1654" spans="1:6" ht="30" customHeight="1">
      <c r="A1654" s="9">
        <v>1652</v>
      </c>
      <c r="B1654" s="9" t="str">
        <f>"50322023032613481777403"</f>
        <v>50322023032613481777403</v>
      </c>
      <c r="C1654" s="9" t="s">
        <v>116</v>
      </c>
      <c r="D1654" s="10" t="str">
        <f>"骆慧君"</f>
        <v>骆慧君</v>
      </c>
      <c r="E1654" s="9" t="str">
        <f t="shared" si="69"/>
        <v>女</v>
      </c>
      <c r="F1654" s="10"/>
    </row>
    <row r="1655" spans="1:6" ht="30" customHeight="1">
      <c r="A1655" s="9">
        <v>1653</v>
      </c>
      <c r="B1655" s="9" t="str">
        <f>"50322023032711341478168"</f>
        <v>50322023032711341478168</v>
      </c>
      <c r="C1655" s="9" t="s">
        <v>116</v>
      </c>
      <c r="D1655" s="10" t="str">
        <f>"黄朝华"</f>
        <v>黄朝华</v>
      </c>
      <c r="E1655" s="9" t="str">
        <f t="shared" si="69"/>
        <v>女</v>
      </c>
      <c r="F1655" s="11" t="s">
        <v>117</v>
      </c>
    </row>
    <row r="1656" spans="1:6" ht="30" customHeight="1">
      <c r="A1656" s="9">
        <v>1654</v>
      </c>
      <c r="B1656" s="9" t="str">
        <f>"50322023032716021278499"</f>
        <v>50322023032716021278499</v>
      </c>
      <c r="C1656" s="9" t="s">
        <v>116</v>
      </c>
      <c r="D1656" s="10" t="str">
        <f>"何欣"</f>
        <v>何欣</v>
      </c>
      <c r="E1656" s="9" t="str">
        <f t="shared" si="69"/>
        <v>女</v>
      </c>
      <c r="F1656" s="10"/>
    </row>
    <row r="1657" spans="1:6" ht="30" customHeight="1">
      <c r="A1657" s="9">
        <v>1655</v>
      </c>
      <c r="B1657" s="9" t="str">
        <f>"50322023032820475180054"</f>
        <v>50322023032820475180054</v>
      </c>
      <c r="C1657" s="9" t="s">
        <v>116</v>
      </c>
      <c r="D1657" s="10" t="str">
        <f>"陈秀卿"</f>
        <v>陈秀卿</v>
      </c>
      <c r="E1657" s="9" t="str">
        <f t="shared" si="69"/>
        <v>女</v>
      </c>
      <c r="F1657" s="10"/>
    </row>
    <row r="1658" spans="1:6" ht="30" customHeight="1">
      <c r="A1658" s="9">
        <v>1656</v>
      </c>
      <c r="B1658" s="9" t="str">
        <f>"50322023032919372684398"</f>
        <v>50322023032919372684398</v>
      </c>
      <c r="C1658" s="9" t="s">
        <v>116</v>
      </c>
      <c r="D1658" s="10" t="str">
        <f>"黄瑞"</f>
        <v>黄瑞</v>
      </c>
      <c r="E1658" s="9" t="str">
        <f t="shared" si="69"/>
        <v>女</v>
      </c>
      <c r="F1658" s="10"/>
    </row>
    <row r="1659" spans="1:6" ht="30" customHeight="1">
      <c r="A1659" s="9">
        <v>1657</v>
      </c>
      <c r="B1659" s="9" t="str">
        <f>"50322023033002513585112"</f>
        <v>50322023033002513585112</v>
      </c>
      <c r="C1659" s="9" t="s">
        <v>116</v>
      </c>
      <c r="D1659" s="10" t="str">
        <f>"刘彤"</f>
        <v>刘彤</v>
      </c>
      <c r="E1659" s="9" t="str">
        <f t="shared" si="69"/>
        <v>女</v>
      </c>
      <c r="F1659" s="10"/>
    </row>
  </sheetData>
  <sheetProtection/>
  <mergeCells count="1">
    <mergeCell ref="A1:F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黄毅</cp:lastModifiedBy>
  <dcterms:created xsi:type="dcterms:W3CDTF">2023-04-06T03:58:19Z</dcterms:created>
  <dcterms:modified xsi:type="dcterms:W3CDTF">2023-04-06T07:42:59Z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81DFB5B6B4704973BB6B5A3A6E4E39D5</vt:lpwstr>
  </property>
  <property fmtid="{D5CDD505-2E9C-101B-9397-08002B2CF9AE}" pid="4" name="KSOProductBuildV">
    <vt:lpwstr>2052-11.1.0.12970</vt:lpwstr>
  </property>
</Properties>
</file>